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68" yWindow="888" windowWidth="19440" windowHeight="9780" activeTab="2"/>
  </bookViews>
  <sheets>
    <sheet name="Functional Assignment" sheetId="1" r:id="rId1"/>
    <sheet name="Allocation ProForma" sheetId="2" r:id="rId2"/>
    <sheet name="Summary" sheetId="24" r:id="rId3"/>
    <sheet name="Summary of Returns" sheetId="4" r:id="rId4"/>
    <sheet name="Res Unit Costs" sheetId="14" r:id="rId5"/>
    <sheet name="GS Unit Costs" sheetId="15" r:id="rId6"/>
    <sheet name="PSP Unit Costs" sheetId="16" r:id="rId7"/>
    <sheet name="PSS Unit Costs" sheetId="17" r:id="rId8"/>
    <sheet name="TODP Unit Costs" sheetId="22" r:id="rId9"/>
    <sheet name="TODS Unit Costs" sheetId="19" r:id="rId10"/>
    <sheet name="ITODP Unit Costs" sheetId="20" r:id="rId11"/>
    <sheet name="ITODS Unit Costs" sheetId="21" r:id="rId12"/>
    <sheet name="RTS Unit Costs" sheetId="23" r:id="rId13"/>
    <sheet name="Billing Det" sheetId="5" r:id="rId14"/>
    <sheet name="Meters" sheetId="7" r:id="rId15"/>
    <sheet name="Services" sheetId="8" r:id="rId16"/>
    <sheet name="Lighting" sheetId="11" r:id="rId17"/>
    <sheet name="Customer Accounting" sheetId="1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" localSheetId="10">[1]EGSplit!#REF!</definedName>
    <definedName name="\" localSheetId="11">[1]EGSplit!#REF!</definedName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localSheetId="5" hidden="1">#REF!</definedName>
    <definedName name="\\\\" localSheetId="10" hidden="1">#REF!</definedName>
    <definedName name="\\\\" localSheetId="11" hidden="1">#REF!</definedName>
    <definedName name="\\\\" localSheetId="6" hidden="1">#REF!</definedName>
    <definedName name="\\\\" localSheetId="7" hidden="1">#REF!</definedName>
    <definedName name="\\\\" localSheetId="12" hidden="1">#REF!</definedName>
    <definedName name="\\\\" localSheetId="2" hidden="1">#REF!</definedName>
    <definedName name="\\\\" localSheetId="8" hidden="1">#REF!</definedName>
    <definedName name="\\\\" localSheetId="9" hidden="1">#REF!</definedName>
    <definedName name="\\\\" hidden="1">#REF!</definedName>
    <definedName name="\C" localSheetId="10">#REF!</definedName>
    <definedName name="\C" localSheetId="11">#REF!</definedName>
    <definedName name="\E" localSheetId="10">#REF!</definedName>
    <definedName name="\E" localSheetId="11">#REF!</definedName>
    <definedName name="\P" localSheetId="10">[2]dbase!#REF!</definedName>
    <definedName name="\P" localSheetId="11">[2]dbase!#REF!</definedName>
    <definedName name="\R" localSheetId="10">#REF!</definedName>
    <definedName name="\R" localSheetId="11">#REF!</definedName>
    <definedName name="\S" localSheetId="10">[2]dbase!#REF!</definedName>
    <definedName name="\S" localSheetId="11">[2]dbase!#REF!</definedName>
    <definedName name="\Y" localSheetId="10">[3]d20!#REF!</definedName>
    <definedName name="\Y" localSheetId="11">[3]d20!#REF!</definedName>
    <definedName name="__123Graph_A" localSheetId="2" hidden="1">#REF!</definedName>
    <definedName name="__123Graph_A" hidden="1">#REF!</definedName>
    <definedName name="__123Graph_B" localSheetId="2" hidden="1">#REF!</definedName>
    <definedName name="__123Graph_B" hidden="1">#REF!</definedName>
    <definedName name="__123Graph_C" localSheetId="5" hidden="1">#REF!</definedName>
    <definedName name="__123Graph_C" localSheetId="10" hidden="1">#REF!</definedName>
    <definedName name="__123Graph_C" localSheetId="11" hidden="1">#REF!</definedName>
    <definedName name="__123Graph_C" localSheetId="6" hidden="1">#REF!</definedName>
    <definedName name="__123Graph_C" localSheetId="7" hidden="1">#REF!</definedName>
    <definedName name="__123Graph_C" localSheetId="12" hidden="1">#REF!</definedName>
    <definedName name="__123Graph_C" localSheetId="2" hidden="1">#REF!</definedName>
    <definedName name="__123Graph_C" localSheetId="8" hidden="1">#REF!</definedName>
    <definedName name="__123Graph_C" localSheetId="9" hidden="1">#REF!</definedName>
    <definedName name="__123Graph_C" hidden="1">#REF!</definedName>
    <definedName name="__123Graph_D" localSheetId="2" hidden="1">#REF!</definedName>
    <definedName name="__123Graph_D" hidden="1">#REF!</definedName>
    <definedName name="__123Graph_E" localSheetId="5" hidden="1">#REF!</definedName>
    <definedName name="__123Graph_E" localSheetId="10" hidden="1">#REF!</definedName>
    <definedName name="__123Graph_E" localSheetId="11" hidden="1">#REF!</definedName>
    <definedName name="__123Graph_E" localSheetId="6" hidden="1">#REF!</definedName>
    <definedName name="__123Graph_E" localSheetId="7" hidden="1">#REF!</definedName>
    <definedName name="__123Graph_E" localSheetId="12" hidden="1">#REF!</definedName>
    <definedName name="__123Graph_E" localSheetId="2" hidden="1">#REF!</definedName>
    <definedName name="__123Graph_E" localSheetId="8" hidden="1">#REF!</definedName>
    <definedName name="__123Graph_E" localSheetId="9" hidden="1">#REF!</definedName>
    <definedName name="__123Graph_E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1NON_UTILITY" localSheetId="10">#REF!</definedName>
    <definedName name="_2NON_UTILITY" localSheetId="11">#REF!</definedName>
    <definedName name="_xlnm._FilterDatabase" localSheetId="1" hidden="1">'Allocation ProForma'!$D$2:$E$1306</definedName>
    <definedName name="_xlnm._FilterDatabase" localSheetId="0" hidden="1">'Functional Assignment'!$C$2:$D$614</definedName>
    <definedName name="_Order1" hidden="1">0</definedName>
    <definedName name="_Order2" hidden="1">0</definedName>
    <definedName name="_P" localSheetId="10">#REF!</definedName>
    <definedName name="_P" localSheetId="11">#REF!</definedName>
    <definedName name="Adjust2" localSheetId="10">#REF!</definedName>
    <definedName name="Adjust2" localSheetId="11">#REF!</definedName>
    <definedName name="ADJUSTAA" localSheetId="10">#REF!</definedName>
    <definedName name="ADJUSTAA" localSheetId="11">#REF!</definedName>
    <definedName name="ADJUSTB" localSheetId="10">#REF!</definedName>
    <definedName name="ADJUSTB" localSheetId="11">#REF!</definedName>
    <definedName name="ADJUSTS" localSheetId="10">#REF!</definedName>
    <definedName name="ADJUSTS" localSheetId="11">#REF!</definedName>
    <definedName name="Annual_Sales_KU" localSheetId="10">'[4]LGE Sales'!#REF!</definedName>
    <definedName name="Annual_Sales_KU" localSheetId="11">'[4]LGE Sales'!#REF!</definedName>
    <definedName name="assets" localSheetId="10">#REF!</definedName>
    <definedName name="assets" localSheetId="11">#REF!</definedName>
    <definedName name="Choices_Wrapper" localSheetId="5">'GS Unit Costs'!Choices_Wrapper</definedName>
    <definedName name="Choices_Wrapper" localSheetId="10">'ITODP Unit Costs'!Choices_Wrapper</definedName>
    <definedName name="Choices_Wrapper" localSheetId="11">'ITODS Unit Costs'!Choices_Wrapper</definedName>
    <definedName name="Choices_Wrapper" localSheetId="6">'PSP Unit Costs'!Choices_Wrapper</definedName>
    <definedName name="Choices_Wrapper" localSheetId="7">'PSS Unit Costs'!Choices_Wrapper</definedName>
    <definedName name="Choices_Wrapper" localSheetId="4">'Res Unit Costs'!Choices_Wrapper</definedName>
    <definedName name="Choices_Wrapper" localSheetId="12">'RTS Unit Costs'!Choices_Wrapper</definedName>
    <definedName name="Choices_Wrapper" localSheetId="2">Summary!Choices_Wrapper</definedName>
    <definedName name="Choices_Wrapper" localSheetId="8">'TODP Unit Costs'!Choices_Wrapper</definedName>
    <definedName name="Choices_Wrapper" localSheetId="9">'TODS Unit Costs'!Choices_Wrapper</definedName>
    <definedName name="Choices_Wrapper">[0]!Choices_Wrapper</definedName>
    <definedName name="CM" localSheetId="10">#REF!</definedName>
    <definedName name="CM" localSheetId="11">#REF!</definedName>
    <definedName name="Coal_Annual_KU" localSheetId="10">'[4]LGE Coal'!#REF!</definedName>
    <definedName name="Coal_Annual_KU" localSheetId="11">'[4]LGE Coal'!#REF!</definedName>
    <definedName name="coal_hide_ku_01" localSheetId="10">'[4]LGE Coal'!#REF!</definedName>
    <definedName name="coal_hide_ku_01" localSheetId="11">'[4]LGE Coal'!#REF!</definedName>
    <definedName name="coal_hide_lge_01" localSheetId="10">'[4]LGE Coal'!#REF!</definedName>
    <definedName name="coal_hide_lge_01" localSheetId="11">'[4]LGE Coal'!#REF!</definedName>
    <definedName name="coal_ku_01" localSheetId="10">'[4]LGE Coal'!#REF!</definedName>
    <definedName name="coal_ku_01" localSheetId="11">'[4]LGE Coal'!#REF!</definedName>
    <definedName name="Comp" localSheetId="5">'GS Unit Costs'!Comp</definedName>
    <definedName name="Comp" localSheetId="10">'ITODP Unit Costs'!Comp</definedName>
    <definedName name="Comp" localSheetId="11">'ITODS Unit Costs'!Comp</definedName>
    <definedName name="Comp" localSheetId="6">'PSP Unit Costs'!Comp</definedName>
    <definedName name="Comp" localSheetId="7">'PSS Unit Costs'!Comp</definedName>
    <definedName name="Comp" localSheetId="4">'Res Unit Costs'!Comp</definedName>
    <definedName name="Comp" localSheetId="12">'RTS Unit Costs'!Comp</definedName>
    <definedName name="Comp" localSheetId="2">Summary!Comp</definedName>
    <definedName name="Comp" localSheetId="8">'TODP Unit Costs'!Comp</definedName>
    <definedName name="Comp" localSheetId="9">'TODS Unit Costs'!Comp</definedName>
    <definedName name="Comp">[0]!Comp</definedName>
    <definedName name="CREDIT" localSheetId="10">#REF!</definedName>
    <definedName name="CREDIT" localSheetId="11">#REF!</definedName>
    <definedName name="data1" localSheetId="10">'[5]1'!#REF!</definedName>
    <definedName name="data1" localSheetId="11">'[5]1'!#REF!</definedName>
    <definedName name="DEBIT" localSheetId="10">#REF!</definedName>
    <definedName name="DEBIT" localSheetId="11">#REF!</definedName>
    <definedName name="ELEC_NET_OP_INC" localSheetId="10">#REF!</definedName>
    <definedName name="ELEC_NET_OP_INC" localSheetId="11">#REF!</definedName>
    <definedName name="EXHIB1A" localSheetId="10">'[6]#REF'!#REF!</definedName>
    <definedName name="EXHIB1A" localSheetId="11">'[6]#REF'!#REF!</definedName>
    <definedName name="EXHIB1C" localSheetId="10">#REF!</definedName>
    <definedName name="EXHIB1C" localSheetId="11">#REF!</definedName>
    <definedName name="EXHIB2B" localSheetId="10">'[7]Ex 2'!#REF!</definedName>
    <definedName name="EXHIB2B" localSheetId="11">'[7]Ex 2'!#REF!</definedName>
    <definedName name="EXHIB3" localSheetId="10">#REF!</definedName>
    <definedName name="EXHIB3" localSheetId="11">#REF!</definedName>
    <definedName name="EXHIB6" localSheetId="10">'[7]not used Ex 4'!#REF!</definedName>
    <definedName name="EXHIB6" localSheetId="11">'[7]not used Ex 4'!#REF!</definedName>
    <definedName name="Fac_2000" localSheetId="10">'[4]LGE Base Fuel &amp; FAC'!#REF!</definedName>
    <definedName name="Fac_2000" localSheetId="11">'[4]LGE Base Fuel &amp; FAC'!#REF!</definedName>
    <definedName name="fac_annual_ku" localSheetId="10">'[4]LGE Base Fuel &amp; FAC'!#REF!</definedName>
    <definedName name="fac_annual_ku" localSheetId="11">'[4]LGE Base Fuel &amp; FAC'!#REF!</definedName>
    <definedName name="fac_hide_ku_01" localSheetId="10">'[4]LGE Base Fuel &amp; FAC'!#REF!</definedName>
    <definedName name="fac_hide_ku_01" localSheetId="11">'[4]LGE Base Fuel &amp; FAC'!#REF!</definedName>
    <definedName name="fac_hide_lge_01" localSheetId="10">'[4]LGE Base Fuel &amp; FAC'!#REF!</definedName>
    <definedName name="fac_hide_lge_01" localSheetId="11">'[4]LGE Base Fuel &amp; FAC'!#REF!</definedName>
    <definedName name="fac_ku_01" localSheetId="10">'[4]LGE Base Fuel &amp; FAC'!#REF!</definedName>
    <definedName name="fac_ku_01" localSheetId="11">'[4]LGE Base Fuel &amp; FAC'!#REF!</definedName>
    <definedName name="FOOTER" localSheetId="10">#REF!</definedName>
    <definedName name="FOOTER" localSheetId="11">#REF!</definedName>
    <definedName name="FORECAST">"'IFPSReport'!R5C3:R5C14"</definedName>
    <definedName name="fuelcost" localSheetId="10">#REF!</definedName>
    <definedName name="fuelcost" localSheetId="11">#REF!</definedName>
    <definedName name="gas_data" localSheetId="10">#REF!</definedName>
    <definedName name="gas_data" localSheetId="11">#REF!</definedName>
    <definedName name="GAS_NET_OP_INC" localSheetId="10">#REF!</definedName>
    <definedName name="GAS_NET_OP_INC" localSheetId="11">#REF!</definedName>
    <definedName name="GenEx_Annual_KU" localSheetId="10">'[4]LGE Cost of Sales'!#REF!</definedName>
    <definedName name="GenEx_Annual_KU" localSheetId="11">'[4]LGE Cost of Sales'!#REF!</definedName>
    <definedName name="genex_hide_ku_01" localSheetId="10">'[4]LGE Cost of Sales'!#REF!</definedName>
    <definedName name="genex_hide_ku_01" localSheetId="11">'[4]LGE Cost of Sales'!#REF!</definedName>
    <definedName name="genex_hide_lge_01" localSheetId="10">'[4]LGE Cost of Sales'!#REF!</definedName>
    <definedName name="genex_hide_lge_01" localSheetId="11">'[4]LGE Cost of Sales'!#REF!</definedName>
    <definedName name="genex_ku_01" localSheetId="10">'[4]LGE Cost of Sales'!#REF!</definedName>
    <definedName name="genex_ku_01" localSheetId="11">'[4]LGE Cost of Sales'!#REF!</definedName>
    <definedName name="KUELIMBAL" localSheetId="10">#REF!</definedName>
    <definedName name="KUELIMBAL" localSheetId="11">#REF!</definedName>
    <definedName name="KUELIMCASH" localSheetId="10">#REF!</definedName>
    <definedName name="KUELIMCASH" localSheetId="11">#REF!</definedName>
    <definedName name="LNGCL" localSheetId="10">#REF!</definedName>
    <definedName name="LNGCL" localSheetId="11">#REF!</definedName>
    <definedName name="NET_OP_INC" localSheetId="10">#REF!</definedName>
    <definedName name="NET_OP_INC" localSheetId="11">#REF!</definedName>
    <definedName name="netrev_hide_ku_01" localSheetId="10">'[4]LGE Gross Margin-Inc.Stmt'!#REF!</definedName>
    <definedName name="netrev_hide_ku_01" localSheetId="11">'[4]LGE Gross Margin-Inc.Stmt'!#REF!</definedName>
    <definedName name="netrev_hide_lge_01" localSheetId="10">'[4]LGE Gross Margin-Inc.Stmt'!#REF!</definedName>
    <definedName name="netrev_hide_lge_01" localSheetId="11">'[4]LGE Gross Margin-Inc.Stmt'!#REF!</definedName>
    <definedName name="netrev_ku_01" localSheetId="10">'[4]LGE Gross Margin-Inc.Stmt'!#REF!</definedName>
    <definedName name="netrev_ku_01" localSheetId="11">'[4]LGE Gross Margin-Inc.Stmt'!#REF!</definedName>
    <definedName name="NetRevenue_Annual_KU" localSheetId="10">'[4]LGE Gross Margin-Inc.Stmt'!#REF!</definedName>
    <definedName name="NetRevenue_Annual_KU" localSheetId="11">'[4]LGE Gross Margin-Inc.Stmt'!#REF!</definedName>
    <definedName name="PAGE" localSheetId="10">#REF!</definedName>
    <definedName name="PAGE" localSheetId="11">#REF!</definedName>
    <definedName name="PAGE10" localSheetId="10">#REF!</definedName>
    <definedName name="PAGE10" localSheetId="11">#REF!</definedName>
    <definedName name="PAGE1B" localSheetId="10">[3]d20!#REF!</definedName>
    <definedName name="PAGE1B" localSheetId="11">[3]d20!#REF!</definedName>
    <definedName name="PAGE7" localSheetId="10">#REF!</definedName>
    <definedName name="PAGE7" localSheetId="11">#REF!</definedName>
    <definedName name="page8" localSheetId="10">#REF!</definedName>
    <definedName name="page8" localSheetId="11">#REF!</definedName>
    <definedName name="PAGE9" localSheetId="10">#REF!</definedName>
    <definedName name="PAGE9" localSheetId="11">#REF!</definedName>
    <definedName name="_xlnm.Print_Area" localSheetId="1">'Allocation ProForma'!$F$6:$U$824,'Allocation ProForma'!$F$1010:$U$1167</definedName>
    <definedName name="_xlnm.Print_Area" localSheetId="13">'Billing Det'!$A$1:$F$38</definedName>
    <definedName name="_xlnm.Print_Area" localSheetId="0">'Functional Assignment'!$F$6:$AE$614</definedName>
    <definedName name="_xlnm.Print_Area" localSheetId="5">'GS Unit Costs'!$A$1:$K$58</definedName>
    <definedName name="_xlnm.Print_Area" localSheetId="10">'ITODP Unit Costs'!$A$1:$K$59</definedName>
    <definedName name="_xlnm.Print_Area" localSheetId="11">'ITODS Unit Costs'!$A$1:$K$59</definedName>
    <definedName name="_xlnm.Print_Area" localSheetId="6">'PSP Unit Costs'!$A$1:$K$59</definedName>
    <definedName name="_xlnm.Print_Area" localSheetId="7">'PSS Unit Costs'!$A$1:$K$59</definedName>
    <definedName name="_xlnm.Print_Area" localSheetId="4">'Res Unit Costs'!$A$7:$K$58</definedName>
    <definedName name="_xlnm.Print_Area" localSheetId="12">'RTS Unit Costs'!$A$1:$K$59</definedName>
    <definedName name="_xlnm.Print_Area" localSheetId="2">Summary!$A$1:$I$24</definedName>
    <definedName name="_xlnm.Print_Area" localSheetId="3">'Summary of Returns'!$A$1:$G$76</definedName>
    <definedName name="_xlnm.Print_Area" localSheetId="8">'TODP Unit Costs'!$A$1:$K$59</definedName>
    <definedName name="_xlnm.Print_Area" localSheetId="9">'TODS Unit Costs'!$A$1:$K$59</definedName>
    <definedName name="_xlnm.Print_Titles" localSheetId="1">'Allocation ProForma'!$A:$E,'Allocation ProForma'!$2:$5</definedName>
    <definedName name="_xlnm.Print_Titles" localSheetId="13">'Billing Det'!$A:$A,'Billing Det'!$37:$38</definedName>
    <definedName name="_xlnm.Print_Titles" localSheetId="0">'Functional Assignment'!$A:$E,'Functional Assignment'!$2:$5</definedName>
    <definedName name="REPORT" localSheetId="10">#REF!</definedName>
    <definedName name="REPORT" localSheetId="11">#REF!</definedName>
    <definedName name="require_hide_ku_01" localSheetId="10">'[4]LGE Require &amp; Source'!#REF!</definedName>
    <definedName name="require_hide_ku_01" localSheetId="11">'[4]LGE Require &amp; Source'!#REF!</definedName>
    <definedName name="require_hide_lge_01" localSheetId="10">'[4]LGE Require &amp; Source'!#REF!</definedName>
    <definedName name="require_hide_lge_01" localSheetId="11">'[4]LGE Require &amp; Source'!#REF!</definedName>
    <definedName name="require_ku_01" localSheetId="10">'[4]LGE Require &amp; Source'!#REF!</definedName>
    <definedName name="require_ku_01" localSheetId="11">'[4]LGE Require &amp; Source'!#REF!</definedName>
    <definedName name="Requirements_Annual_KU" localSheetId="10">'[4]LGE Require &amp; Source'!#REF!</definedName>
    <definedName name="Requirements_Annual_KU" localSheetId="11">'[4]LGE Require &amp; Source'!#REF!</definedName>
    <definedName name="Requirements_Data" localSheetId="10">'[4]LGE Require &amp; Source'!#REF!</definedName>
    <definedName name="Requirements_Data" localSheetId="11">'[4]LGE Require &amp; Source'!#REF!</definedName>
    <definedName name="Requirements_KU" localSheetId="10">'[4]LGE Require &amp; Source'!#REF!</definedName>
    <definedName name="Requirements_KU" localSheetId="11">'[4]LGE Require &amp; Source'!#REF!</definedName>
    <definedName name="RevCol01B" localSheetId="10">#REF!</definedName>
    <definedName name="RevCol01B" localSheetId="11">#REF!</definedName>
    <definedName name="RevCol02B" localSheetId="10">#REF!</definedName>
    <definedName name="RevCol02B" localSheetId="11">#REF!</definedName>
    <definedName name="RevColTmp" localSheetId="10">#REF!</definedName>
    <definedName name="RevColTmp" localSheetId="11">#REF!</definedName>
    <definedName name="RevColTmpA" localSheetId="10">#REF!</definedName>
    <definedName name="RevColTmpA" localSheetId="11">#REF!</definedName>
    <definedName name="RevColTmpB" localSheetId="10">#REF!</definedName>
    <definedName name="RevColTmpB" localSheetId="11">#REF!</definedName>
    <definedName name="revenues_hide_ku_01" localSheetId="10">'[4]KU Other Electric Revenues'!#REF!</definedName>
    <definedName name="revenues_hide_ku_01" localSheetId="11">'[4]KU Other Electric Revenues'!#REF!</definedName>
    <definedName name="revenues_ku_01" localSheetId="10">'[4]KU Other Electric Revenues'!#REF!</definedName>
    <definedName name="revenues_ku_01" localSheetId="11">'[4]KU Other Electric Revenues'!#REF!</definedName>
    <definedName name="Sales" localSheetId="10">'[4]LGE Sales'!#REF!</definedName>
    <definedName name="Sales" localSheetId="11">'[4]LGE Sales'!#REF!</definedName>
    <definedName name="sales_hide_ku_01" localSheetId="10">'[4]LGE Sales'!#REF!</definedName>
    <definedName name="sales_hide_ku_01" localSheetId="11">'[4]LGE Sales'!#REF!</definedName>
    <definedName name="sales_ku_01" localSheetId="10">'[4]LGE Sales'!#REF!</definedName>
    <definedName name="sales_ku_01" localSheetId="11">'[4]LGE Sales'!#REF!</definedName>
    <definedName name="sales_title_ku" localSheetId="10">'[4]LGE Sales'!#REF!</definedName>
    <definedName name="sales_title_ku" localSheetId="11">'[4]LGE Sales'!#REF!</definedName>
    <definedName name="SCHEDZ" localSheetId="10">#REF!</definedName>
    <definedName name="SCHEDZ" localSheetId="11">#REF!</definedName>
    <definedName name="shoot" localSheetId="10">#REF!</definedName>
    <definedName name="shoot" localSheetId="11">#REF!</definedName>
    <definedName name="Support" localSheetId="10">#REF!</definedName>
    <definedName name="Support" localSheetId="11">#REF!</definedName>
    <definedName name="SUPPORT5" localSheetId="10">#REF!</definedName>
    <definedName name="SUPPORT5" localSheetId="11">#REF!</definedName>
    <definedName name="SUPPORT6" localSheetId="10">#REF!</definedName>
    <definedName name="SUPPORT6" localSheetId="11">#REF!</definedName>
    <definedName name="TAX_RATE" localSheetId="10">'[6]#REF'!#REF!</definedName>
    <definedName name="TAX_RATE" localSheetId="11">'[6]#REF'!#REF!</definedName>
    <definedName name="test" localSheetId="5">'GS Unit Costs'!test</definedName>
    <definedName name="test" localSheetId="10">'ITODP Unit Costs'!test</definedName>
    <definedName name="test" localSheetId="11">'ITODS Unit Costs'!test</definedName>
    <definedName name="test" localSheetId="6">'PSP Unit Costs'!test</definedName>
    <definedName name="test" localSheetId="7">'PSS Unit Costs'!test</definedName>
    <definedName name="test" localSheetId="4">'Res Unit Costs'!test</definedName>
    <definedName name="test" localSheetId="12">'RTS Unit Costs'!test</definedName>
    <definedName name="test" localSheetId="2">Summary!test</definedName>
    <definedName name="test" localSheetId="8">'TODP Unit Costs'!test</definedName>
    <definedName name="test" localSheetId="9">'TODS Unit Costs'!test</definedName>
    <definedName name="test">[0]!test</definedName>
    <definedName name="ttt" localSheetId="10">#REF!</definedName>
    <definedName name="ttt" localSheetId="11">#REF!</definedName>
    <definedName name="vol_rev_annual_ku" localSheetId="10">'[4]LGE Retail Margin'!#REF!</definedName>
    <definedName name="vol_rev_annual_ku" localSheetId="11">'[4]LGE Retail Margin'!#REF!</definedName>
    <definedName name="vol_rev_hide_ku_monthly" localSheetId="10">'[4]LGE Retail Margin'!#REF!</definedName>
    <definedName name="vol_rev_hide_ku_monthly" localSheetId="11">'[4]LGE Retail Margin'!#REF!</definedName>
    <definedName name="vol_rev_hide_lge_01" localSheetId="10">'[4]LGE Retail Margin'!#REF!</definedName>
    <definedName name="vol_rev_hide_lge_01" localSheetId="11">'[4]LGE Retail Margin'!#REF!</definedName>
    <definedName name="vol_rev_ku_monthly" localSheetId="10">'[4]LGE Retail Margin'!#REF!</definedName>
    <definedName name="vol_rev_ku_monthly" localSheetId="11">'[4]LGE Retail Margin'!#REF!</definedName>
    <definedName name="volrev_data" localSheetId="10">'[4]LGE Retail Margin'!#REF!</definedName>
    <definedName name="volrev_data" localSheetId="11">'[4]LGE Retail Margin'!#REF!</definedName>
    <definedName name="YTD" localSheetId="10">#REF!</definedName>
    <definedName name="YTD" localSheetId="11">#REF!</definedName>
  </definedNames>
  <calcPr calcId="125725" calcOnSave="0"/>
</workbook>
</file>

<file path=xl/calcChain.xml><?xml version="1.0" encoding="utf-8"?>
<calcChain xmlns="http://schemas.openxmlformats.org/spreadsheetml/2006/main">
  <c r="P37" i="5"/>
  <c r="O37"/>
  <c r="Z767" i="2" l="1"/>
  <c r="Y767"/>
  <c r="X767"/>
  <c r="W767"/>
  <c r="V767"/>
  <c r="U767"/>
  <c r="T767"/>
  <c r="S767"/>
  <c r="R767"/>
  <c r="Q767"/>
  <c r="O767"/>
  <c r="N767"/>
  <c r="M767"/>
  <c r="L767"/>
  <c r="J767"/>
  <c r="I767"/>
  <c r="H767"/>
  <c r="G767"/>
  <c r="U695" l="1"/>
  <c r="T695"/>
  <c r="S695"/>
  <c r="R695"/>
  <c r="Q695"/>
  <c r="O695"/>
  <c r="N695"/>
  <c r="M695"/>
  <c r="L695"/>
  <c r="J695"/>
  <c r="I695"/>
  <c r="H695"/>
  <c r="G695"/>
  <c r="F973"/>
  <c r="L900" l="1"/>
  <c r="I49" i="14"/>
  <c r="J49" s="1"/>
  <c r="F1007" i="2"/>
  <c r="S846"/>
  <c r="M1005"/>
  <c r="N1005"/>
  <c r="O1005"/>
  <c r="R1007"/>
  <c r="V1005"/>
  <c r="W1005"/>
  <c r="X1005"/>
  <c r="Y1005"/>
  <c r="Z1005"/>
  <c r="G1007"/>
  <c r="H1007"/>
  <c r="I1007"/>
  <c r="J1007"/>
  <c r="M1007"/>
  <c r="N1007"/>
  <c r="O1007"/>
  <c r="P1007"/>
  <c r="Q1007"/>
  <c r="S1007"/>
  <c r="T1007"/>
  <c r="U1007"/>
  <c r="F912"/>
  <c r="Z1036"/>
  <c r="Y1036"/>
  <c r="X1036"/>
  <c r="W1036"/>
  <c r="V1036"/>
  <c r="Z1014"/>
  <c r="Y1014"/>
  <c r="X1014"/>
  <c r="W1014"/>
  <c r="V1014"/>
  <c r="G1054"/>
  <c r="G1057" s="1"/>
  <c r="H1054"/>
  <c r="H1057" s="1"/>
  <c r="I1054"/>
  <c r="I1057" s="1"/>
  <c r="J1054"/>
  <c r="J1057" s="1"/>
  <c r="K1054"/>
  <c r="L1054"/>
  <c r="L1057" s="1"/>
  <c r="O1054"/>
  <c r="O1057" s="1"/>
  <c r="P1054"/>
  <c r="Q1054"/>
  <c r="Q1057" s="1"/>
  <c r="R1054"/>
  <c r="R1057" s="1"/>
  <c r="S1054"/>
  <c r="S1057" s="1"/>
  <c r="T1054"/>
  <c r="T1057" s="1"/>
  <c r="U1054"/>
  <c r="U1057" s="1"/>
  <c r="K1055"/>
  <c r="P1055"/>
  <c r="AA1056"/>
  <c r="AB1056" s="1"/>
  <c r="F1057"/>
  <c r="M1057"/>
  <c r="N1057"/>
  <c r="G1058"/>
  <c r="H1058"/>
  <c r="I1058"/>
  <c r="J1058"/>
  <c r="K1058"/>
  <c r="L1058"/>
  <c r="O1058"/>
  <c r="O1230" s="1"/>
  <c r="P1058"/>
  <c r="Q1058"/>
  <c r="R1058"/>
  <c r="S1058"/>
  <c r="D3" i="11" s="1"/>
  <c r="T1058" i="2"/>
  <c r="T1234" s="1"/>
  <c r="U1058"/>
  <c r="G1059"/>
  <c r="H1059"/>
  <c r="I1059"/>
  <c r="J1059"/>
  <c r="K1059"/>
  <c r="L1059"/>
  <c r="P1059"/>
  <c r="Q1059"/>
  <c r="R1059"/>
  <c r="S1059"/>
  <c r="T1059"/>
  <c r="U1059"/>
  <c r="F1060"/>
  <c r="M1060"/>
  <c r="M1061" s="1"/>
  <c r="M1093" s="1"/>
  <c r="M1117" s="1"/>
  <c r="N1060"/>
  <c r="N830" s="1"/>
  <c r="V1061"/>
  <c r="V1093" s="1"/>
  <c r="V1117" s="1"/>
  <c r="W1061"/>
  <c r="W1093" s="1"/>
  <c r="W1117" s="1"/>
  <c r="G1064"/>
  <c r="G1065" s="1"/>
  <c r="H1064"/>
  <c r="H1065" s="1"/>
  <c r="H1066" s="1"/>
  <c r="H1067" s="1"/>
  <c r="J1064"/>
  <c r="J1065" s="1"/>
  <c r="J1066" s="1"/>
  <c r="L1064"/>
  <c r="O1064"/>
  <c r="O1232" s="1"/>
  <c r="P1064"/>
  <c r="P1065" s="1"/>
  <c r="P1066" s="1"/>
  <c r="Q1064"/>
  <c r="Q1065" s="1"/>
  <c r="Q1066" s="1"/>
  <c r="R1064"/>
  <c r="R1065" s="1"/>
  <c r="R1066" s="1"/>
  <c r="S1064"/>
  <c r="T1064"/>
  <c r="T1065" s="1"/>
  <c r="T1066" s="1"/>
  <c r="U1064"/>
  <c r="U1065" s="1"/>
  <c r="U1066" s="1"/>
  <c r="M1065"/>
  <c r="M1066" s="1"/>
  <c r="N1065"/>
  <c r="N1066" s="1"/>
  <c r="N1067" s="1"/>
  <c r="V1065"/>
  <c r="V1066" s="1"/>
  <c r="V1067" s="1"/>
  <c r="W1065"/>
  <c r="W1066" s="1"/>
  <c r="X1065"/>
  <c r="X1066" s="1"/>
  <c r="X1067" s="1"/>
  <c r="X1069" s="1"/>
  <c r="Y1065"/>
  <c r="Y1066" s="1"/>
  <c r="Y1067" s="1"/>
  <c r="Y1069" s="1"/>
  <c r="Z1065"/>
  <c r="Z1066" s="1"/>
  <c r="Z1067" s="1"/>
  <c r="Z1069" s="1"/>
  <c r="X1072"/>
  <c r="Y1072"/>
  <c r="Z1072"/>
  <c r="H1075"/>
  <c r="J1075"/>
  <c r="J1082" s="1"/>
  <c r="O1075"/>
  <c r="Q1075"/>
  <c r="Q1076" s="1"/>
  <c r="Q1077" s="1"/>
  <c r="R1075"/>
  <c r="R1076" s="1"/>
  <c r="R1077" s="1"/>
  <c r="T1075"/>
  <c r="T1076" s="1"/>
  <c r="U1075"/>
  <c r="M1076"/>
  <c r="M1080" s="1"/>
  <c r="N1076"/>
  <c r="V1076"/>
  <c r="V1077" s="1"/>
  <c r="W1076"/>
  <c r="W1077" s="1"/>
  <c r="X1076"/>
  <c r="X1077" s="1"/>
  <c r="X1079" s="1"/>
  <c r="Y1076"/>
  <c r="Y1077" s="1"/>
  <c r="Y1079" s="1"/>
  <c r="Z1076"/>
  <c r="Z1077" s="1"/>
  <c r="Z1079" s="1"/>
  <c r="L1007"/>
  <c r="K1007"/>
  <c r="K900"/>
  <c r="AA1017"/>
  <c r="AB1017" s="1"/>
  <c r="E49" i="19"/>
  <c r="G49" s="1"/>
  <c r="E49" i="22"/>
  <c r="H49" s="1"/>
  <c r="L1162" i="2"/>
  <c r="L1145"/>
  <c r="L1142"/>
  <c r="L1140"/>
  <c r="L1139"/>
  <c r="L1134"/>
  <c r="L1131"/>
  <c r="L1100"/>
  <c r="L1099"/>
  <c r="L1092" s="1"/>
  <c r="L1098"/>
  <c r="L1097"/>
  <c r="L1087" s="1"/>
  <c r="L1088" s="1"/>
  <c r="L1089" s="1"/>
  <c r="L1096"/>
  <c r="L1090" s="1"/>
  <c r="K1162"/>
  <c r="K1167"/>
  <c r="K1145"/>
  <c r="K1142"/>
  <c r="K1140"/>
  <c r="K1139"/>
  <c r="K1134"/>
  <c r="K1131"/>
  <c r="K1100"/>
  <c r="K1099"/>
  <c r="K1098"/>
  <c r="K1091" s="1"/>
  <c r="K1101" s="1"/>
  <c r="K1097"/>
  <c r="D20" i="8"/>
  <c r="D20" i="7"/>
  <c r="K1096" i="2"/>
  <c r="P900"/>
  <c r="H49" i="23"/>
  <c r="G49"/>
  <c r="H49" i="21"/>
  <c r="G49"/>
  <c r="H49" i="20"/>
  <c r="G49"/>
  <c r="H49" i="17"/>
  <c r="G49"/>
  <c r="H49" i="16"/>
  <c r="G49"/>
  <c r="V962" i="2"/>
  <c r="E943"/>
  <c r="F1029" s="1"/>
  <c r="Z875"/>
  <c r="Y875"/>
  <c r="X875"/>
  <c r="W875"/>
  <c r="V875"/>
  <c r="U875"/>
  <c r="T875"/>
  <c r="S875"/>
  <c r="R875"/>
  <c r="Q875"/>
  <c r="P875"/>
  <c r="O875"/>
  <c r="N875"/>
  <c r="M875"/>
  <c r="L875"/>
  <c r="K875"/>
  <c r="J875"/>
  <c r="I875"/>
  <c r="H875"/>
  <c r="G875"/>
  <c r="F875"/>
  <c r="Z864"/>
  <c r="Y864"/>
  <c r="X864"/>
  <c r="W864"/>
  <c r="V864"/>
  <c r="P1167"/>
  <c r="M1167"/>
  <c r="H30" i="5"/>
  <c r="H37" s="1"/>
  <c r="H39" s="1"/>
  <c r="T1142" i="2"/>
  <c r="S1142"/>
  <c r="Q1142"/>
  <c r="P1142"/>
  <c r="J1142"/>
  <c r="I1142"/>
  <c r="H1142"/>
  <c r="G1142"/>
  <c r="T1092"/>
  <c r="T1091"/>
  <c r="T1110" s="1"/>
  <c r="T1090"/>
  <c r="T1087"/>
  <c r="T1088" s="1"/>
  <c r="T1089" s="1"/>
  <c r="N1103"/>
  <c r="M1103"/>
  <c r="M1110"/>
  <c r="J1092"/>
  <c r="J1091"/>
  <c r="J1087"/>
  <c r="J1088" s="1"/>
  <c r="J1090"/>
  <c r="I1092"/>
  <c r="I1091"/>
  <c r="I1087"/>
  <c r="I1088" s="1"/>
  <c r="H1092"/>
  <c r="H1091"/>
  <c r="H1090"/>
  <c r="H1087"/>
  <c r="H1088" s="1"/>
  <c r="G1092"/>
  <c r="G1091"/>
  <c r="G1090"/>
  <c r="G1087"/>
  <c r="I32" i="5"/>
  <c r="I37" s="1"/>
  <c r="G37"/>
  <c r="E37"/>
  <c r="C12"/>
  <c r="B12"/>
  <c r="E14" i="8" s="1"/>
  <c r="F14" s="1"/>
  <c r="B20" i="5"/>
  <c r="E18" i="8" s="1"/>
  <c r="F18" s="1"/>
  <c r="F819" i="2"/>
  <c r="E839"/>
  <c r="H1132"/>
  <c r="G1132"/>
  <c r="C38" i="7"/>
  <c r="C36"/>
  <c r="C32"/>
  <c r="C30"/>
  <c r="C24"/>
  <c r="C22"/>
  <c r="F22" s="1"/>
  <c r="F55" i="1"/>
  <c r="F54"/>
  <c r="F112"/>
  <c r="O1162" i="2"/>
  <c r="B32" i="5"/>
  <c r="B26"/>
  <c r="E28" i="7" s="1"/>
  <c r="F28" s="1"/>
  <c r="B22" i="5"/>
  <c r="B8"/>
  <c r="C16"/>
  <c r="F670" i="2"/>
  <c r="F682" s="1"/>
  <c r="U1092"/>
  <c r="U1103" s="1"/>
  <c r="S1092"/>
  <c r="S1103" s="1"/>
  <c r="R1092"/>
  <c r="R1103" s="1"/>
  <c r="Q1092"/>
  <c r="Q1103" s="1"/>
  <c r="P1092"/>
  <c r="P1103" s="1"/>
  <c r="U1091"/>
  <c r="U1110" s="1"/>
  <c r="S1091"/>
  <c r="S1110" s="1"/>
  <c r="R1091"/>
  <c r="R1110" s="1"/>
  <c r="Q1091"/>
  <c r="Q1110" s="1"/>
  <c r="P1091"/>
  <c r="P1110" s="1"/>
  <c r="U1090"/>
  <c r="S1090"/>
  <c r="U1087"/>
  <c r="U1088" s="1"/>
  <c r="U1089" s="1"/>
  <c r="S1087"/>
  <c r="S1088" s="1"/>
  <c r="S1089" s="1"/>
  <c r="R1087"/>
  <c r="R1088" s="1"/>
  <c r="R1089" s="1"/>
  <c r="Q1087"/>
  <c r="Q1088" s="1"/>
  <c r="Q1089" s="1"/>
  <c r="P1087"/>
  <c r="K36" i="5"/>
  <c r="K34"/>
  <c r="K32"/>
  <c r="K30"/>
  <c r="K28"/>
  <c r="K26"/>
  <c r="K24"/>
  <c r="K22"/>
  <c r="K20"/>
  <c r="K18"/>
  <c r="K16"/>
  <c r="K14"/>
  <c r="K12"/>
  <c r="K10"/>
  <c r="K8"/>
  <c r="C24" i="8"/>
  <c r="F24"/>
  <c r="F1078" i="2"/>
  <c r="P3" i="11"/>
  <c r="P4"/>
  <c r="O6"/>
  <c r="C38" i="8"/>
  <c r="C36"/>
  <c r="F43" i="7"/>
  <c r="E38"/>
  <c r="F38"/>
  <c r="D38"/>
  <c r="E36"/>
  <c r="F36" s="1"/>
  <c r="D36"/>
  <c r="D34"/>
  <c r="E32"/>
  <c r="F32" s="1"/>
  <c r="D32"/>
  <c r="E30"/>
  <c r="F30" s="1"/>
  <c r="D30"/>
  <c r="D28"/>
  <c r="E26"/>
  <c r="D26"/>
  <c r="E16"/>
  <c r="F16" s="1"/>
  <c r="D16"/>
  <c r="E14"/>
  <c r="F14" s="1"/>
  <c r="E12"/>
  <c r="D12"/>
  <c r="E10"/>
  <c r="D10"/>
  <c r="E38" i="8"/>
  <c r="E36"/>
  <c r="E32"/>
  <c r="F32" s="1"/>
  <c r="E30"/>
  <c r="F30" s="1"/>
  <c r="E26"/>
  <c r="F26" s="1"/>
  <c r="F22"/>
  <c r="E16"/>
  <c r="F16" s="1"/>
  <c r="E12"/>
  <c r="F12" s="1"/>
  <c r="D38"/>
  <c r="D36"/>
  <c r="D34"/>
  <c r="D32"/>
  <c r="D30"/>
  <c r="D28"/>
  <c r="D26"/>
  <c r="D16"/>
  <c r="D12"/>
  <c r="D10"/>
  <c r="F43"/>
  <c r="F37" i="5"/>
  <c r="F40" s="1"/>
  <c r="F1165" i="2"/>
  <c r="F694"/>
  <c r="F766" s="1"/>
  <c r="F1131"/>
  <c r="I575" i="1"/>
  <c r="AF575" s="1"/>
  <c r="AG575" s="1"/>
  <c r="J575"/>
  <c r="H575"/>
  <c r="F587"/>
  <c r="W562"/>
  <c r="AF562" s="1"/>
  <c r="AG562" s="1"/>
  <c r="V562"/>
  <c r="W560"/>
  <c r="W561"/>
  <c r="V560"/>
  <c r="V561" s="1"/>
  <c r="U562"/>
  <c r="T562"/>
  <c r="U560"/>
  <c r="T560"/>
  <c r="T561" s="1"/>
  <c r="F498"/>
  <c r="F500" s="1"/>
  <c r="F307"/>
  <c r="F305"/>
  <c r="F309" s="1"/>
  <c r="F1152" i="2"/>
  <c r="F520" i="1"/>
  <c r="F517"/>
  <c r="F519"/>
  <c r="F516"/>
  <c r="F515"/>
  <c r="F514"/>
  <c r="F85"/>
  <c r="F84"/>
  <c r="F83"/>
  <c r="O1091" i="2"/>
  <c r="O1110" s="1"/>
  <c r="O1092"/>
  <c r="O1103" s="1"/>
  <c r="O1087"/>
  <c r="O1088" s="1"/>
  <c r="D17" i="4"/>
  <c r="C17"/>
  <c r="F68" i="1"/>
  <c r="F70" s="1"/>
  <c r="F78" s="1"/>
  <c r="F38"/>
  <c r="F37"/>
  <c r="F583" s="1"/>
  <c r="H3" i="12"/>
  <c r="D37" i="5"/>
  <c r="E2" i="2"/>
  <c r="F2" s="1"/>
  <c r="G2" s="1"/>
  <c r="G776" s="1"/>
  <c r="F761"/>
  <c r="F762"/>
  <c r="F806"/>
  <c r="F910" s="1"/>
  <c r="F982" s="1"/>
  <c r="F1027" s="1"/>
  <c r="F932"/>
  <c r="Z956"/>
  <c r="M827"/>
  <c r="M1088"/>
  <c r="M1089" s="1"/>
  <c r="N1088"/>
  <c r="N1089" s="1"/>
  <c r="V1088"/>
  <c r="V1089" s="1"/>
  <c r="F1103"/>
  <c r="V1103"/>
  <c r="W1103"/>
  <c r="X1103"/>
  <c r="Y1103"/>
  <c r="Z1103"/>
  <c r="AA1105"/>
  <c r="AB1105" s="1"/>
  <c r="F1110"/>
  <c r="N1110"/>
  <c r="V1110"/>
  <c r="W1110"/>
  <c r="X1110"/>
  <c r="Y1110"/>
  <c r="Z1110"/>
  <c r="AA1112"/>
  <c r="AB1112" s="1"/>
  <c r="F1117"/>
  <c r="X1117"/>
  <c r="Y1117"/>
  <c r="Z1117"/>
  <c r="AA1119"/>
  <c r="AB1119" s="1"/>
  <c r="F1149"/>
  <c r="G1162"/>
  <c r="H1162"/>
  <c r="I1162"/>
  <c r="J1162"/>
  <c r="P1162"/>
  <c r="Q1162"/>
  <c r="R1162"/>
  <c r="T1162"/>
  <c r="U1162"/>
  <c r="F1133"/>
  <c r="AA1135"/>
  <c r="AB1135" s="1"/>
  <c r="AA1136"/>
  <c r="AB1136" s="1"/>
  <c r="AA1137"/>
  <c r="AB1137" s="1"/>
  <c r="G1233"/>
  <c r="G1234" s="1"/>
  <c r="D2" i="1"/>
  <c r="E2" s="1"/>
  <c r="F2" s="1"/>
  <c r="G2" s="1"/>
  <c r="H2" s="1"/>
  <c r="G15"/>
  <c r="F29"/>
  <c r="R613" s="1"/>
  <c r="F98"/>
  <c r="F104"/>
  <c r="F120"/>
  <c r="F137"/>
  <c r="F146"/>
  <c r="F148" s="1"/>
  <c r="F158"/>
  <c r="F169" s="1"/>
  <c r="F167"/>
  <c r="F178"/>
  <c r="F188"/>
  <c r="F190" s="1"/>
  <c r="F203"/>
  <c r="F223"/>
  <c r="G223"/>
  <c r="F241"/>
  <c r="F257" s="1"/>
  <c r="F259" s="1"/>
  <c r="G241"/>
  <c r="G257" s="1"/>
  <c r="G259" s="1"/>
  <c r="F255"/>
  <c r="G255"/>
  <c r="F272"/>
  <c r="H5" i="12" s="1"/>
  <c r="G272" i="1"/>
  <c r="F287"/>
  <c r="G287"/>
  <c r="G309"/>
  <c r="G313"/>
  <c r="F332"/>
  <c r="F341"/>
  <c r="F353"/>
  <c r="F362"/>
  <c r="F364" s="1"/>
  <c r="F375"/>
  <c r="F383"/>
  <c r="F396"/>
  <c r="F412"/>
  <c r="G412"/>
  <c r="F427"/>
  <c r="G427"/>
  <c r="F446"/>
  <c r="G446"/>
  <c r="F461"/>
  <c r="G461"/>
  <c r="F476"/>
  <c r="G476"/>
  <c r="G500"/>
  <c r="G504"/>
  <c r="F531"/>
  <c r="F539"/>
  <c r="G553"/>
  <c r="AF559"/>
  <c r="AG559" s="1"/>
  <c r="AF563"/>
  <c r="AG563" s="1"/>
  <c r="AF564"/>
  <c r="AG564" s="1"/>
  <c r="AF565"/>
  <c r="AG565"/>
  <c r="AF566"/>
  <c r="AG566" s="1"/>
  <c r="AF567"/>
  <c r="AG567" s="1"/>
  <c r="AF568"/>
  <c r="AG568" s="1"/>
  <c r="AF569"/>
  <c r="AG569" s="1"/>
  <c r="AF570"/>
  <c r="AG570" s="1"/>
  <c r="AF571"/>
  <c r="AG571" s="1"/>
  <c r="AF572"/>
  <c r="AG572" s="1"/>
  <c r="AF573"/>
  <c r="AG573" s="1"/>
  <c r="F574"/>
  <c r="F576"/>
  <c r="F577"/>
  <c r="F578"/>
  <c r="F579"/>
  <c r="F580"/>
  <c r="AF581"/>
  <c r="AG581" s="1"/>
  <c r="AF582"/>
  <c r="AG582" s="1"/>
  <c r="G583"/>
  <c r="AF589"/>
  <c r="AG589" s="1"/>
  <c r="AF590"/>
  <c r="AG590" s="1"/>
  <c r="AF591"/>
  <c r="AG591" s="1"/>
  <c r="AF592"/>
  <c r="AG592"/>
  <c r="AF593"/>
  <c r="AG593" s="1"/>
  <c r="U613"/>
  <c r="V613"/>
  <c r="AA1141" i="2"/>
  <c r="AB1141" s="1"/>
  <c r="AA1138"/>
  <c r="AB1138" s="1"/>
  <c r="J37" i="5"/>
  <c r="N37"/>
  <c r="L37"/>
  <c r="M37"/>
  <c r="G748" i="2"/>
  <c r="F15" i="1"/>
  <c r="H748" i="2"/>
  <c r="I748"/>
  <c r="J748"/>
  <c r="K748"/>
  <c r="L748"/>
  <c r="M748"/>
  <c r="N748"/>
  <c r="O748"/>
  <c r="P748"/>
  <c r="Q748"/>
  <c r="R748"/>
  <c r="S748"/>
  <c r="T748"/>
  <c r="U748"/>
  <c r="V748"/>
  <c r="W748"/>
  <c r="X748"/>
  <c r="Y748"/>
  <c r="Z748"/>
  <c r="F12" i="7"/>
  <c r="N827" i="2"/>
  <c r="O1231"/>
  <c r="O1228"/>
  <c r="O1229"/>
  <c r="O1226"/>
  <c r="O1225"/>
  <c r="O1227"/>
  <c r="O1224"/>
  <c r="O1272"/>
  <c r="O1262"/>
  <c r="O1242"/>
  <c r="O1252"/>
  <c r="O1247"/>
  <c r="O1282"/>
  <c r="O1257"/>
  <c r="O1277"/>
  <c r="O1267"/>
  <c r="D14" i="7"/>
  <c r="M828" i="2"/>
  <c r="F24" i="7"/>
  <c r="C26"/>
  <c r="G737" i="2"/>
  <c r="F1143"/>
  <c r="O1268"/>
  <c r="O1248"/>
  <c r="O1243"/>
  <c r="O1263"/>
  <c r="O1253"/>
  <c r="O1273"/>
  <c r="O1278"/>
  <c r="V1143"/>
  <c r="M1143"/>
  <c r="I49" i="20"/>
  <c r="J49"/>
  <c r="J49" i="21"/>
  <c r="N1143" i="2"/>
  <c r="I49" i="21"/>
  <c r="Z1143" i="2"/>
  <c r="W1143"/>
  <c r="W1082"/>
  <c r="Y1143"/>
  <c r="Z1082"/>
  <c r="X1143"/>
  <c r="X1082"/>
  <c r="V1082"/>
  <c r="N1082"/>
  <c r="Y1082"/>
  <c r="M1082"/>
  <c r="F10" i="7"/>
  <c r="I1064" i="2"/>
  <c r="D14" i="8"/>
  <c r="G1075" i="2"/>
  <c r="G1143" s="1"/>
  <c r="E10" i="8"/>
  <c r="F10" s="1"/>
  <c r="E34" i="7"/>
  <c r="F34" s="1"/>
  <c r="E34" i="8"/>
  <c r="F34" s="1"/>
  <c r="S1075" i="2"/>
  <c r="S1076" s="1"/>
  <c r="S1077" s="1"/>
  <c r="E18" i="7"/>
  <c r="D18"/>
  <c r="M830" i="2"/>
  <c r="M831"/>
  <c r="F49" i="21"/>
  <c r="T827" i="2"/>
  <c r="O1274"/>
  <c r="AA1145"/>
  <c r="AB1145" s="1"/>
  <c r="E833"/>
  <c r="N828"/>
  <c r="I1060"/>
  <c r="F49" i="16" s="1"/>
  <c r="H49" i="19"/>
  <c r="M1079" i="2"/>
  <c r="M1077"/>
  <c r="K1092"/>
  <c r="N831"/>
  <c r="N1061"/>
  <c r="N1093" s="1"/>
  <c r="N1117" s="1"/>
  <c r="N829"/>
  <c r="E840"/>
  <c r="O1065"/>
  <c r="O1066" s="1"/>
  <c r="AA613" i="1"/>
  <c r="W613"/>
  <c r="Z613"/>
  <c r="G448"/>
  <c r="G450" s="1"/>
  <c r="G452" s="1"/>
  <c r="R1142" i="2"/>
  <c r="I1075"/>
  <c r="I1143" s="1"/>
  <c r="E20" i="7"/>
  <c r="F20" s="1"/>
  <c r="E20" i="8"/>
  <c r="F20" s="1"/>
  <c r="K767" i="2" l="1"/>
  <c r="K695"/>
  <c r="P767"/>
  <c r="P695"/>
  <c r="AA1134"/>
  <c r="AB1134" s="1"/>
  <c r="AA1140"/>
  <c r="AB1140" s="1"/>
  <c r="K1103"/>
  <c r="K1102"/>
  <c r="G1103"/>
  <c r="G1102"/>
  <c r="H1103"/>
  <c r="H1102"/>
  <c r="I1110"/>
  <c r="I1101"/>
  <c r="J1110"/>
  <c r="J1101"/>
  <c r="G1110"/>
  <c r="G1101"/>
  <c r="H1110"/>
  <c r="H1101"/>
  <c r="I1103"/>
  <c r="I1102"/>
  <c r="J1103"/>
  <c r="J1102"/>
  <c r="L1103"/>
  <c r="L1102"/>
  <c r="G289" i="1"/>
  <c r="G261"/>
  <c r="E28" i="8"/>
  <c r="F28" s="1"/>
  <c r="F46" i="1"/>
  <c r="F48" s="1"/>
  <c r="F61" s="1"/>
  <c r="S1162" i="2"/>
  <c r="O1279"/>
  <c r="O1244"/>
  <c r="O1269"/>
  <c r="P1075"/>
  <c r="K1075"/>
  <c r="AA1096"/>
  <c r="AB1096" s="1"/>
  <c r="O1264"/>
  <c r="E40" i="8"/>
  <c r="F38"/>
  <c r="H458" i="1"/>
  <c r="H526"/>
  <c r="H200"/>
  <c r="H133"/>
  <c r="H379"/>
  <c r="H83"/>
  <c r="H337"/>
  <c r="H36"/>
  <c r="H416" s="1"/>
  <c r="H473"/>
  <c r="H466"/>
  <c r="H457"/>
  <c r="H459"/>
  <c r="H281"/>
  <c r="H330"/>
  <c r="H230"/>
  <c r="H268"/>
  <c r="H329"/>
  <c r="H422"/>
  <c r="H338"/>
  <c r="H142"/>
  <c r="H326"/>
  <c r="H275"/>
  <c r="H474"/>
  <c r="H58"/>
  <c r="H417"/>
  <c r="H247"/>
  <c r="H469"/>
  <c r="H175"/>
  <c r="H378"/>
  <c r="H65"/>
  <c r="H350"/>
  <c r="H327"/>
  <c r="H41"/>
  <c r="H252" s="1"/>
  <c r="H371"/>
  <c r="F89"/>
  <c r="F523"/>
  <c r="F551" s="1"/>
  <c r="F448"/>
  <c r="F450" s="1"/>
  <c r="F385"/>
  <c r="F343"/>
  <c r="F729" i="2"/>
  <c r="F750" s="1"/>
  <c r="F897" s="1"/>
  <c r="F903" s="1"/>
  <c r="F928" s="1"/>
  <c r="F711"/>
  <c r="E834"/>
  <c r="AA972"/>
  <c r="AB972" s="1"/>
  <c r="V1079"/>
  <c r="V1080" s="1"/>
  <c r="G777"/>
  <c r="V1069"/>
  <c r="V1070" s="1"/>
  <c r="G736"/>
  <c r="F984"/>
  <c r="AA1131"/>
  <c r="AB1131" s="1"/>
  <c r="AA1139"/>
  <c r="AB1139" s="1"/>
  <c r="AA900"/>
  <c r="AB900" s="1"/>
  <c r="AA875"/>
  <c r="AB875" s="1"/>
  <c r="G773"/>
  <c r="G677"/>
  <c r="AA1099"/>
  <c r="AB1099" s="1"/>
  <c r="F941"/>
  <c r="H2"/>
  <c r="H1051" s="1"/>
  <c r="W1079"/>
  <c r="W1080" s="1"/>
  <c r="W1081" s="1"/>
  <c r="G742"/>
  <c r="M829"/>
  <c r="O1249"/>
  <c r="AA1132"/>
  <c r="AB1132" s="1"/>
  <c r="H745"/>
  <c r="V1072"/>
  <c r="G1050"/>
  <c r="G772"/>
  <c r="D33" i="14" s="1"/>
  <c r="E33" s="1"/>
  <c r="K33" s="1"/>
  <c r="L33" s="1"/>
  <c r="G743" i="2"/>
  <c r="J1143"/>
  <c r="I49" i="17"/>
  <c r="F49" i="20"/>
  <c r="Q827" i="2"/>
  <c r="I1082"/>
  <c r="S1234"/>
  <c r="J827"/>
  <c r="O1283"/>
  <c r="O1284" s="1"/>
  <c r="J49" i="23"/>
  <c r="E17" i="4"/>
  <c r="I1076" i="2"/>
  <c r="J1060"/>
  <c r="J831" s="1"/>
  <c r="S1060"/>
  <c r="S1061" s="1"/>
  <c r="S1093" s="1"/>
  <c r="S1117" s="1"/>
  <c r="G827"/>
  <c r="I49" i="16"/>
  <c r="AA1162" i="2"/>
  <c r="AB1162" s="1"/>
  <c r="L1060"/>
  <c r="L830" s="1"/>
  <c r="J1076"/>
  <c r="D15" i="11"/>
  <c r="J49" i="17"/>
  <c r="T1060" i="2"/>
  <c r="T1061" s="1"/>
  <c r="Q1060"/>
  <c r="Q828" s="1"/>
  <c r="K1060"/>
  <c r="K1061" s="1"/>
  <c r="G732"/>
  <c r="D5" i="11"/>
  <c r="D17" s="1"/>
  <c r="R1082" i="2"/>
  <c r="M1067"/>
  <c r="M1069"/>
  <c r="M1072" s="1"/>
  <c r="M1070"/>
  <c r="G1060"/>
  <c r="G830" s="1"/>
  <c r="AA1059"/>
  <c r="AB1059" s="1"/>
  <c r="L828"/>
  <c r="F49" i="19"/>
  <c r="H1234" i="2"/>
  <c r="H1060"/>
  <c r="F49" i="15" s="1"/>
  <c r="H827" i="2"/>
  <c r="AA1055"/>
  <c r="AB1055" s="1"/>
  <c r="K1057"/>
  <c r="F77" i="1"/>
  <c r="F80" s="1"/>
  <c r="F91" s="1"/>
  <c r="F122" s="1"/>
  <c r="F72"/>
  <c r="I827" i="2"/>
  <c r="I1065"/>
  <c r="I1066" s="1"/>
  <c r="I1067" s="1"/>
  <c r="K1064"/>
  <c r="K1065" s="1"/>
  <c r="K1066" s="1"/>
  <c r="C37" i="5"/>
  <c r="D18" i="8"/>
  <c r="F1167" i="2"/>
  <c r="L1091"/>
  <c r="AA1098"/>
  <c r="AB1098" s="1"/>
  <c r="N1077"/>
  <c r="N1080"/>
  <c r="N1079"/>
  <c r="W1069"/>
  <c r="W1067"/>
  <c r="S827"/>
  <c r="S1065"/>
  <c r="S1066" s="1"/>
  <c r="O1254"/>
  <c r="F864"/>
  <c r="G1076"/>
  <c r="G1082"/>
  <c r="H19" i="1"/>
  <c r="H40"/>
  <c r="H199"/>
  <c r="H285"/>
  <c r="H464"/>
  <c r="H153"/>
  <c r="H185"/>
  <c r="I2"/>
  <c r="H143"/>
  <c r="H472"/>
  <c r="H174"/>
  <c r="H144"/>
  <c r="H370"/>
  <c r="H359"/>
  <c r="H455"/>
  <c r="H132"/>
  <c r="H163"/>
  <c r="H42"/>
  <c r="H339"/>
  <c r="H357"/>
  <c r="H360"/>
  <c r="H154"/>
  <c r="H129"/>
  <c r="H38"/>
  <c r="H235"/>
  <c r="H277"/>
  <c r="H279"/>
  <c r="H135"/>
  <c r="H33"/>
  <c r="H517" s="1"/>
  <c r="H156"/>
  <c r="H404"/>
  <c r="H421"/>
  <c r="H443"/>
  <c r="H336"/>
  <c r="H369"/>
  <c r="H586"/>
  <c r="H183"/>
  <c r="H176"/>
  <c r="H393"/>
  <c r="H585"/>
  <c r="H131"/>
  <c r="H269"/>
  <c r="H394"/>
  <c r="H456"/>
  <c r="H134"/>
  <c r="H141"/>
  <c r="H165"/>
  <c r="H348"/>
  <c r="H373"/>
  <c r="H39"/>
  <c r="H441" s="1"/>
  <c r="H284"/>
  <c r="H130"/>
  <c r="H471"/>
  <c r="H372"/>
  <c r="H37"/>
  <c r="H418" s="1"/>
  <c r="H347"/>
  <c r="H280"/>
  <c r="H465"/>
  <c r="H468"/>
  <c r="H470"/>
  <c r="H283"/>
  <c r="H534"/>
  <c r="H152"/>
  <c r="H402"/>
  <c r="H527"/>
  <c r="H213"/>
  <c r="H410"/>
  <c r="H214"/>
  <c r="H438"/>
  <c r="H407"/>
  <c r="H249"/>
  <c r="H66"/>
  <c r="H276"/>
  <c r="H282"/>
  <c r="H380"/>
  <c r="H184"/>
  <c r="H186"/>
  <c r="H328"/>
  <c r="H27"/>
  <c r="H155"/>
  <c r="H266"/>
  <c r="H351"/>
  <c r="H358"/>
  <c r="H381"/>
  <c r="H57"/>
  <c r="H162"/>
  <c r="H325"/>
  <c r="H44"/>
  <c r="H43"/>
  <c r="H251" s="1"/>
  <c r="H349"/>
  <c r="H164"/>
  <c r="H115"/>
  <c r="H278"/>
  <c r="H97"/>
  <c r="H234"/>
  <c r="H270"/>
  <c r="H201"/>
  <c r="H267"/>
  <c r="H437"/>
  <c r="H173"/>
  <c r="H23"/>
  <c r="H467"/>
  <c r="H439"/>
  <c r="H248"/>
  <c r="H246"/>
  <c r="H405"/>
  <c r="H229"/>
  <c r="H408"/>
  <c r="H420"/>
  <c r="F1153" i="2"/>
  <c r="F1154" s="1"/>
  <c r="F1156" s="1"/>
  <c r="L1075"/>
  <c r="AA1075" s="1"/>
  <c r="AB1075" s="1"/>
  <c r="B37" i="5"/>
  <c r="AA1097" i="2"/>
  <c r="AB1097" s="1"/>
  <c r="K1087"/>
  <c r="K1088" s="1"/>
  <c r="O1076"/>
  <c r="O1077" s="1"/>
  <c r="O1143"/>
  <c r="N1070"/>
  <c r="N1069"/>
  <c r="N1072" s="1"/>
  <c r="F387" i="1"/>
  <c r="F452" s="1"/>
  <c r="K37" i="5"/>
  <c r="AA1100" i="2"/>
  <c r="AB1100" s="1"/>
  <c r="G735"/>
  <c r="G738"/>
  <c r="G744"/>
  <c r="G775"/>
  <c r="G676"/>
  <c r="U561" i="1"/>
  <c r="AF561" s="1"/>
  <c r="AG561" s="1"/>
  <c r="AF560"/>
  <c r="AG560" s="1"/>
  <c r="J49" i="22"/>
  <c r="I49"/>
  <c r="K1143" i="2"/>
  <c r="K1076"/>
  <c r="K1080" s="1"/>
  <c r="K1082"/>
  <c r="AA767"/>
  <c r="H1143"/>
  <c r="I49" i="15"/>
  <c r="H1076" i="2"/>
  <c r="J49" i="15"/>
  <c r="H1082" i="2"/>
  <c r="H287" i="1"/>
  <c r="F192"/>
  <c r="F205" s="1"/>
  <c r="F261" s="1"/>
  <c r="G745" i="2"/>
  <c r="P1057"/>
  <c r="S1079"/>
  <c r="S1080" s="1"/>
  <c r="D40" i="8"/>
  <c r="F36"/>
  <c r="F40" s="1"/>
  <c r="Q1079" i="2"/>
  <c r="Q1080" s="1"/>
  <c r="H7" i="12"/>
  <c r="H9" s="1"/>
  <c r="F26" i="7"/>
  <c r="O1067" i="2"/>
  <c r="O1069"/>
  <c r="O1070" s="1"/>
  <c r="I830"/>
  <c r="I829"/>
  <c r="I828"/>
  <c r="I831"/>
  <c r="H831"/>
  <c r="H830"/>
  <c r="E49" i="15"/>
  <c r="H829" i="2"/>
  <c r="H49" i="15"/>
  <c r="H1061" i="2"/>
  <c r="O8" i="11"/>
  <c r="O7"/>
  <c r="J1089" i="2"/>
  <c r="T1077"/>
  <c r="T1079"/>
  <c r="U1234"/>
  <c r="U1060"/>
  <c r="D25" i="11"/>
  <c r="U827" i="2"/>
  <c r="AA748"/>
  <c r="AB748" s="1"/>
  <c r="U1143"/>
  <c r="U1076"/>
  <c r="U1067"/>
  <c r="U1069"/>
  <c r="R1067"/>
  <c r="R1069"/>
  <c r="J1070"/>
  <c r="J1069"/>
  <c r="J1072" s="1"/>
  <c r="J1067"/>
  <c r="D6" i="11"/>
  <c r="D18" s="1"/>
  <c r="D28" s="1"/>
  <c r="T831" i="2"/>
  <c r="G1061"/>
  <c r="R827"/>
  <c r="R1060"/>
  <c r="G670"/>
  <c r="G733"/>
  <c r="G680"/>
  <c r="G746"/>
  <c r="H1089"/>
  <c r="F18" i="7"/>
  <c r="E40"/>
  <c r="G1088" i="2"/>
  <c r="P1069"/>
  <c r="P1070" s="1"/>
  <c r="P1067"/>
  <c r="L827"/>
  <c r="L1065"/>
  <c r="L1066" s="1"/>
  <c r="H1069"/>
  <c r="H1072" s="1"/>
  <c r="H1070"/>
  <c r="O1060"/>
  <c r="O827"/>
  <c r="O1258"/>
  <c r="O1259" s="1"/>
  <c r="H680"/>
  <c r="H670"/>
  <c r="H746"/>
  <c r="AA1064"/>
  <c r="AB1064" s="1"/>
  <c r="D40" i="7"/>
  <c r="AA1090" i="2"/>
  <c r="AB1090" s="1"/>
  <c r="AA1058"/>
  <c r="AB1058" s="1"/>
  <c r="S831"/>
  <c r="S830"/>
  <c r="T1069"/>
  <c r="T1067"/>
  <c r="I1089"/>
  <c r="AA1092"/>
  <c r="AB1092" s="1"/>
  <c r="T1103"/>
  <c r="AA1142"/>
  <c r="AB1142" s="1"/>
  <c r="K1110"/>
  <c r="S1068"/>
  <c r="AA1068" s="1"/>
  <c r="AB1068" s="1"/>
  <c r="Q1069"/>
  <c r="Q1067"/>
  <c r="I1061"/>
  <c r="T830"/>
  <c r="G1066"/>
  <c r="R1079"/>
  <c r="R1080" s="1"/>
  <c r="P1060"/>
  <c r="J49" i="16"/>
  <c r="P827" i="2"/>
  <c r="R1143"/>
  <c r="S1143"/>
  <c r="Q1082"/>
  <c r="AA1054"/>
  <c r="Q1143"/>
  <c r="G49" i="22"/>
  <c r="T1143" i="2"/>
  <c r="Q831" l="1"/>
  <c r="J830"/>
  <c r="F695"/>
  <c r="L1110"/>
  <c r="L1101"/>
  <c r="G829"/>
  <c r="H49" i="14"/>
  <c r="J1061" i="2"/>
  <c r="E49" i="14"/>
  <c r="F49"/>
  <c r="Q830" i="2"/>
  <c r="J829"/>
  <c r="F49" i="17"/>
  <c r="G34" i="8"/>
  <c r="S1048" i="2" s="1"/>
  <c r="G32" i="8"/>
  <c r="R1048" i="2" s="1"/>
  <c r="G28" i="8"/>
  <c r="P1048" i="2" s="1"/>
  <c r="G18" i="8"/>
  <c r="K1048" i="2" s="1"/>
  <c r="G36" i="8"/>
  <c r="T1048" i="2" s="1"/>
  <c r="H383" i="1"/>
  <c r="P1143" i="2"/>
  <c r="I49" i="23"/>
  <c r="P1076" i="2"/>
  <c r="J828"/>
  <c r="G12" i="8"/>
  <c r="H1048" i="2" s="1"/>
  <c r="H518" i="1"/>
  <c r="H732" i="2"/>
  <c r="T828"/>
  <c r="F849"/>
  <c r="L831"/>
  <c r="F969"/>
  <c r="F975" s="1"/>
  <c r="H733"/>
  <c r="L1061"/>
  <c r="H736"/>
  <c r="H744"/>
  <c r="H1050"/>
  <c r="I2"/>
  <c r="I1152" s="1"/>
  <c r="H735"/>
  <c r="H738"/>
  <c r="H772"/>
  <c r="H775"/>
  <c r="H737"/>
  <c r="H776"/>
  <c r="H742"/>
  <c r="H676"/>
  <c r="H677"/>
  <c r="H773"/>
  <c r="AA695"/>
  <c r="AA1087"/>
  <c r="AB1087" s="1"/>
  <c r="S1081"/>
  <c r="I1069"/>
  <c r="I1072" s="1"/>
  <c r="K829"/>
  <c r="S828"/>
  <c r="L829"/>
  <c r="AA1091"/>
  <c r="AB1091" s="1"/>
  <c r="S829"/>
  <c r="G831"/>
  <c r="T829"/>
  <c r="K827"/>
  <c r="K828"/>
  <c r="K831"/>
  <c r="F49" i="22"/>
  <c r="S1082" i="2"/>
  <c r="K1093"/>
  <c r="K1117" s="1"/>
  <c r="I1080"/>
  <c r="I1077"/>
  <c r="I1079"/>
  <c r="AA1057"/>
  <c r="AB1057" s="1"/>
  <c r="J1080"/>
  <c r="J1081" s="1"/>
  <c r="J1077"/>
  <c r="J1079"/>
  <c r="Q829"/>
  <c r="Q1061"/>
  <c r="Q1093" s="1"/>
  <c r="Q1117" s="1"/>
  <c r="I1070"/>
  <c r="O1079"/>
  <c r="O1080" s="1"/>
  <c r="F478" i="1"/>
  <c r="F502"/>
  <c r="F504" s="1"/>
  <c r="H777" i="2"/>
  <c r="H743"/>
  <c r="K1079"/>
  <c r="K1077"/>
  <c r="K1089"/>
  <c r="H574" i="1"/>
  <c r="H375"/>
  <c r="I267"/>
  <c r="I19"/>
  <c r="I44"/>
  <c r="I279"/>
  <c r="I39"/>
  <c r="I250" s="1"/>
  <c r="I280"/>
  <c r="I115"/>
  <c r="I325"/>
  <c r="I337"/>
  <c r="I380"/>
  <c r="I162"/>
  <c r="I465"/>
  <c r="I153"/>
  <c r="I200"/>
  <c r="I270"/>
  <c r="I65"/>
  <c r="I360"/>
  <c r="J2"/>
  <c r="I357"/>
  <c r="I329"/>
  <c r="I37"/>
  <c r="I231" s="1"/>
  <c r="I133"/>
  <c r="I455"/>
  <c r="I165"/>
  <c r="I235"/>
  <c r="I175"/>
  <c r="I201"/>
  <c r="I284"/>
  <c r="I43"/>
  <c r="I420" s="1"/>
  <c r="I467"/>
  <c r="I41"/>
  <c r="I234" s="1"/>
  <c r="I141"/>
  <c r="I326"/>
  <c r="I349"/>
  <c r="I174"/>
  <c r="I422"/>
  <c r="I359"/>
  <c r="I379"/>
  <c r="I473"/>
  <c r="I470"/>
  <c r="I164"/>
  <c r="I336"/>
  <c r="I186"/>
  <c r="I154"/>
  <c r="I248"/>
  <c r="I327"/>
  <c r="I330"/>
  <c r="I268"/>
  <c r="I36"/>
  <c r="I438" s="1"/>
  <c r="I269"/>
  <c r="I176"/>
  <c r="I83"/>
  <c r="I97"/>
  <c r="I275"/>
  <c r="I185"/>
  <c r="I338"/>
  <c r="I143"/>
  <c r="I339"/>
  <c r="I277"/>
  <c r="I347"/>
  <c r="I350"/>
  <c r="I144"/>
  <c r="I468"/>
  <c r="I328"/>
  <c r="I129"/>
  <c r="I266"/>
  <c r="I534"/>
  <c r="I130"/>
  <c r="I57"/>
  <c r="I370"/>
  <c r="I464"/>
  <c r="I381"/>
  <c r="I472"/>
  <c r="I471"/>
  <c r="I371"/>
  <c r="I23"/>
  <c r="I131"/>
  <c r="I358"/>
  <c r="I282"/>
  <c r="I458"/>
  <c r="I404"/>
  <c r="I163"/>
  <c r="I33"/>
  <c r="I598" s="1"/>
  <c r="I474"/>
  <c r="I456"/>
  <c r="I184"/>
  <c r="I40"/>
  <c r="I135"/>
  <c r="I66"/>
  <c r="I372"/>
  <c r="I276"/>
  <c r="I134"/>
  <c r="I469"/>
  <c r="I526"/>
  <c r="I443"/>
  <c r="I283"/>
  <c r="I116"/>
  <c r="I527"/>
  <c r="I408"/>
  <c r="I409"/>
  <c r="I233"/>
  <c r="I373"/>
  <c r="I132"/>
  <c r="I142"/>
  <c r="I459"/>
  <c r="I421"/>
  <c r="I58"/>
  <c r="I156"/>
  <c r="I155"/>
  <c r="I586"/>
  <c r="I152"/>
  <c r="I183"/>
  <c r="I278"/>
  <c r="I199"/>
  <c r="I378"/>
  <c r="I229"/>
  <c r="I220"/>
  <c r="I213"/>
  <c r="I535"/>
  <c r="I84"/>
  <c r="I252"/>
  <c r="I457"/>
  <c r="I394"/>
  <c r="I281"/>
  <c r="I405"/>
  <c r="I518"/>
  <c r="I442"/>
  <c r="I285"/>
  <c r="I348"/>
  <c r="I351"/>
  <c r="I27"/>
  <c r="I585"/>
  <c r="I587" s="1"/>
  <c r="I198" s="1"/>
  <c r="I393"/>
  <c r="I466"/>
  <c r="I173"/>
  <c r="I38"/>
  <c r="I440" s="1"/>
  <c r="I369"/>
  <c r="I375" s="1"/>
  <c r="I172" s="1"/>
  <c r="I406"/>
  <c r="I42"/>
  <c r="I423" s="1"/>
  <c r="W1072" i="2"/>
  <c r="W1070"/>
  <c r="H828"/>
  <c r="G49" i="15"/>
  <c r="G49" i="14"/>
  <c r="G828" i="2"/>
  <c r="H233" i="1"/>
  <c r="I49" i="19"/>
  <c r="J49"/>
  <c r="L1143" i="2"/>
  <c r="L1082"/>
  <c r="L1076"/>
  <c r="H583" i="1"/>
  <c r="H46"/>
  <c r="H231"/>
  <c r="H587"/>
  <c r="H578"/>
  <c r="H476"/>
  <c r="H29"/>
  <c r="K1069" i="2"/>
  <c r="K1072" s="1"/>
  <c r="K1070"/>
  <c r="K1067"/>
  <c r="S1078"/>
  <c r="AA1078" s="1"/>
  <c r="AB1078" s="1"/>
  <c r="H442" i="1"/>
  <c r="F311"/>
  <c r="F289"/>
  <c r="H1077" i="2"/>
  <c r="H1079"/>
  <c r="H1080"/>
  <c r="H272" i="1"/>
  <c r="H577"/>
  <c r="H188"/>
  <c r="H419"/>
  <c r="H440"/>
  <c r="H232"/>
  <c r="N1081" i="2"/>
  <c r="F767"/>
  <c r="AB767" s="1"/>
  <c r="F696"/>
  <c r="F768" s="1"/>
  <c r="AB695"/>
  <c r="L1093"/>
  <c r="L1117" s="1"/>
  <c r="K830"/>
  <c r="N1071"/>
  <c r="H250" i="1"/>
  <c r="H576"/>
  <c r="H598"/>
  <c r="H406"/>
  <c r="H409"/>
  <c r="H116"/>
  <c r="H220"/>
  <c r="H84"/>
  <c r="H535"/>
  <c r="H403"/>
  <c r="H423"/>
  <c r="H461"/>
  <c r="G1077" i="2"/>
  <c r="G1079"/>
  <c r="G1080"/>
  <c r="O1061"/>
  <c r="O831"/>
  <c r="O828"/>
  <c r="O830"/>
  <c r="O829"/>
  <c r="I1093"/>
  <c r="I1117" s="1"/>
  <c r="I674"/>
  <c r="Q1072"/>
  <c r="Q1070"/>
  <c r="T1070"/>
  <c r="T1072"/>
  <c r="T1071"/>
  <c r="H1047"/>
  <c r="R1072"/>
  <c r="R1070"/>
  <c r="U1079"/>
  <c r="U1077"/>
  <c r="T1080"/>
  <c r="T1082"/>
  <c r="T1081"/>
  <c r="AA1065"/>
  <c r="AB1065" s="1"/>
  <c r="G14" i="8"/>
  <c r="I1048" i="2" s="1"/>
  <c r="G674"/>
  <c r="G771"/>
  <c r="G673"/>
  <c r="G741"/>
  <c r="G675"/>
  <c r="G1093"/>
  <c r="G1044"/>
  <c r="G774"/>
  <c r="G1152"/>
  <c r="G734"/>
  <c r="T1093"/>
  <c r="T1117" s="1"/>
  <c r="U1072"/>
  <c r="U1070"/>
  <c r="U1071"/>
  <c r="J1093"/>
  <c r="J1117" s="1"/>
  <c r="D19" i="11"/>
  <c r="D21" s="1"/>
  <c r="D27"/>
  <c r="D29" s="1"/>
  <c r="D31" s="1"/>
  <c r="P1061" i="2"/>
  <c r="P830"/>
  <c r="F49" i="23"/>
  <c r="P831" i="2"/>
  <c r="P829"/>
  <c r="P828"/>
  <c r="G1069"/>
  <c r="G1070"/>
  <c r="AA1066"/>
  <c r="AB1066" s="1"/>
  <c r="G1067"/>
  <c r="AB1054"/>
  <c r="AC1054"/>
  <c r="H826"/>
  <c r="H785"/>
  <c r="H833"/>
  <c r="H1071"/>
  <c r="H1052"/>
  <c r="G833"/>
  <c r="G785"/>
  <c r="G826"/>
  <c r="J1071"/>
  <c r="H774"/>
  <c r="H741"/>
  <c r="H1093"/>
  <c r="H1117" s="1"/>
  <c r="H734"/>
  <c r="H674"/>
  <c r="H1152"/>
  <c r="H1044"/>
  <c r="H771"/>
  <c r="H673"/>
  <c r="H675"/>
  <c r="AA1143"/>
  <c r="AB1143" s="1"/>
  <c r="AA1103"/>
  <c r="AB1103" s="1"/>
  <c r="D7" i="11"/>
  <c r="D9" s="1"/>
  <c r="U829" i="2"/>
  <c r="U1061"/>
  <c r="U830"/>
  <c r="U828"/>
  <c r="U831"/>
  <c r="D10" i="11"/>
  <c r="S1069" i="2"/>
  <c r="S1067"/>
  <c r="AA1110"/>
  <c r="AB1110" s="1"/>
  <c r="G16" i="8"/>
  <c r="J1048" i="2" s="1"/>
  <c r="G38" i="8"/>
  <c r="U1048" i="2" s="1"/>
  <c r="G22" i="8"/>
  <c r="M1048" i="2" s="1"/>
  <c r="G10" i="8"/>
  <c r="G24"/>
  <c r="N1048" i="2" s="1"/>
  <c r="G20" i="8"/>
  <c r="L1048" i="2" s="1"/>
  <c r="L1067"/>
  <c r="L1069"/>
  <c r="L1072" s="1"/>
  <c r="L1070"/>
  <c r="G1089"/>
  <c r="AA1088"/>
  <c r="AB1088" s="1"/>
  <c r="R830"/>
  <c r="R1061"/>
  <c r="R829"/>
  <c r="R831"/>
  <c r="R828"/>
  <c r="G26" i="8"/>
  <c r="O1048" i="2" s="1"/>
  <c r="AA1060"/>
  <c r="AB1060" s="1"/>
  <c r="G30" i="8"/>
  <c r="Q1048" i="2" s="1"/>
  <c r="F40" i="7"/>
  <c r="G18" s="1"/>
  <c r="K1049" i="2" s="1"/>
  <c r="F1014" l="1"/>
  <c r="F1020" s="1"/>
  <c r="I230" i="1"/>
  <c r="I437"/>
  <c r="I441"/>
  <c r="I673" i="2"/>
  <c r="I247" i="1"/>
  <c r="I675" i="2"/>
  <c r="I251" i="1"/>
  <c r="I418"/>
  <c r="P1079" i="2"/>
  <c r="P1080" s="1"/>
  <c r="P1077"/>
  <c r="I188" i="1"/>
  <c r="I417"/>
  <c r="I246"/>
  <c r="I178"/>
  <c r="I272"/>
  <c r="I741" i="2"/>
  <c r="I1044"/>
  <c r="I671" s="1"/>
  <c r="I771"/>
  <c r="I1052"/>
  <c r="I1051"/>
  <c r="I734"/>
  <c r="I774"/>
  <c r="I1047"/>
  <c r="D33" i="15"/>
  <c r="E33" s="1"/>
  <c r="K33" s="1"/>
  <c r="L33" s="1"/>
  <c r="I737" i="2"/>
  <c r="I736"/>
  <c r="I776"/>
  <c r="I744"/>
  <c r="I773"/>
  <c r="I735"/>
  <c r="I742"/>
  <c r="I772"/>
  <c r="D33" i="16" s="1"/>
  <c r="E33" s="1"/>
  <c r="K33" s="1"/>
  <c r="L33" s="1"/>
  <c r="I677" i="2"/>
  <c r="J2"/>
  <c r="I1050"/>
  <c r="I738"/>
  <c r="I775"/>
  <c r="I680"/>
  <c r="I777"/>
  <c r="I743"/>
  <c r="I670"/>
  <c r="I746"/>
  <c r="I745"/>
  <c r="I733"/>
  <c r="I732"/>
  <c r="I676"/>
  <c r="D11" i="11"/>
  <c r="G1081" i="2"/>
  <c r="L1080"/>
  <c r="L1077"/>
  <c r="L1079"/>
  <c r="AA1079" s="1"/>
  <c r="AB1079" s="1"/>
  <c r="AA1076"/>
  <c r="AB1076" s="1"/>
  <c r="I383" i="1"/>
  <c r="I46"/>
  <c r="I232"/>
  <c r="I419"/>
  <c r="I517"/>
  <c r="I476"/>
  <c r="I577"/>
  <c r="I346" s="1"/>
  <c r="I353" s="1"/>
  <c r="I197"/>
  <c r="I407"/>
  <c r="I29"/>
  <c r="H346"/>
  <c r="H198"/>
  <c r="H195"/>
  <c r="H392"/>
  <c r="H196"/>
  <c r="H197"/>
  <c r="H105"/>
  <c r="W1071" i="2"/>
  <c r="I287" i="1"/>
  <c r="J465"/>
  <c r="J165"/>
  <c r="J185"/>
  <c r="J58"/>
  <c r="J281"/>
  <c r="J135"/>
  <c r="J330"/>
  <c r="J468"/>
  <c r="J526"/>
  <c r="J144"/>
  <c r="J275"/>
  <c r="J162"/>
  <c r="J372"/>
  <c r="J351"/>
  <c r="J585"/>
  <c r="J130"/>
  <c r="J277"/>
  <c r="J394"/>
  <c r="J276"/>
  <c r="J284"/>
  <c r="J129"/>
  <c r="J37"/>
  <c r="J231" s="1"/>
  <c r="J280"/>
  <c r="J183"/>
  <c r="J327"/>
  <c r="J358"/>
  <c r="J457"/>
  <c r="J173"/>
  <c r="J156"/>
  <c r="J282"/>
  <c r="J586"/>
  <c r="J184"/>
  <c r="J339"/>
  <c r="J381"/>
  <c r="J43"/>
  <c r="J459"/>
  <c r="J65"/>
  <c r="J270"/>
  <c r="K2"/>
  <c r="J469"/>
  <c r="J23"/>
  <c r="J329"/>
  <c r="J373"/>
  <c r="J337"/>
  <c r="J66"/>
  <c r="J464"/>
  <c r="J470"/>
  <c r="J466"/>
  <c r="J142"/>
  <c r="J164"/>
  <c r="J285"/>
  <c r="J442"/>
  <c r="J338"/>
  <c r="J267"/>
  <c r="J473"/>
  <c r="J279"/>
  <c r="J379"/>
  <c r="J422"/>
  <c r="J380"/>
  <c r="J186"/>
  <c r="J336"/>
  <c r="J155"/>
  <c r="J42"/>
  <c r="J423" s="1"/>
  <c r="J266"/>
  <c r="J235"/>
  <c r="J370"/>
  <c r="J439"/>
  <c r="J36"/>
  <c r="J230" s="1"/>
  <c r="J41"/>
  <c r="J443" s="1"/>
  <c r="J325"/>
  <c r="J458"/>
  <c r="J278"/>
  <c r="J131"/>
  <c r="J359"/>
  <c r="J283"/>
  <c r="J474"/>
  <c r="J57"/>
  <c r="J200"/>
  <c r="J268"/>
  <c r="J350"/>
  <c r="J154"/>
  <c r="J97"/>
  <c r="J38"/>
  <c r="J419" s="1"/>
  <c r="J152"/>
  <c r="J326"/>
  <c r="J347"/>
  <c r="J163"/>
  <c r="J174"/>
  <c r="J44"/>
  <c r="J33"/>
  <c r="J518" s="1"/>
  <c r="J115"/>
  <c r="J176"/>
  <c r="J393"/>
  <c r="J199"/>
  <c r="J153"/>
  <c r="J348"/>
  <c r="J371"/>
  <c r="J141"/>
  <c r="J134"/>
  <c r="J249"/>
  <c r="J437"/>
  <c r="J402"/>
  <c r="J440"/>
  <c r="J40"/>
  <c r="J233"/>
  <c r="J349"/>
  <c r="J369"/>
  <c r="J83"/>
  <c r="J251"/>
  <c r="J133"/>
  <c r="J360"/>
  <c r="J456"/>
  <c r="J132"/>
  <c r="J143"/>
  <c r="J201"/>
  <c r="J328"/>
  <c r="J420"/>
  <c r="J409"/>
  <c r="J232"/>
  <c r="J534"/>
  <c r="J19"/>
  <c r="J357"/>
  <c r="J27"/>
  <c r="J175"/>
  <c r="J472"/>
  <c r="J252"/>
  <c r="J467"/>
  <c r="J269"/>
  <c r="J455"/>
  <c r="J248"/>
  <c r="J39"/>
  <c r="J441" s="1"/>
  <c r="J471"/>
  <c r="J378"/>
  <c r="H607"/>
  <c r="H385"/>
  <c r="H172"/>
  <c r="H324"/>
  <c r="I392"/>
  <c r="I396" s="1"/>
  <c r="I195"/>
  <c r="I403"/>
  <c r="I402"/>
  <c r="I583"/>
  <c r="I105" s="1"/>
  <c r="H579"/>
  <c r="H1081" i="2"/>
  <c r="F313" i="1"/>
  <c r="F553"/>
  <c r="H597"/>
  <c r="H117"/>
  <c r="H85"/>
  <c r="H424"/>
  <c r="H56"/>
  <c r="H237"/>
  <c r="H59"/>
  <c r="H536"/>
  <c r="H253"/>
  <c r="H528"/>
  <c r="H236"/>
  <c r="H519"/>
  <c r="H444"/>
  <c r="H580" s="1"/>
  <c r="H239"/>
  <c r="H67"/>
  <c r="H425"/>
  <c r="H238"/>
  <c r="I214"/>
  <c r="I576"/>
  <c r="I335" s="1"/>
  <c r="I341" s="1"/>
  <c r="I416"/>
  <c r="I574"/>
  <c r="I324" s="1"/>
  <c r="I332" s="1"/>
  <c r="H335"/>
  <c r="H48"/>
  <c r="H613"/>
  <c r="H514"/>
  <c r="H516"/>
  <c r="H515"/>
  <c r="H356"/>
  <c r="I385"/>
  <c r="I607"/>
  <c r="H412"/>
  <c r="I249"/>
  <c r="I196"/>
  <c r="I410"/>
  <c r="I461"/>
  <c r="I578"/>
  <c r="I356" s="1"/>
  <c r="I362" s="1"/>
  <c r="I439"/>
  <c r="D34" i="15"/>
  <c r="F34" s="1"/>
  <c r="G1071" i="2"/>
  <c r="G1052"/>
  <c r="R1093"/>
  <c r="R1117" s="1"/>
  <c r="L1071"/>
  <c r="G1048"/>
  <c r="G40" i="8"/>
  <c r="P1093" i="2"/>
  <c r="P1117" s="1"/>
  <c r="G1117"/>
  <c r="D34" i="14"/>
  <c r="F34" s="1"/>
  <c r="O1093" i="2"/>
  <c r="O1117" s="1"/>
  <c r="D43" i="15"/>
  <c r="D43" i="16"/>
  <c r="AA1089" i="2"/>
  <c r="AB1089" s="1"/>
  <c r="S1071"/>
  <c r="S1070"/>
  <c r="S1072"/>
  <c r="U1093"/>
  <c r="U1117" s="1"/>
  <c r="G1051"/>
  <c r="AA1067"/>
  <c r="AB1067" s="1"/>
  <c r="G671"/>
  <c r="D43" i="14"/>
  <c r="AA1061" i="2"/>
  <c r="G24" i="7"/>
  <c r="N1049" i="2" s="1"/>
  <c r="G34" i="7"/>
  <c r="S1049" i="2" s="1"/>
  <c r="G14" i="7"/>
  <c r="I1049" i="2" s="1"/>
  <c r="G36" i="7"/>
  <c r="T1049" i="2" s="1"/>
  <c r="G12" i="7"/>
  <c r="H1049" i="2" s="1"/>
  <c r="G38" i="7"/>
  <c r="U1049" i="2" s="1"/>
  <c r="G10" i="7"/>
  <c r="G32"/>
  <c r="R1049" i="2" s="1"/>
  <c r="G30" i="7"/>
  <c r="Q1049" i="2" s="1"/>
  <c r="G26" i="7"/>
  <c r="O1049" i="2" s="1"/>
  <c r="G22" i="7"/>
  <c r="M1049" i="2" s="1"/>
  <c r="G16" i="7"/>
  <c r="J1049" i="2" s="1"/>
  <c r="G28" i="7"/>
  <c r="P1049" i="2" s="1"/>
  <c r="G20" i="7"/>
  <c r="L1049" i="2" s="1"/>
  <c r="H671"/>
  <c r="G1072"/>
  <c r="AA1069"/>
  <c r="AB1069" s="1"/>
  <c r="U1082"/>
  <c r="U1080"/>
  <c r="U1081"/>
  <c r="J417" i="1" l="1"/>
  <c r="J247"/>
  <c r="J421"/>
  <c r="J416"/>
  <c r="J229"/>
  <c r="J438"/>
  <c r="J404"/>
  <c r="I190"/>
  <c r="D34" i="16"/>
  <c r="F34" s="1"/>
  <c r="I826" i="2"/>
  <c r="I785"/>
  <c r="I833"/>
  <c r="J776"/>
  <c r="J742"/>
  <c r="J772"/>
  <c r="D33" i="17" s="1"/>
  <c r="E33" s="1"/>
  <c r="K33" s="1"/>
  <c r="L33" s="1"/>
  <c r="J775" i="2"/>
  <c r="K2"/>
  <c r="J737"/>
  <c r="J735"/>
  <c r="J738"/>
  <c r="J1050"/>
  <c r="J773"/>
  <c r="J736"/>
  <c r="J677"/>
  <c r="J733"/>
  <c r="J744"/>
  <c r="J746"/>
  <c r="J676"/>
  <c r="J745"/>
  <c r="J743"/>
  <c r="J680"/>
  <c r="J670"/>
  <c r="J785" s="1"/>
  <c r="J732"/>
  <c r="J734"/>
  <c r="J741"/>
  <c r="J1047"/>
  <c r="J771"/>
  <c r="J1052"/>
  <c r="J1044"/>
  <c r="J671" s="1"/>
  <c r="J1051"/>
  <c r="J673"/>
  <c r="J674"/>
  <c r="J774"/>
  <c r="J777"/>
  <c r="J1152"/>
  <c r="J675"/>
  <c r="H68" i="1"/>
  <c r="H70" s="1"/>
  <c r="H596"/>
  <c r="H9"/>
  <c r="H54"/>
  <c r="H11"/>
  <c r="H52"/>
  <c r="H118"/>
  <c r="H55"/>
  <c r="H86"/>
  <c r="H89" s="1"/>
  <c r="H87"/>
  <c r="H12"/>
  <c r="H13"/>
  <c r="H10"/>
  <c r="I604"/>
  <c r="I140"/>
  <c r="I146" s="1"/>
  <c r="H178"/>
  <c r="J578"/>
  <c r="J356" s="1"/>
  <c r="J362" s="1"/>
  <c r="J598"/>
  <c r="J577"/>
  <c r="I605"/>
  <c r="I364"/>
  <c r="I151"/>
  <c r="I158" s="1"/>
  <c r="I597"/>
  <c r="I237"/>
  <c r="I239"/>
  <c r="I56"/>
  <c r="I85"/>
  <c r="I253"/>
  <c r="I424"/>
  <c r="I579" s="1"/>
  <c r="I67"/>
  <c r="I444"/>
  <c r="I580" s="1"/>
  <c r="I238"/>
  <c r="I536"/>
  <c r="I117"/>
  <c r="I528"/>
  <c r="I59"/>
  <c r="I236"/>
  <c r="I425"/>
  <c r="I519"/>
  <c r="I203"/>
  <c r="J383"/>
  <c r="J406"/>
  <c r="J213"/>
  <c r="J527"/>
  <c r="J408"/>
  <c r="J234"/>
  <c r="H436"/>
  <c r="H211"/>
  <c r="H212"/>
  <c r="H210"/>
  <c r="H216"/>
  <c r="H208"/>
  <c r="H215"/>
  <c r="H221"/>
  <c r="H608"/>
  <c r="H217"/>
  <c r="H218"/>
  <c r="H209"/>
  <c r="H219"/>
  <c r="H341"/>
  <c r="I603"/>
  <c r="I343"/>
  <c r="I128"/>
  <c r="I137" s="1"/>
  <c r="I148" s="1"/>
  <c r="I412"/>
  <c r="K459"/>
  <c r="K378"/>
  <c r="K133"/>
  <c r="K473"/>
  <c r="K173"/>
  <c r="K284"/>
  <c r="K275"/>
  <c r="K23"/>
  <c r="K466"/>
  <c r="K330"/>
  <c r="K97"/>
  <c r="K372"/>
  <c r="K266"/>
  <c r="K40"/>
  <c r="K455"/>
  <c r="K422"/>
  <c r="K358"/>
  <c r="K134"/>
  <c r="K129"/>
  <c r="K155"/>
  <c r="K154"/>
  <c r="K393"/>
  <c r="K327"/>
  <c r="K349"/>
  <c r="K163"/>
  <c r="K201"/>
  <c r="K458"/>
  <c r="K36"/>
  <c r="K229" s="1"/>
  <c r="K472"/>
  <c r="K338"/>
  <c r="K165"/>
  <c r="K37"/>
  <c r="K471"/>
  <c r="K246"/>
  <c r="K66"/>
  <c r="K351"/>
  <c r="K468"/>
  <c r="K326"/>
  <c r="K474"/>
  <c r="K186"/>
  <c r="K183"/>
  <c r="K267"/>
  <c r="K357"/>
  <c r="K467"/>
  <c r="K131"/>
  <c r="K270"/>
  <c r="K534"/>
  <c r="K347"/>
  <c r="K285"/>
  <c r="K373"/>
  <c r="L2"/>
  <c r="K268"/>
  <c r="K325"/>
  <c r="K371"/>
  <c r="K526"/>
  <c r="K27"/>
  <c r="K156"/>
  <c r="K585"/>
  <c r="K278"/>
  <c r="K329"/>
  <c r="K235"/>
  <c r="K141"/>
  <c r="K439"/>
  <c r="K19"/>
  <c r="K44"/>
  <c r="K359"/>
  <c r="K153"/>
  <c r="K175"/>
  <c r="K394"/>
  <c r="K456"/>
  <c r="K379"/>
  <c r="K142"/>
  <c r="K43"/>
  <c r="K442" s="1"/>
  <c r="K39"/>
  <c r="K381"/>
  <c r="K586"/>
  <c r="K336"/>
  <c r="K174"/>
  <c r="K200"/>
  <c r="K65"/>
  <c r="K457"/>
  <c r="K185"/>
  <c r="K465"/>
  <c r="K135"/>
  <c r="K164"/>
  <c r="K380"/>
  <c r="K115"/>
  <c r="K33"/>
  <c r="K598" s="1"/>
  <c r="K42"/>
  <c r="K423" s="1"/>
  <c r="K283"/>
  <c r="K144"/>
  <c r="K279"/>
  <c r="K407"/>
  <c r="K418"/>
  <c r="K437"/>
  <c r="K339"/>
  <c r="K199"/>
  <c r="K162"/>
  <c r="K370"/>
  <c r="K369"/>
  <c r="K348"/>
  <c r="K269"/>
  <c r="K143"/>
  <c r="K408"/>
  <c r="K282"/>
  <c r="K280"/>
  <c r="K470"/>
  <c r="K276"/>
  <c r="K41"/>
  <c r="K443" s="1"/>
  <c r="K469"/>
  <c r="K360"/>
  <c r="K527"/>
  <c r="K328"/>
  <c r="K132"/>
  <c r="K152"/>
  <c r="K350"/>
  <c r="K281"/>
  <c r="K38"/>
  <c r="K440" s="1"/>
  <c r="K57"/>
  <c r="K337"/>
  <c r="K417"/>
  <c r="K231"/>
  <c r="K83"/>
  <c r="K277"/>
  <c r="K130"/>
  <c r="K416"/>
  <c r="K420"/>
  <c r="K184"/>
  <c r="K176"/>
  <c r="K464"/>
  <c r="K476" s="1"/>
  <c r="K409"/>
  <c r="K248"/>
  <c r="K58"/>
  <c r="J188"/>
  <c r="H353"/>
  <c r="J407"/>
  <c r="J220"/>
  <c r="J574"/>
  <c r="J324" s="1"/>
  <c r="J332" s="1"/>
  <c r="J403"/>
  <c r="J84"/>
  <c r="J246"/>
  <c r="J214"/>
  <c r="I606"/>
  <c r="I161"/>
  <c r="I167" s="1"/>
  <c r="H415"/>
  <c r="H332"/>
  <c r="J272"/>
  <c r="J476"/>
  <c r="J583"/>
  <c r="J105" s="1"/>
  <c r="H203"/>
  <c r="L1081" i="2"/>
  <c r="AA1081" s="1"/>
  <c r="AB1081" s="1"/>
  <c r="H362" i="1"/>
  <c r="J461"/>
  <c r="J29"/>
  <c r="J576"/>
  <c r="J587"/>
  <c r="H396"/>
  <c r="I48"/>
  <c r="I613"/>
  <c r="I514"/>
  <c r="I516"/>
  <c r="I515"/>
  <c r="AA1077" i="2"/>
  <c r="AB1077" s="1"/>
  <c r="J375" i="1"/>
  <c r="J250"/>
  <c r="J405"/>
  <c r="J410"/>
  <c r="J46"/>
  <c r="J116"/>
  <c r="J418"/>
  <c r="J517"/>
  <c r="J535"/>
  <c r="J287"/>
  <c r="K34" i="16"/>
  <c r="L34" s="1"/>
  <c r="AB1061" i="2"/>
  <c r="AC1061"/>
  <c r="F43" i="15"/>
  <c r="AA1071" i="2"/>
  <c r="AB1071" s="1"/>
  <c r="AA1080"/>
  <c r="AB1080" s="1"/>
  <c r="G1047"/>
  <c r="AA1072"/>
  <c r="AB1072" s="1"/>
  <c r="F43" i="16"/>
  <c r="AA1117" i="2"/>
  <c r="AB1117" s="1"/>
  <c r="AA1048"/>
  <c r="AB1048" s="1"/>
  <c r="AA1070"/>
  <c r="AB1070" s="1"/>
  <c r="G40" i="7"/>
  <c r="G1049" i="2"/>
  <c r="F43" i="14"/>
  <c r="AA1093" i="2"/>
  <c r="AB1093" s="1"/>
  <c r="K34" i="14"/>
  <c r="L34" s="1"/>
  <c r="K34" i="15"/>
  <c r="L34" s="1"/>
  <c r="AA1082" i="2"/>
  <c r="AB1082" s="1"/>
  <c r="K247" i="1" l="1"/>
  <c r="K419"/>
  <c r="K438"/>
  <c r="K404"/>
  <c r="J412"/>
  <c r="K406"/>
  <c r="K421"/>
  <c r="K220"/>
  <c r="K233"/>
  <c r="K230"/>
  <c r="I387"/>
  <c r="D34" i="17"/>
  <c r="F34" s="1"/>
  <c r="K34" s="1"/>
  <c r="L34" s="1"/>
  <c r="D43"/>
  <c r="F43" s="1"/>
  <c r="K43" s="1"/>
  <c r="L43" s="1"/>
  <c r="K772" i="2"/>
  <c r="K737"/>
  <c r="K742"/>
  <c r="K676"/>
  <c r="K775"/>
  <c r="K776"/>
  <c r="K738"/>
  <c r="K1050"/>
  <c r="L2"/>
  <c r="K736"/>
  <c r="K773"/>
  <c r="K677"/>
  <c r="K735"/>
  <c r="K744"/>
  <c r="K673"/>
  <c r="K743"/>
  <c r="K733"/>
  <c r="K1044"/>
  <c r="K671" s="1"/>
  <c r="K734"/>
  <c r="K745"/>
  <c r="K771"/>
  <c r="K680"/>
  <c r="K774"/>
  <c r="K777"/>
  <c r="K746"/>
  <c r="K670"/>
  <c r="K675"/>
  <c r="K674"/>
  <c r="K732"/>
  <c r="K741"/>
  <c r="K1152"/>
  <c r="K1052"/>
  <c r="K1051"/>
  <c r="K1047"/>
  <c r="J826"/>
  <c r="J833"/>
  <c r="I415" i="1"/>
  <c r="I427" s="1"/>
  <c r="J608"/>
  <c r="J209"/>
  <c r="J218"/>
  <c r="J217"/>
  <c r="J211"/>
  <c r="J210"/>
  <c r="J219"/>
  <c r="J208"/>
  <c r="J215"/>
  <c r="J221"/>
  <c r="J216"/>
  <c r="J212"/>
  <c r="I436"/>
  <c r="I446" s="1"/>
  <c r="J335"/>
  <c r="K375"/>
  <c r="H612"/>
  <c r="H497"/>
  <c r="H529"/>
  <c r="H498"/>
  <c r="H520"/>
  <c r="H306"/>
  <c r="H307"/>
  <c r="H537"/>
  <c r="K252"/>
  <c r="K29"/>
  <c r="K214"/>
  <c r="K402"/>
  <c r="K587"/>
  <c r="K251"/>
  <c r="K583"/>
  <c r="K46"/>
  <c r="H78"/>
  <c r="H427"/>
  <c r="L83"/>
  <c r="L457"/>
  <c r="L66"/>
  <c r="L394"/>
  <c r="L173"/>
  <c r="L347"/>
  <c r="L534"/>
  <c r="L235"/>
  <c r="L336"/>
  <c r="L379"/>
  <c r="L144"/>
  <c r="L330"/>
  <c r="L135"/>
  <c r="L132"/>
  <c r="L39"/>
  <c r="L200"/>
  <c r="L586"/>
  <c r="L468"/>
  <c r="L338"/>
  <c r="L471"/>
  <c r="L373"/>
  <c r="L329"/>
  <c r="L186"/>
  <c r="L284"/>
  <c r="L325"/>
  <c r="L285"/>
  <c r="L199"/>
  <c r="L131"/>
  <c r="L129"/>
  <c r="L358"/>
  <c r="L58"/>
  <c r="L585"/>
  <c r="L42"/>
  <c r="L351"/>
  <c r="L164"/>
  <c r="L350"/>
  <c r="L133"/>
  <c r="L115"/>
  <c r="L185"/>
  <c r="L270"/>
  <c r="L459"/>
  <c r="L349"/>
  <c r="L473"/>
  <c r="L339"/>
  <c r="L36"/>
  <c r="L378"/>
  <c r="L41"/>
  <c r="L421" s="1"/>
  <c r="L370"/>
  <c r="L393"/>
  <c r="L183"/>
  <c r="L282"/>
  <c r="L279"/>
  <c r="L184"/>
  <c r="L276"/>
  <c r="L275"/>
  <c r="L33"/>
  <c r="L598" s="1"/>
  <c r="L360"/>
  <c r="L40"/>
  <c r="L165"/>
  <c r="L456"/>
  <c r="L229"/>
  <c r="L527"/>
  <c r="L372"/>
  <c r="L57"/>
  <c r="L371"/>
  <c r="L472"/>
  <c r="L277"/>
  <c r="L466"/>
  <c r="L328"/>
  <c r="L142"/>
  <c r="L281"/>
  <c r="L163"/>
  <c r="L526"/>
  <c r="L268"/>
  <c r="L269"/>
  <c r="L465"/>
  <c r="L327"/>
  <c r="L130"/>
  <c r="L155"/>
  <c r="L143"/>
  <c r="L464"/>
  <c r="L65"/>
  <c r="L280"/>
  <c r="L153"/>
  <c r="L156"/>
  <c r="L174"/>
  <c r="L469"/>
  <c r="L97"/>
  <c r="L348"/>
  <c r="L152"/>
  <c r="L23"/>
  <c r="L357"/>
  <c r="L408"/>
  <c r="L234"/>
  <c r="L416"/>
  <c r="L406"/>
  <c r="L247"/>
  <c r="L403"/>
  <c r="L230"/>
  <c r="L455"/>
  <c r="L27"/>
  <c r="L266"/>
  <c r="L359"/>
  <c r="L422"/>
  <c r="L162"/>
  <c r="L44"/>
  <c r="L37"/>
  <c r="L418" s="1"/>
  <c r="L220"/>
  <c r="L410"/>
  <c r="L176"/>
  <c r="L474"/>
  <c r="L381"/>
  <c r="M2"/>
  <c r="L458"/>
  <c r="L278"/>
  <c r="L201"/>
  <c r="L380"/>
  <c r="L405"/>
  <c r="L84"/>
  <c r="L231"/>
  <c r="L250"/>
  <c r="L517"/>
  <c r="L134"/>
  <c r="L141"/>
  <c r="L38"/>
  <c r="L369"/>
  <c r="L375" s="1"/>
  <c r="L172" s="1"/>
  <c r="L43"/>
  <c r="L442" s="1"/>
  <c r="L470"/>
  <c r="L267"/>
  <c r="L19"/>
  <c r="L535"/>
  <c r="L438"/>
  <c r="L437"/>
  <c r="L214"/>
  <c r="L246"/>
  <c r="L175"/>
  <c r="L326"/>
  <c r="L409"/>
  <c r="L283"/>
  <c r="L154"/>
  <c r="L439"/>
  <c r="L441"/>
  <c r="L404"/>
  <c r="L467"/>
  <c r="L518"/>
  <c r="L337"/>
  <c r="I608"/>
  <c r="I211"/>
  <c r="I221"/>
  <c r="I217"/>
  <c r="I218"/>
  <c r="I212"/>
  <c r="I215"/>
  <c r="I216"/>
  <c r="I219"/>
  <c r="I209"/>
  <c r="I208"/>
  <c r="I210"/>
  <c r="H223"/>
  <c r="H190"/>
  <c r="H120"/>
  <c r="H15"/>
  <c r="K576"/>
  <c r="K335" s="1"/>
  <c r="K341" s="1"/>
  <c r="K213"/>
  <c r="K517"/>
  <c r="K441"/>
  <c r="K250"/>
  <c r="K188"/>
  <c r="K535"/>
  <c r="K84"/>
  <c r="K272"/>
  <c r="J597"/>
  <c r="J253"/>
  <c r="J424"/>
  <c r="J117"/>
  <c r="J236"/>
  <c r="J528"/>
  <c r="J85"/>
  <c r="J237"/>
  <c r="J56"/>
  <c r="J238"/>
  <c r="J444"/>
  <c r="J239"/>
  <c r="J59"/>
  <c r="J425"/>
  <c r="J536"/>
  <c r="J67"/>
  <c r="J519"/>
  <c r="I596"/>
  <c r="I68"/>
  <c r="I54"/>
  <c r="I13"/>
  <c r="I118"/>
  <c r="I11"/>
  <c r="I52"/>
  <c r="I10"/>
  <c r="I55"/>
  <c r="I87"/>
  <c r="I12"/>
  <c r="I86"/>
  <c r="I9"/>
  <c r="J195"/>
  <c r="J198"/>
  <c r="J197"/>
  <c r="J196"/>
  <c r="J392"/>
  <c r="J613"/>
  <c r="J48"/>
  <c r="J516"/>
  <c r="J515"/>
  <c r="J514"/>
  <c r="H161"/>
  <c r="H606"/>
  <c r="H605"/>
  <c r="H364"/>
  <c r="H151"/>
  <c r="H140"/>
  <c r="H604"/>
  <c r="K232"/>
  <c r="K249"/>
  <c r="K403"/>
  <c r="K577"/>
  <c r="K346" s="1"/>
  <c r="K353" s="1"/>
  <c r="K410"/>
  <c r="K383"/>
  <c r="J385"/>
  <c r="J607"/>
  <c r="J172"/>
  <c r="H343"/>
  <c r="H128"/>
  <c r="H603"/>
  <c r="J603"/>
  <c r="J128"/>
  <c r="J137" s="1"/>
  <c r="K574"/>
  <c r="K287"/>
  <c r="H446"/>
  <c r="J346"/>
  <c r="J606"/>
  <c r="J161"/>
  <c r="J167" s="1"/>
  <c r="K234"/>
  <c r="K405"/>
  <c r="K116"/>
  <c r="K578"/>
  <c r="K518"/>
  <c r="K461"/>
  <c r="I120"/>
  <c r="I70"/>
  <c r="I78" s="1"/>
  <c r="I169"/>
  <c r="I192" s="1"/>
  <c r="I205" s="1"/>
  <c r="AA1049" i="2"/>
  <c r="AB1049" s="1"/>
  <c r="K43" i="14"/>
  <c r="L43" s="1"/>
  <c r="K43" i="15"/>
  <c r="L43" s="1"/>
  <c r="K43" i="16"/>
  <c r="L43" s="1"/>
  <c r="L252" i="1" l="1"/>
  <c r="I223"/>
  <c r="L443"/>
  <c r="L402"/>
  <c r="D43" i="22"/>
  <c r="F43" s="1"/>
  <c r="K43" s="1"/>
  <c r="L43" s="1"/>
  <c r="I89" i="1"/>
  <c r="L213"/>
  <c r="D34" i="22"/>
  <c r="F34" s="1"/>
  <c r="K34" s="1"/>
  <c r="L34" s="1"/>
  <c r="I15" i="1"/>
  <c r="K833" i="2"/>
  <c r="K826"/>
  <c r="K785"/>
  <c r="L736"/>
  <c r="L773"/>
  <c r="L744"/>
  <c r="L677"/>
  <c r="L738"/>
  <c r="L772"/>
  <c r="D33" i="19" s="1"/>
  <c r="E33" s="1"/>
  <c r="K33" s="1"/>
  <c r="L33" s="1"/>
  <c r="L746" i="2"/>
  <c r="L745"/>
  <c r="L735"/>
  <c r="L737"/>
  <c r="L1050"/>
  <c r="L775"/>
  <c r="L676"/>
  <c r="M2"/>
  <c r="L776"/>
  <c r="L742"/>
  <c r="L680"/>
  <c r="L733"/>
  <c r="L732"/>
  <c r="L670"/>
  <c r="L1044"/>
  <c r="L774"/>
  <c r="L673"/>
  <c r="L771"/>
  <c r="L734"/>
  <c r="L741"/>
  <c r="L675"/>
  <c r="L1152"/>
  <c r="L674"/>
  <c r="L1047"/>
  <c r="L1052"/>
  <c r="L743"/>
  <c r="L777"/>
  <c r="L1051"/>
  <c r="D33" i="22"/>
  <c r="E33" s="1"/>
  <c r="K33" s="1"/>
  <c r="L33" s="1"/>
  <c r="J353" i="1"/>
  <c r="J178"/>
  <c r="L583"/>
  <c r="L105" s="1"/>
  <c r="K412"/>
  <c r="I609"/>
  <c r="I228"/>
  <c r="I241" s="1"/>
  <c r="L178"/>
  <c r="L578"/>
  <c r="L356" s="1"/>
  <c r="L362" s="1"/>
  <c r="L251"/>
  <c r="L46"/>
  <c r="L577"/>
  <c r="J223"/>
  <c r="H245"/>
  <c r="H610"/>
  <c r="H448"/>
  <c r="K324"/>
  <c r="H158"/>
  <c r="J596"/>
  <c r="J10"/>
  <c r="J12"/>
  <c r="J86"/>
  <c r="J13"/>
  <c r="J52"/>
  <c r="J11"/>
  <c r="J68"/>
  <c r="J55"/>
  <c r="J9"/>
  <c r="J54"/>
  <c r="J118"/>
  <c r="J120" s="1"/>
  <c r="J87"/>
  <c r="I614"/>
  <c r="I61"/>
  <c r="I521"/>
  <c r="J579"/>
  <c r="H614"/>
  <c r="H61"/>
  <c r="H521"/>
  <c r="M276"/>
  <c r="M129"/>
  <c r="M266"/>
  <c r="M326"/>
  <c r="M586"/>
  <c r="M134"/>
  <c r="M474"/>
  <c r="M270"/>
  <c r="M357"/>
  <c r="M457"/>
  <c r="M327"/>
  <c r="M394"/>
  <c r="M373"/>
  <c r="M380"/>
  <c r="M132"/>
  <c r="M144"/>
  <c r="M163"/>
  <c r="M154"/>
  <c r="M360"/>
  <c r="M585"/>
  <c r="M587" s="1"/>
  <c r="M422"/>
  <c r="M33"/>
  <c r="M141"/>
  <c r="M359"/>
  <c r="M83"/>
  <c r="M130"/>
  <c r="M280"/>
  <c r="M133"/>
  <c r="M42"/>
  <c r="M423" s="1"/>
  <c r="M534"/>
  <c r="M464"/>
  <c r="M347"/>
  <c r="M235"/>
  <c r="M328"/>
  <c r="M176"/>
  <c r="M470"/>
  <c r="M349"/>
  <c r="M164"/>
  <c r="M40"/>
  <c r="M472"/>
  <c r="M526"/>
  <c r="M329"/>
  <c r="M330"/>
  <c r="M58"/>
  <c r="M378"/>
  <c r="M200"/>
  <c r="M466"/>
  <c r="M115"/>
  <c r="M38"/>
  <c r="M440" s="1"/>
  <c r="M471"/>
  <c r="M465"/>
  <c r="M278"/>
  <c r="M199"/>
  <c r="M467"/>
  <c r="M337"/>
  <c r="M175"/>
  <c r="M282"/>
  <c r="M97"/>
  <c r="M269"/>
  <c r="M39"/>
  <c r="M284"/>
  <c r="M279"/>
  <c r="M142"/>
  <c r="M186"/>
  <c r="M66"/>
  <c r="M285"/>
  <c r="M185"/>
  <c r="M455"/>
  <c r="M36"/>
  <c r="M437" s="1"/>
  <c r="M27"/>
  <c r="M338"/>
  <c r="N2"/>
  <c r="M348"/>
  <c r="M517"/>
  <c r="M406"/>
  <c r="M419"/>
  <c r="M84"/>
  <c r="M162"/>
  <c r="M351"/>
  <c r="M183"/>
  <c r="M267"/>
  <c r="M37"/>
  <c r="M583" s="1"/>
  <c r="M105" s="1"/>
  <c r="M468"/>
  <c r="M371"/>
  <c r="M184"/>
  <c r="M336"/>
  <c r="M268"/>
  <c r="M459"/>
  <c r="M116"/>
  <c r="M246"/>
  <c r="M214"/>
  <c r="M417"/>
  <c r="M469"/>
  <c r="M283"/>
  <c r="M277"/>
  <c r="M173"/>
  <c r="M23"/>
  <c r="M473"/>
  <c r="M131"/>
  <c r="M43"/>
  <c r="M233" s="1"/>
  <c r="M393"/>
  <c r="M416"/>
  <c r="M65"/>
  <c r="M275"/>
  <c r="M527"/>
  <c r="M441"/>
  <c r="M456"/>
  <c r="M350"/>
  <c r="M135"/>
  <c r="M458"/>
  <c r="M156"/>
  <c r="M369"/>
  <c r="M281"/>
  <c r="M339"/>
  <c r="M57"/>
  <c r="M165"/>
  <c r="M201"/>
  <c r="M379"/>
  <c r="M372"/>
  <c r="M247"/>
  <c r="M405"/>
  <c r="M325"/>
  <c r="M250"/>
  <c r="M143"/>
  <c r="M535"/>
  <c r="M174"/>
  <c r="M358"/>
  <c r="M155"/>
  <c r="M44"/>
  <c r="M229"/>
  <c r="M152"/>
  <c r="M19"/>
  <c r="M370"/>
  <c r="M41"/>
  <c r="M252" s="1"/>
  <c r="M381"/>
  <c r="M402"/>
  <c r="M153"/>
  <c r="M197"/>
  <c r="M198"/>
  <c r="M195"/>
  <c r="M392"/>
  <c r="M196"/>
  <c r="L461"/>
  <c r="L476"/>
  <c r="L188"/>
  <c r="L383"/>
  <c r="L385" s="1"/>
  <c r="K105"/>
  <c r="K195"/>
  <c r="K196"/>
  <c r="K392"/>
  <c r="K396" s="1"/>
  <c r="K197"/>
  <c r="K198"/>
  <c r="H531"/>
  <c r="J341"/>
  <c r="I448"/>
  <c r="I450" s="1"/>
  <c r="I452" s="1"/>
  <c r="I610"/>
  <c r="I245"/>
  <c r="I255" s="1"/>
  <c r="L420"/>
  <c r="L233"/>
  <c r="L419"/>
  <c r="L574"/>
  <c r="L324" s="1"/>
  <c r="L332" s="1"/>
  <c r="H387"/>
  <c r="H167"/>
  <c r="J203"/>
  <c r="J580"/>
  <c r="K604"/>
  <c r="K140"/>
  <c r="K146" s="1"/>
  <c r="L29"/>
  <c r="L607"/>
  <c r="H228"/>
  <c r="H609"/>
  <c r="K597"/>
  <c r="K85"/>
  <c r="K253"/>
  <c r="K238"/>
  <c r="K239"/>
  <c r="K236"/>
  <c r="K444"/>
  <c r="K580" s="1"/>
  <c r="K436" s="1"/>
  <c r="K446" s="1"/>
  <c r="K237"/>
  <c r="K59"/>
  <c r="K536"/>
  <c r="K424"/>
  <c r="K117"/>
  <c r="K425"/>
  <c r="K519"/>
  <c r="K528"/>
  <c r="K56"/>
  <c r="K67"/>
  <c r="K613"/>
  <c r="K48"/>
  <c r="K516"/>
  <c r="K515"/>
  <c r="K514"/>
  <c r="H539"/>
  <c r="L249"/>
  <c r="L248"/>
  <c r="L440"/>
  <c r="L232"/>
  <c r="L287"/>
  <c r="L116"/>
  <c r="L417"/>
  <c r="L423"/>
  <c r="K356"/>
  <c r="H137"/>
  <c r="K605"/>
  <c r="K151"/>
  <c r="K158" s="1"/>
  <c r="H146"/>
  <c r="J396"/>
  <c r="I612"/>
  <c r="I307"/>
  <c r="I306"/>
  <c r="I529"/>
  <c r="I531" s="1"/>
  <c r="F340" i="2" s="1"/>
  <c r="I497" i="1"/>
  <c r="I520"/>
  <c r="I523" s="1"/>
  <c r="I537"/>
  <c r="I539" s="1"/>
  <c r="F396" i="2" s="1"/>
  <c r="I498" i="1"/>
  <c r="J70"/>
  <c r="J78" s="1"/>
  <c r="L272"/>
  <c r="L587"/>
  <c r="L576"/>
  <c r="L335" s="1"/>
  <c r="L341" s="1"/>
  <c r="H523"/>
  <c r="K607"/>
  <c r="K385"/>
  <c r="K172"/>
  <c r="K178" s="1"/>
  <c r="K190" s="1"/>
  <c r="L407"/>
  <c r="M438" l="1"/>
  <c r="M576"/>
  <c r="M335" s="1"/>
  <c r="M341" s="1"/>
  <c r="M604" s="1"/>
  <c r="M29"/>
  <c r="M515" s="1"/>
  <c r="M396"/>
  <c r="M230"/>
  <c r="J15"/>
  <c r="M375"/>
  <c r="M172" s="1"/>
  <c r="M383"/>
  <c r="L671" i="2"/>
  <c r="D43" i="19"/>
  <c r="F43" s="1"/>
  <c r="K43" s="1"/>
  <c r="L43" s="1"/>
  <c r="M741" i="2"/>
  <c r="M736"/>
  <c r="M772"/>
  <c r="M737"/>
  <c r="M774"/>
  <c r="M738"/>
  <c r="M775"/>
  <c r="M673"/>
  <c r="N2"/>
  <c r="M674"/>
  <c r="M1050"/>
  <c r="M773"/>
  <c r="M675"/>
  <c r="M744"/>
  <c r="M677"/>
  <c r="M771"/>
  <c r="M735"/>
  <c r="M742"/>
  <c r="M734"/>
  <c r="M745"/>
  <c r="M1044"/>
  <c r="M1152"/>
  <c r="M776"/>
  <c r="M680"/>
  <c r="M733"/>
  <c r="M743"/>
  <c r="M732"/>
  <c r="M746"/>
  <c r="M676"/>
  <c r="M777"/>
  <c r="M670"/>
  <c r="M1052"/>
  <c r="M1047"/>
  <c r="M1051"/>
  <c r="L785"/>
  <c r="L826"/>
  <c r="L833"/>
  <c r="D34" i="19"/>
  <c r="F34" s="1"/>
  <c r="K34" s="1"/>
  <c r="L34" s="1"/>
  <c r="F395" i="2"/>
  <c r="L603" i="1"/>
  <c r="L343"/>
  <c r="L128"/>
  <c r="L137" s="1"/>
  <c r="J604"/>
  <c r="J140"/>
  <c r="J343"/>
  <c r="M385"/>
  <c r="M607"/>
  <c r="M598"/>
  <c r="J415"/>
  <c r="K332"/>
  <c r="H255"/>
  <c r="H148"/>
  <c r="M140"/>
  <c r="M146" s="1"/>
  <c r="M251"/>
  <c r="M178"/>
  <c r="M231"/>
  <c r="M439"/>
  <c r="I257"/>
  <c r="M613"/>
  <c r="M249"/>
  <c r="J614"/>
  <c r="J61"/>
  <c r="J521"/>
  <c r="J612"/>
  <c r="J498"/>
  <c r="J529"/>
  <c r="J531" s="1"/>
  <c r="F341" i="2" s="1"/>
  <c r="J497" i="1"/>
  <c r="J306"/>
  <c r="J537"/>
  <c r="J539" s="1"/>
  <c r="F397" i="2" s="1"/>
  <c r="J520" i="1"/>
  <c r="J307"/>
  <c r="K608"/>
  <c r="K218"/>
  <c r="K212"/>
  <c r="K215"/>
  <c r="K219"/>
  <c r="K217"/>
  <c r="K209"/>
  <c r="K221"/>
  <c r="K211"/>
  <c r="K208"/>
  <c r="K216"/>
  <c r="K210"/>
  <c r="J190"/>
  <c r="F284" i="2"/>
  <c r="F285"/>
  <c r="K362" i="1"/>
  <c r="H241"/>
  <c r="L48"/>
  <c r="L613"/>
  <c r="L514"/>
  <c r="L516"/>
  <c r="L515"/>
  <c r="I478"/>
  <c r="M574"/>
  <c r="M324" s="1"/>
  <c r="M332" s="1"/>
  <c r="O2"/>
  <c r="N41"/>
  <c r="N234" s="1"/>
  <c r="N65"/>
  <c r="N132"/>
  <c r="N357"/>
  <c r="N329"/>
  <c r="N37"/>
  <c r="N231" s="1"/>
  <c r="N378"/>
  <c r="N33"/>
  <c r="N598" s="1"/>
  <c r="N348"/>
  <c r="N283"/>
  <c r="N347"/>
  <c r="N130"/>
  <c r="N469"/>
  <c r="N184"/>
  <c r="N379"/>
  <c r="N279"/>
  <c r="N134"/>
  <c r="N165"/>
  <c r="N325"/>
  <c r="N393"/>
  <c r="N156"/>
  <c r="N526"/>
  <c r="N359"/>
  <c r="N36"/>
  <c r="N459"/>
  <c r="N360"/>
  <c r="N142"/>
  <c r="N83"/>
  <c r="N135"/>
  <c r="N439"/>
  <c r="N284"/>
  <c r="N418"/>
  <c r="N246"/>
  <c r="N527"/>
  <c r="N280"/>
  <c r="N173"/>
  <c r="N97"/>
  <c r="N468"/>
  <c r="N266"/>
  <c r="N115"/>
  <c r="N328"/>
  <c r="N268"/>
  <c r="N133"/>
  <c r="N327"/>
  <c r="N27"/>
  <c r="N44"/>
  <c r="N175"/>
  <c r="N144"/>
  <c r="N369"/>
  <c r="N456"/>
  <c r="N199"/>
  <c r="N371"/>
  <c r="N186"/>
  <c r="N23"/>
  <c r="N336"/>
  <c r="N380"/>
  <c r="N269"/>
  <c r="N404"/>
  <c r="N214"/>
  <c r="N410"/>
  <c r="N416"/>
  <c r="N437"/>
  <c r="N278"/>
  <c r="N201"/>
  <c r="N337"/>
  <c r="N19"/>
  <c r="N276"/>
  <c r="N270"/>
  <c r="N285"/>
  <c r="N174"/>
  <c r="N474"/>
  <c r="N162"/>
  <c r="N155"/>
  <c r="N39"/>
  <c r="N250" s="1"/>
  <c r="N176"/>
  <c r="N351"/>
  <c r="N464"/>
  <c r="N458"/>
  <c r="N66"/>
  <c r="N470"/>
  <c r="N282"/>
  <c r="N381"/>
  <c r="N131"/>
  <c r="N585"/>
  <c r="N185"/>
  <c r="N421"/>
  <c r="N405"/>
  <c r="N248"/>
  <c r="N403"/>
  <c r="N406"/>
  <c r="N247"/>
  <c r="N402"/>
  <c r="N163"/>
  <c r="N153"/>
  <c r="N422"/>
  <c r="N43"/>
  <c r="N442" s="1"/>
  <c r="N466"/>
  <c r="N465"/>
  <c r="N200"/>
  <c r="N534"/>
  <c r="N143"/>
  <c r="N154"/>
  <c r="N129"/>
  <c r="N457"/>
  <c r="N472"/>
  <c r="N358"/>
  <c r="N141"/>
  <c r="N275"/>
  <c r="N40"/>
  <c r="N326"/>
  <c r="N57"/>
  <c r="N267"/>
  <c r="N58"/>
  <c r="N373"/>
  <c r="N517"/>
  <c r="N441"/>
  <c r="N220"/>
  <c r="N409"/>
  <c r="N408"/>
  <c r="N407"/>
  <c r="N152"/>
  <c r="N42"/>
  <c r="N423" s="1"/>
  <c r="N330"/>
  <c r="N394"/>
  <c r="N467"/>
  <c r="N281"/>
  <c r="N417"/>
  <c r="N183"/>
  <c r="N518"/>
  <c r="N586"/>
  <c r="N235"/>
  <c r="N438"/>
  <c r="N471"/>
  <c r="N443"/>
  <c r="N350"/>
  <c r="N473"/>
  <c r="N164"/>
  <c r="N370"/>
  <c r="N338"/>
  <c r="N84"/>
  <c r="N229"/>
  <c r="N277"/>
  <c r="N213"/>
  <c r="N38"/>
  <c r="N419" s="1"/>
  <c r="N455"/>
  <c r="N230"/>
  <c r="N339"/>
  <c r="N349"/>
  <c r="N372"/>
  <c r="N116"/>
  <c r="I72"/>
  <c r="I600"/>
  <c r="I77"/>
  <c r="I80" s="1"/>
  <c r="I110"/>
  <c r="I109"/>
  <c r="F10" i="2"/>
  <c r="I107" i="1"/>
  <c r="I95"/>
  <c r="I96"/>
  <c r="I108"/>
  <c r="H169"/>
  <c r="H450"/>
  <c r="L597"/>
  <c r="L519"/>
  <c r="L239"/>
  <c r="L528"/>
  <c r="L85"/>
  <c r="L117"/>
  <c r="L253"/>
  <c r="L444"/>
  <c r="L238"/>
  <c r="L237"/>
  <c r="L425"/>
  <c r="L424"/>
  <c r="L536"/>
  <c r="L56"/>
  <c r="L59"/>
  <c r="L236"/>
  <c r="L67"/>
  <c r="K203"/>
  <c r="M516"/>
  <c r="M443"/>
  <c r="M272"/>
  <c r="M203"/>
  <c r="M404"/>
  <c r="M418"/>
  <c r="M409"/>
  <c r="M213"/>
  <c r="M232"/>
  <c r="M234"/>
  <c r="M518"/>
  <c r="M514"/>
  <c r="M410"/>
  <c r="M461"/>
  <c r="M476"/>
  <c r="M442"/>
  <c r="L198"/>
  <c r="L197"/>
  <c r="L195"/>
  <c r="L392"/>
  <c r="L196"/>
  <c r="M287"/>
  <c r="L604"/>
  <c r="L140"/>
  <c r="L146" s="1"/>
  <c r="K596"/>
  <c r="K55"/>
  <c r="K10"/>
  <c r="K54"/>
  <c r="K9"/>
  <c r="K68"/>
  <c r="K70" s="1"/>
  <c r="K12"/>
  <c r="K11"/>
  <c r="K87"/>
  <c r="K13"/>
  <c r="K86"/>
  <c r="K118"/>
  <c r="K120" s="1"/>
  <c r="K52"/>
  <c r="K610"/>
  <c r="K245"/>
  <c r="K255" s="1"/>
  <c r="J436"/>
  <c r="F339" i="2"/>
  <c r="M46" i="1"/>
  <c r="M48" s="1"/>
  <c r="H109"/>
  <c r="H600"/>
  <c r="H95"/>
  <c r="H77"/>
  <c r="H72"/>
  <c r="H110"/>
  <c r="H107"/>
  <c r="F9" i="2"/>
  <c r="H96" i="1"/>
  <c r="H108"/>
  <c r="J89"/>
  <c r="L346"/>
  <c r="L606"/>
  <c r="L161"/>
  <c r="L167" s="1"/>
  <c r="J364"/>
  <c r="J605"/>
  <c r="J151"/>
  <c r="L412"/>
  <c r="K579"/>
  <c r="K415" s="1"/>
  <c r="K427" s="1"/>
  <c r="K448" s="1"/>
  <c r="K450" s="1"/>
  <c r="M248"/>
  <c r="M420"/>
  <c r="M403"/>
  <c r="M220"/>
  <c r="M421"/>
  <c r="M188"/>
  <c r="M407"/>
  <c r="M408"/>
  <c r="M577"/>
  <c r="M346" s="1"/>
  <c r="M353" s="1"/>
  <c r="M578"/>
  <c r="L190"/>
  <c r="N420" l="1"/>
  <c r="N252"/>
  <c r="K15"/>
  <c r="K89"/>
  <c r="N29"/>
  <c r="M412"/>
  <c r="M785" i="2"/>
  <c r="M833"/>
  <c r="M826"/>
  <c r="D34" i="20"/>
  <c r="F34" s="1"/>
  <c r="K34" s="1"/>
  <c r="L34" s="1"/>
  <c r="D43"/>
  <c r="F43" s="1"/>
  <c r="K43" s="1"/>
  <c r="L43" s="1"/>
  <c r="D33"/>
  <c r="E33" s="1"/>
  <c r="K33" s="1"/>
  <c r="L33" s="1"/>
  <c r="N771" i="2"/>
  <c r="N1050"/>
  <c r="N737"/>
  <c r="N774"/>
  <c r="N773"/>
  <c r="N735"/>
  <c r="N1044"/>
  <c r="N671" s="1"/>
  <c r="N674"/>
  <c r="N1152"/>
  <c r="N744"/>
  <c r="N677"/>
  <c r="N775"/>
  <c r="N734"/>
  <c r="N736"/>
  <c r="N675"/>
  <c r="O2"/>
  <c r="N742"/>
  <c r="N741"/>
  <c r="N776"/>
  <c r="N673"/>
  <c r="N772"/>
  <c r="D33" i="21" s="1"/>
  <c r="E33" s="1"/>
  <c r="K33" s="1"/>
  <c r="L33" s="1"/>
  <c r="N738" i="2"/>
  <c r="N680"/>
  <c r="N743"/>
  <c r="N777"/>
  <c r="N1051"/>
  <c r="N676"/>
  <c r="N670"/>
  <c r="N785" s="1"/>
  <c r="N746"/>
  <c r="N732"/>
  <c r="N733"/>
  <c r="N745"/>
  <c r="N1052"/>
  <c r="N1047"/>
  <c r="M671"/>
  <c r="M596" i="1"/>
  <c r="M55"/>
  <c r="M12"/>
  <c r="M9"/>
  <c r="M68"/>
  <c r="M10"/>
  <c r="M118"/>
  <c r="M52"/>
  <c r="M54"/>
  <c r="M87"/>
  <c r="M11"/>
  <c r="M86"/>
  <c r="M13"/>
  <c r="K78"/>
  <c r="M608"/>
  <c r="M211"/>
  <c r="M210"/>
  <c r="M208"/>
  <c r="M217"/>
  <c r="M221"/>
  <c r="M212"/>
  <c r="M219"/>
  <c r="M216"/>
  <c r="M218"/>
  <c r="M209"/>
  <c r="M215"/>
  <c r="L579"/>
  <c r="L415" s="1"/>
  <c r="L427" s="1"/>
  <c r="I91"/>
  <c r="F65" i="2" s="1"/>
  <c r="I494" i="1"/>
  <c r="I547"/>
  <c r="F616" i="2" s="1"/>
  <c r="I541" i="1"/>
  <c r="I303"/>
  <c r="I545"/>
  <c r="F561" i="2" s="1"/>
  <c r="I302" i="1"/>
  <c r="I299"/>
  <c r="I491"/>
  <c r="I549"/>
  <c r="I543"/>
  <c r="F506" i="2" s="1"/>
  <c r="N576" i="1"/>
  <c r="K223"/>
  <c r="J427"/>
  <c r="L203"/>
  <c r="I112"/>
  <c r="N233"/>
  <c r="N383"/>
  <c r="L148"/>
  <c r="L580"/>
  <c r="M356"/>
  <c r="K609"/>
  <c r="K228"/>
  <c r="K241" s="1"/>
  <c r="K257" s="1"/>
  <c r="L353"/>
  <c r="H112"/>
  <c r="M597"/>
  <c r="M236"/>
  <c r="M424"/>
  <c r="M579" s="1"/>
  <c r="M415" s="1"/>
  <c r="M427" s="1"/>
  <c r="M237"/>
  <c r="M536"/>
  <c r="M85"/>
  <c r="M519"/>
  <c r="M253"/>
  <c r="M59"/>
  <c r="M117"/>
  <c r="M239"/>
  <c r="M238"/>
  <c r="M425"/>
  <c r="M67"/>
  <c r="M444"/>
  <c r="M580" s="1"/>
  <c r="M436" s="1"/>
  <c r="M446" s="1"/>
  <c r="M528"/>
  <c r="M56"/>
  <c r="L396"/>
  <c r="N461"/>
  <c r="N188"/>
  <c r="O339"/>
  <c r="O142"/>
  <c r="O467"/>
  <c r="O373"/>
  <c r="O135"/>
  <c r="O97"/>
  <c r="O58"/>
  <c r="O134"/>
  <c r="O379"/>
  <c r="O328"/>
  <c r="O39"/>
  <c r="O36"/>
  <c r="O417" s="1"/>
  <c r="O585"/>
  <c r="O143"/>
  <c r="O360"/>
  <c r="O338"/>
  <c r="O40"/>
  <c r="O38"/>
  <c r="O249" s="1"/>
  <c r="O185"/>
  <c r="O276"/>
  <c r="O44"/>
  <c r="O173"/>
  <c r="O458"/>
  <c r="O470"/>
  <c r="O201"/>
  <c r="O152"/>
  <c r="O285"/>
  <c r="O526"/>
  <c r="O278"/>
  <c r="O381"/>
  <c r="O280"/>
  <c r="O235"/>
  <c r="O370"/>
  <c r="O144"/>
  <c r="O183"/>
  <c r="O393"/>
  <c r="O268"/>
  <c r="O250"/>
  <c r="O129"/>
  <c r="O378"/>
  <c r="O19"/>
  <c r="O281"/>
  <c r="O162"/>
  <c r="O465"/>
  <c r="O474"/>
  <c r="O132"/>
  <c r="O351"/>
  <c r="O336"/>
  <c r="O275"/>
  <c r="O327"/>
  <c r="O23"/>
  <c r="P2"/>
  <c r="O329"/>
  <c r="O440"/>
  <c r="O41"/>
  <c r="O443" s="1"/>
  <c r="O455"/>
  <c r="O282"/>
  <c r="O457"/>
  <c r="O330"/>
  <c r="O266"/>
  <c r="O83"/>
  <c r="O175"/>
  <c r="O468"/>
  <c r="O349"/>
  <c r="O422"/>
  <c r="O472"/>
  <c r="O369"/>
  <c r="O534"/>
  <c r="O459"/>
  <c r="O421"/>
  <c r="O130"/>
  <c r="O350"/>
  <c r="O165"/>
  <c r="O464"/>
  <c r="O267"/>
  <c r="O283"/>
  <c r="O153"/>
  <c r="O232"/>
  <c r="O163"/>
  <c r="O372"/>
  <c r="O380"/>
  <c r="O42"/>
  <c r="O423" s="1"/>
  <c r="O279"/>
  <c r="O37"/>
  <c r="O439" s="1"/>
  <c r="O200"/>
  <c r="O359"/>
  <c r="O154"/>
  <c r="O65"/>
  <c r="O471"/>
  <c r="O325"/>
  <c r="O141"/>
  <c r="O270"/>
  <c r="O33"/>
  <c r="O598" s="1"/>
  <c r="O371"/>
  <c r="O186"/>
  <c r="O115"/>
  <c r="O357"/>
  <c r="O133"/>
  <c r="O394"/>
  <c r="O234"/>
  <c r="O155"/>
  <c r="O586"/>
  <c r="O156"/>
  <c r="O277"/>
  <c r="O252"/>
  <c r="O57"/>
  <c r="O348"/>
  <c r="O473"/>
  <c r="O419"/>
  <c r="O27"/>
  <c r="O337"/>
  <c r="O176"/>
  <c r="O199"/>
  <c r="O326"/>
  <c r="O164"/>
  <c r="O358"/>
  <c r="O184"/>
  <c r="O466"/>
  <c r="O347"/>
  <c r="O456"/>
  <c r="O284"/>
  <c r="O66"/>
  <c r="O269"/>
  <c r="O43"/>
  <c r="O420" s="1"/>
  <c r="O469"/>
  <c r="O131"/>
  <c r="O174"/>
  <c r="O441"/>
  <c r="I611"/>
  <c r="I295"/>
  <c r="I487"/>
  <c r="I495"/>
  <c r="I496"/>
  <c r="I492"/>
  <c r="I298"/>
  <c r="I300"/>
  <c r="I296"/>
  <c r="I489"/>
  <c r="I304"/>
  <c r="I488"/>
  <c r="I490"/>
  <c r="I301"/>
  <c r="I305"/>
  <c r="I493"/>
  <c r="I297"/>
  <c r="H257"/>
  <c r="J523"/>
  <c r="J600"/>
  <c r="J72"/>
  <c r="J77"/>
  <c r="J80" s="1"/>
  <c r="J96"/>
  <c r="F11" i="2"/>
  <c r="F1160" s="1"/>
  <c r="J95" i="1"/>
  <c r="J108"/>
  <c r="J107"/>
  <c r="J110"/>
  <c r="J109"/>
  <c r="N287"/>
  <c r="N412"/>
  <c r="N251"/>
  <c r="N535"/>
  <c r="N574"/>
  <c r="N577"/>
  <c r="N346" s="1"/>
  <c r="N353" s="1"/>
  <c r="N440"/>
  <c r="N578"/>
  <c r="N356" s="1"/>
  <c r="N362" s="1"/>
  <c r="M190"/>
  <c r="J158"/>
  <c r="H80"/>
  <c r="H452"/>
  <c r="N587"/>
  <c r="N476"/>
  <c r="K343"/>
  <c r="K603"/>
  <c r="K128"/>
  <c r="J146"/>
  <c r="N232"/>
  <c r="N375"/>
  <c r="N46"/>
  <c r="N48" s="1"/>
  <c r="M605"/>
  <c r="M151"/>
  <c r="M158" s="1"/>
  <c r="L608"/>
  <c r="L215"/>
  <c r="L212"/>
  <c r="L219"/>
  <c r="L210"/>
  <c r="L209"/>
  <c r="L221"/>
  <c r="L217"/>
  <c r="L218"/>
  <c r="L208"/>
  <c r="L216"/>
  <c r="L211"/>
  <c r="J446"/>
  <c r="K612"/>
  <c r="K537"/>
  <c r="K306"/>
  <c r="K307"/>
  <c r="K529"/>
  <c r="K498"/>
  <c r="K520"/>
  <c r="K497"/>
  <c r="K61"/>
  <c r="K614"/>
  <c r="K521"/>
  <c r="N613"/>
  <c r="N272"/>
  <c r="M343"/>
  <c r="M603"/>
  <c r="M128"/>
  <c r="M137" s="1"/>
  <c r="M148" s="1"/>
  <c r="L596"/>
  <c r="L54"/>
  <c r="L68"/>
  <c r="L12"/>
  <c r="L52"/>
  <c r="L9"/>
  <c r="L55"/>
  <c r="L11"/>
  <c r="L87"/>
  <c r="L118"/>
  <c r="L120" s="1"/>
  <c r="L13"/>
  <c r="L86"/>
  <c r="L10"/>
  <c r="K606"/>
  <c r="K161"/>
  <c r="K364"/>
  <c r="I259"/>
  <c r="I261"/>
  <c r="H192"/>
  <c r="J387"/>
  <c r="N249"/>
  <c r="N583"/>
  <c r="O231" l="1"/>
  <c r="O437"/>
  <c r="O416"/>
  <c r="K523"/>
  <c r="O402"/>
  <c r="O527"/>
  <c r="O248"/>
  <c r="O247"/>
  <c r="N515"/>
  <c r="N514"/>
  <c r="N516"/>
  <c r="O246"/>
  <c r="O577"/>
  <c r="O346" s="1"/>
  <c r="O353" s="1"/>
  <c r="O404"/>
  <c r="O518"/>
  <c r="O229"/>
  <c r="O220"/>
  <c r="O230"/>
  <c r="O438"/>
  <c r="M120"/>
  <c r="M89"/>
  <c r="K259"/>
  <c r="N826" i="2"/>
  <c r="N833"/>
  <c r="O1047"/>
  <c r="O736"/>
  <c r="O776"/>
  <c r="P2"/>
  <c r="O775"/>
  <c r="O676"/>
  <c r="O737"/>
  <c r="O738"/>
  <c r="O735"/>
  <c r="O677"/>
  <c r="O742"/>
  <c r="O744"/>
  <c r="O772"/>
  <c r="O773"/>
  <c r="O1050"/>
  <c r="O732"/>
  <c r="O733"/>
  <c r="O745"/>
  <c r="O670"/>
  <c r="O680"/>
  <c r="O746"/>
  <c r="O1051"/>
  <c r="O777"/>
  <c r="O743"/>
  <c r="O1052"/>
  <c r="O771"/>
  <c r="O734"/>
  <c r="O741"/>
  <c r="O1152"/>
  <c r="O673"/>
  <c r="O1044"/>
  <c r="O671" s="1"/>
  <c r="O675"/>
  <c r="O674"/>
  <c r="O774"/>
  <c r="D43" i="21"/>
  <c r="F43" s="1"/>
  <c r="K43" s="1"/>
  <c r="L43" s="1"/>
  <c r="D34"/>
  <c r="F34" s="1"/>
  <c r="K34" s="1"/>
  <c r="L34" s="1"/>
  <c r="O605" i="1"/>
  <c r="O151"/>
  <c r="O158" s="1"/>
  <c r="M448"/>
  <c r="M450" s="1"/>
  <c r="M610"/>
  <c r="M245"/>
  <c r="M255" s="1"/>
  <c r="H205"/>
  <c r="L612"/>
  <c r="L497"/>
  <c r="L306"/>
  <c r="L529"/>
  <c r="L531" s="1"/>
  <c r="F343" i="2" s="1"/>
  <c r="L498" i="1"/>
  <c r="L537"/>
  <c r="L539" s="1"/>
  <c r="F399" i="2" s="1"/>
  <c r="L307" i="1"/>
  <c r="L520"/>
  <c r="F287" i="2"/>
  <c r="J448" i="1"/>
  <c r="J610"/>
  <c r="J245"/>
  <c r="N597"/>
  <c r="N519"/>
  <c r="N85"/>
  <c r="N237"/>
  <c r="N253"/>
  <c r="N528"/>
  <c r="N56"/>
  <c r="N238"/>
  <c r="N117"/>
  <c r="N59"/>
  <c r="N236"/>
  <c r="N239"/>
  <c r="N425"/>
  <c r="N536"/>
  <c r="N424"/>
  <c r="N444"/>
  <c r="N580" s="1"/>
  <c r="N436" s="1"/>
  <c r="N446" s="1"/>
  <c r="N67"/>
  <c r="J148"/>
  <c r="N198"/>
  <c r="N196"/>
  <c r="N195"/>
  <c r="N197"/>
  <c r="N392"/>
  <c r="H494"/>
  <c r="H303"/>
  <c r="H543"/>
  <c r="H545"/>
  <c r="H299"/>
  <c r="H547"/>
  <c r="H549"/>
  <c r="H91"/>
  <c r="H541"/>
  <c r="H302"/>
  <c r="H491"/>
  <c r="H259"/>
  <c r="P351"/>
  <c r="P358"/>
  <c r="P534"/>
  <c r="P473"/>
  <c r="P357"/>
  <c r="P173"/>
  <c r="P330"/>
  <c r="P58"/>
  <c r="P283"/>
  <c r="P153"/>
  <c r="P469"/>
  <c r="P328"/>
  <c r="P186"/>
  <c r="Q2"/>
  <c r="P466"/>
  <c r="P36"/>
  <c r="P162"/>
  <c r="P458"/>
  <c r="P154"/>
  <c r="P360"/>
  <c r="P455"/>
  <c r="P338"/>
  <c r="P270"/>
  <c r="P278"/>
  <c r="P465"/>
  <c r="P57"/>
  <c r="P459"/>
  <c r="P586"/>
  <c r="P378"/>
  <c r="P141"/>
  <c r="P44"/>
  <c r="P585"/>
  <c r="P457"/>
  <c r="P268"/>
  <c r="P464"/>
  <c r="P276"/>
  <c r="P135"/>
  <c r="P39"/>
  <c r="P250" s="1"/>
  <c r="P40"/>
  <c r="P467"/>
  <c r="P42"/>
  <c r="P423" s="1"/>
  <c r="P325"/>
  <c r="P266"/>
  <c r="P349"/>
  <c r="P267"/>
  <c r="P23"/>
  <c r="P371"/>
  <c r="P284"/>
  <c r="P183"/>
  <c r="P327"/>
  <c r="P143"/>
  <c r="P201"/>
  <c r="P372"/>
  <c r="P37"/>
  <c r="P418" s="1"/>
  <c r="P456"/>
  <c r="P438"/>
  <c r="P176"/>
  <c r="P19"/>
  <c r="P394"/>
  <c r="P163"/>
  <c r="P130"/>
  <c r="P66"/>
  <c r="P393"/>
  <c r="P474"/>
  <c r="P526"/>
  <c r="P185"/>
  <c r="P471"/>
  <c r="P43"/>
  <c r="P233" s="1"/>
  <c r="P156"/>
  <c r="P152"/>
  <c r="P65"/>
  <c r="P38"/>
  <c r="P440" s="1"/>
  <c r="P83"/>
  <c r="P347"/>
  <c r="P133"/>
  <c r="P184"/>
  <c r="P280"/>
  <c r="P370"/>
  <c r="P277"/>
  <c r="P337"/>
  <c r="P472"/>
  <c r="P131"/>
  <c r="P134"/>
  <c r="P339"/>
  <c r="P369"/>
  <c r="P144"/>
  <c r="P132"/>
  <c r="P174"/>
  <c r="P359"/>
  <c r="P129"/>
  <c r="P229"/>
  <c r="P282"/>
  <c r="P379"/>
  <c r="P33"/>
  <c r="P598" s="1"/>
  <c r="P470"/>
  <c r="P329"/>
  <c r="P175"/>
  <c r="P155"/>
  <c r="P281"/>
  <c r="P373"/>
  <c r="P97"/>
  <c r="P381"/>
  <c r="P165"/>
  <c r="P269"/>
  <c r="P41"/>
  <c r="P252" s="1"/>
  <c r="P199"/>
  <c r="P164"/>
  <c r="P336"/>
  <c r="P576" s="1"/>
  <c r="P335" s="1"/>
  <c r="P341" s="1"/>
  <c r="P422"/>
  <c r="P285"/>
  <c r="P142"/>
  <c r="P326"/>
  <c r="P235"/>
  <c r="P348"/>
  <c r="P275"/>
  <c r="P213"/>
  <c r="P249"/>
  <c r="P248"/>
  <c r="P27"/>
  <c r="P200"/>
  <c r="P439"/>
  <c r="P380"/>
  <c r="P115"/>
  <c r="P468"/>
  <c r="P350"/>
  <c r="P420"/>
  <c r="P279"/>
  <c r="P441"/>
  <c r="P406"/>
  <c r="O29"/>
  <c r="L436"/>
  <c r="K387"/>
  <c r="K452" s="1"/>
  <c r="I309"/>
  <c r="O375"/>
  <c r="O272"/>
  <c r="O576"/>
  <c r="O335" s="1"/>
  <c r="O341" s="1"/>
  <c r="O410"/>
  <c r="N606"/>
  <c r="N161"/>
  <c r="N167" s="1"/>
  <c r="O583"/>
  <c r="O105" s="1"/>
  <c r="O287"/>
  <c r="L605"/>
  <c r="L364"/>
  <c r="L387" s="1"/>
  <c r="L151"/>
  <c r="J609"/>
  <c r="J228"/>
  <c r="N335"/>
  <c r="F451" i="2"/>
  <c r="I551" i="1"/>
  <c r="L15"/>
  <c r="L223"/>
  <c r="I500"/>
  <c r="I502" s="1"/>
  <c r="O517"/>
  <c r="O407"/>
  <c r="O535"/>
  <c r="O116"/>
  <c r="O214"/>
  <c r="O405"/>
  <c r="O403"/>
  <c r="M223"/>
  <c r="K531"/>
  <c r="N607"/>
  <c r="N385"/>
  <c r="N172"/>
  <c r="K137"/>
  <c r="K148" s="1"/>
  <c r="H478"/>
  <c r="J169"/>
  <c r="N324"/>
  <c r="N608"/>
  <c r="N208"/>
  <c r="N216"/>
  <c r="N211"/>
  <c r="N210"/>
  <c r="N218"/>
  <c r="N215"/>
  <c r="N209"/>
  <c r="N212"/>
  <c r="N221"/>
  <c r="N219"/>
  <c r="N217"/>
  <c r="J91"/>
  <c r="F66" i="2" s="1"/>
  <c r="J545" i="1"/>
  <c r="F562" i="2" s="1"/>
  <c r="J302" i="1"/>
  <c r="J549"/>
  <c r="J494"/>
  <c r="J303"/>
  <c r="J491"/>
  <c r="J543"/>
  <c r="F507" i="2" s="1"/>
  <c r="J299" i="1"/>
  <c r="J547"/>
  <c r="F617" i="2" s="1"/>
  <c r="J541" i="1"/>
  <c r="F452" i="2" s="1"/>
  <c r="F286"/>
  <c r="M70" i="1"/>
  <c r="M78" s="1"/>
  <c r="M362"/>
  <c r="L70"/>
  <c r="O251"/>
  <c r="O578"/>
  <c r="O356" s="1"/>
  <c r="O362" s="1"/>
  <c r="O364" s="1"/>
  <c r="O442"/>
  <c r="O188"/>
  <c r="O408"/>
  <c r="O213"/>
  <c r="O46"/>
  <c r="O418"/>
  <c r="N105"/>
  <c r="I311"/>
  <c r="I289"/>
  <c r="K167"/>
  <c r="N596"/>
  <c r="N55"/>
  <c r="N118"/>
  <c r="N12"/>
  <c r="N87"/>
  <c r="N10"/>
  <c r="N9"/>
  <c r="N13"/>
  <c r="N52"/>
  <c r="N86"/>
  <c r="N54"/>
  <c r="N68"/>
  <c r="N11"/>
  <c r="K600"/>
  <c r="K72"/>
  <c r="K77"/>
  <c r="K80" s="1"/>
  <c r="K95"/>
  <c r="K109"/>
  <c r="K110"/>
  <c r="K108"/>
  <c r="K107"/>
  <c r="K96"/>
  <c r="F12" i="2"/>
  <c r="K539" i="1"/>
  <c r="N605"/>
  <c r="N364"/>
  <c r="N151"/>
  <c r="N158" s="1"/>
  <c r="O383"/>
  <c r="M609"/>
  <c r="M228"/>
  <c r="M241" s="1"/>
  <c r="M257" s="1"/>
  <c r="L609"/>
  <c r="L228"/>
  <c r="L241" s="1"/>
  <c r="M612"/>
  <c r="M498"/>
  <c r="M497"/>
  <c r="M529"/>
  <c r="M307"/>
  <c r="M520"/>
  <c r="M537"/>
  <c r="M539" s="1"/>
  <c r="F400" i="2" s="1"/>
  <c r="M306" i="1"/>
  <c r="J112"/>
  <c r="O233"/>
  <c r="O574"/>
  <c r="O324" s="1"/>
  <c r="O332" s="1"/>
  <c r="O406"/>
  <c r="O476"/>
  <c r="O461"/>
  <c r="O84"/>
  <c r="O409"/>
  <c r="O587"/>
  <c r="L89"/>
  <c r="M15"/>
  <c r="P84" l="1"/>
  <c r="P517"/>
  <c r="P403"/>
  <c r="P214"/>
  <c r="P29"/>
  <c r="O412"/>
  <c r="O218" s="1"/>
  <c r="P518"/>
  <c r="O785" i="2"/>
  <c r="O833"/>
  <c r="O826"/>
  <c r="P776"/>
  <c r="P1047"/>
  <c r="P772"/>
  <c r="D33" i="23" s="1"/>
  <c r="E33" s="1"/>
  <c r="K33" s="1"/>
  <c r="L33" s="1"/>
  <c r="P676" i="2"/>
  <c r="P773"/>
  <c r="P677"/>
  <c r="P736"/>
  <c r="Q2"/>
  <c r="P1050"/>
  <c r="P735"/>
  <c r="P775"/>
  <c r="P742"/>
  <c r="P737"/>
  <c r="P738"/>
  <c r="P743"/>
  <c r="P744"/>
  <c r="P777"/>
  <c r="P680"/>
  <c r="P733"/>
  <c r="P1051"/>
  <c r="P746"/>
  <c r="P1052"/>
  <c r="P745"/>
  <c r="P732"/>
  <c r="P670"/>
  <c r="P785" s="1"/>
  <c r="P741"/>
  <c r="P734"/>
  <c r="P675"/>
  <c r="P674"/>
  <c r="P1044"/>
  <c r="P399" s="1"/>
  <c r="P774"/>
  <c r="P673"/>
  <c r="P771"/>
  <c r="P1152"/>
  <c r="M400"/>
  <c r="N400"/>
  <c r="L400"/>
  <c r="I400"/>
  <c r="G400"/>
  <c r="H400"/>
  <c r="K400"/>
  <c r="J400"/>
  <c r="O400"/>
  <c r="P604" i="1"/>
  <c r="P140"/>
  <c r="P146" s="1"/>
  <c r="O608"/>
  <c r="O215"/>
  <c r="O219"/>
  <c r="O208"/>
  <c r="O211"/>
  <c r="O217"/>
  <c r="I602"/>
  <c r="I102"/>
  <c r="L78"/>
  <c r="N178"/>
  <c r="F342" i="2"/>
  <c r="L61" i="1"/>
  <c r="L614"/>
  <c r="L521"/>
  <c r="O607"/>
  <c r="O385"/>
  <c r="O172"/>
  <c r="O178" s="1"/>
  <c r="O190" s="1"/>
  <c r="F64" i="2"/>
  <c r="F560"/>
  <c r="N396" i="1"/>
  <c r="J450"/>
  <c r="H261"/>
  <c r="M531"/>
  <c r="F344" i="2" s="1"/>
  <c r="P443" i="1"/>
  <c r="P419"/>
  <c r="P232"/>
  <c r="P535"/>
  <c r="P46"/>
  <c r="P442"/>
  <c r="N70"/>
  <c r="N78" s="1"/>
  <c r="N120"/>
  <c r="O198"/>
  <c r="O197"/>
  <c r="O196"/>
  <c r="O195"/>
  <c r="O392"/>
  <c r="O396" s="1"/>
  <c r="M12" i="2"/>
  <c r="N12"/>
  <c r="L12"/>
  <c r="J12"/>
  <c r="G12"/>
  <c r="I12"/>
  <c r="K12"/>
  <c r="H12"/>
  <c r="O12"/>
  <c r="N15" i="1"/>
  <c r="K169"/>
  <c r="K192" s="1"/>
  <c r="K205" s="1"/>
  <c r="K261" s="1"/>
  <c r="N341"/>
  <c r="K478"/>
  <c r="L446"/>
  <c r="O613"/>
  <c r="O48"/>
  <c r="O514"/>
  <c r="O515"/>
  <c r="O516"/>
  <c r="P476"/>
  <c r="F450" i="2"/>
  <c r="H551" i="1"/>
  <c r="N203"/>
  <c r="J192"/>
  <c r="N343" i="2"/>
  <c r="M343"/>
  <c r="K343"/>
  <c r="L343"/>
  <c r="J343"/>
  <c r="G343"/>
  <c r="I343"/>
  <c r="H343"/>
  <c r="O343"/>
  <c r="N610" i="1"/>
  <c r="N245"/>
  <c r="N255" s="1"/>
  <c r="P251"/>
  <c r="P409"/>
  <c r="P405"/>
  <c r="P246"/>
  <c r="P116"/>
  <c r="P230"/>
  <c r="P421"/>
  <c r="P375"/>
  <c r="P188"/>
  <c r="P574"/>
  <c r="P324" s="1"/>
  <c r="P332" s="1"/>
  <c r="P410"/>
  <c r="P383"/>
  <c r="P461"/>
  <c r="P578"/>
  <c r="P356" s="1"/>
  <c r="L523"/>
  <c r="O343"/>
  <c r="O387" s="1"/>
  <c r="O603"/>
  <c r="O128"/>
  <c r="O137" s="1"/>
  <c r="K91"/>
  <c r="F67" i="2" s="1"/>
  <c r="K303" i="1"/>
  <c r="K547"/>
  <c r="F618" i="2" s="1"/>
  <c r="K545" i="1"/>
  <c r="F563" i="2" s="1"/>
  <c r="K491" i="1"/>
  <c r="K494"/>
  <c r="K549"/>
  <c r="K299"/>
  <c r="K543"/>
  <c r="F508" i="2" s="1"/>
  <c r="K302" i="1"/>
  <c r="K541"/>
  <c r="F453" i="2" s="1"/>
  <c r="O604" i="1"/>
  <c r="O140"/>
  <c r="O146" s="1"/>
  <c r="P613"/>
  <c r="P48"/>
  <c r="P272"/>
  <c r="P587"/>
  <c r="Q586"/>
  <c r="Q235"/>
  <c r="Q468"/>
  <c r="Q115"/>
  <c r="Q394"/>
  <c r="Q155"/>
  <c r="Q455"/>
  <c r="Q131"/>
  <c r="Q42"/>
  <c r="Q65"/>
  <c r="Q38"/>
  <c r="Q351"/>
  <c r="Q268"/>
  <c r="Q282"/>
  <c r="Q175"/>
  <c r="Q200"/>
  <c r="Q469"/>
  <c r="Q464"/>
  <c r="Q371"/>
  <c r="Q467"/>
  <c r="Q380"/>
  <c r="Q459"/>
  <c r="Q164"/>
  <c r="Q153"/>
  <c r="Q585"/>
  <c r="Q587" s="1"/>
  <c r="Q392" s="1"/>
  <c r="Q199"/>
  <c r="Q132"/>
  <c r="Q36"/>
  <c r="Q416" s="1"/>
  <c r="Q183"/>
  <c r="Q83"/>
  <c r="Q66"/>
  <c r="Q37"/>
  <c r="Q248" s="1"/>
  <c r="Q440"/>
  <c r="Q201"/>
  <c r="Q267"/>
  <c r="Q326"/>
  <c r="Q144"/>
  <c r="Q134"/>
  <c r="Q58"/>
  <c r="Q269"/>
  <c r="Q285"/>
  <c r="Q419"/>
  <c r="Q330"/>
  <c r="Q141"/>
  <c r="Q465"/>
  <c r="Q422"/>
  <c r="Q336"/>
  <c r="Q185"/>
  <c r="Q373"/>
  <c r="Q39"/>
  <c r="Q441" s="1"/>
  <c r="Q350"/>
  <c r="Q466"/>
  <c r="Q57"/>
  <c r="Q279"/>
  <c r="Q44"/>
  <c r="Q348"/>
  <c r="Q284"/>
  <c r="Q457"/>
  <c r="Q369"/>
  <c r="Q474"/>
  <c r="Q278"/>
  <c r="Q338"/>
  <c r="Q329"/>
  <c r="Q174"/>
  <c r="Q281"/>
  <c r="Q133"/>
  <c r="Q325"/>
  <c r="Q184"/>
  <c r="Q154"/>
  <c r="Q458"/>
  <c r="Q43"/>
  <c r="Q442" s="1"/>
  <c r="Q163"/>
  <c r="Q470"/>
  <c r="Q372"/>
  <c r="Q379"/>
  <c r="Q276"/>
  <c r="Q198"/>
  <c r="Q173"/>
  <c r="Q337"/>
  <c r="Q471"/>
  <c r="Q231"/>
  <c r="Q196"/>
  <c r="Q152"/>
  <c r="Q266"/>
  <c r="Q358"/>
  <c r="Q129"/>
  <c r="Q143"/>
  <c r="Q270"/>
  <c r="R2"/>
  <c r="Q41"/>
  <c r="Q421" s="1"/>
  <c r="Q33"/>
  <c r="Q598" s="1"/>
  <c r="Q135"/>
  <c r="Q357"/>
  <c r="Q456"/>
  <c r="Q27"/>
  <c r="Q378"/>
  <c r="Q347"/>
  <c r="Q165"/>
  <c r="Q186"/>
  <c r="Q40"/>
  <c r="Q176"/>
  <c r="Q423"/>
  <c r="Q393"/>
  <c r="Q130"/>
  <c r="Q328"/>
  <c r="Q408"/>
  <c r="Q97"/>
  <c r="Q534"/>
  <c r="Q339"/>
  <c r="Q23"/>
  <c r="Q360"/>
  <c r="Q443"/>
  <c r="Q327"/>
  <c r="Q275"/>
  <c r="Q280"/>
  <c r="Q349"/>
  <c r="Q473"/>
  <c r="Q232"/>
  <c r="Q359"/>
  <c r="Q19"/>
  <c r="Q381"/>
  <c r="Q526"/>
  <c r="Q162"/>
  <c r="Q142"/>
  <c r="Q251"/>
  <c r="Q406"/>
  <c r="Q197"/>
  <c r="Q472"/>
  <c r="Q156"/>
  <c r="Q283"/>
  <c r="Q277"/>
  <c r="Q370"/>
  <c r="Q409"/>
  <c r="Q249"/>
  <c r="Q195"/>
  <c r="Q252"/>
  <c r="F615" i="2"/>
  <c r="J255" i="1"/>
  <c r="P404"/>
  <c r="P577"/>
  <c r="P346" s="1"/>
  <c r="P583"/>
  <c r="P105" s="1"/>
  <c r="P527"/>
  <c r="N579"/>
  <c r="N89"/>
  <c r="N332"/>
  <c r="O606"/>
  <c r="O161"/>
  <c r="O167" s="1"/>
  <c r="O169" s="1"/>
  <c r="I504"/>
  <c r="I601"/>
  <c r="F230" i="2"/>
  <c r="I101" i="1"/>
  <c r="I104" s="1"/>
  <c r="J241"/>
  <c r="M61"/>
  <c r="M614"/>
  <c r="M521"/>
  <c r="M523" s="1"/>
  <c r="F398" i="2"/>
  <c r="N612" i="1"/>
  <c r="N537"/>
  <c r="N520"/>
  <c r="N498"/>
  <c r="N307"/>
  <c r="N497"/>
  <c r="N529"/>
  <c r="N531" s="1"/>
  <c r="F348" i="2" s="1"/>
  <c r="N306" i="1"/>
  <c r="I553"/>
  <c r="I313"/>
  <c r="F175" i="2"/>
  <c r="O597" i="1"/>
  <c r="O236"/>
  <c r="O67"/>
  <c r="O239"/>
  <c r="O237"/>
  <c r="O56"/>
  <c r="O253"/>
  <c r="O117"/>
  <c r="O444"/>
  <c r="O580" s="1"/>
  <c r="O238"/>
  <c r="O425"/>
  <c r="O85"/>
  <c r="O519"/>
  <c r="O424"/>
  <c r="O579" s="1"/>
  <c r="O415" s="1"/>
  <c r="O427" s="1"/>
  <c r="O528"/>
  <c r="O536"/>
  <c r="O59"/>
  <c r="M606"/>
  <c r="M161"/>
  <c r="M364"/>
  <c r="M387" s="1"/>
  <c r="H487"/>
  <c r="H496"/>
  <c r="H305"/>
  <c r="H495"/>
  <c r="H296"/>
  <c r="H492"/>
  <c r="H301"/>
  <c r="H297"/>
  <c r="H611"/>
  <c r="H490"/>
  <c r="H489"/>
  <c r="H488"/>
  <c r="H304"/>
  <c r="H298"/>
  <c r="H493"/>
  <c r="H295"/>
  <c r="H300"/>
  <c r="L158"/>
  <c r="F505" i="2"/>
  <c r="M287"/>
  <c r="N287"/>
  <c r="L287"/>
  <c r="K287"/>
  <c r="H287"/>
  <c r="J287"/>
  <c r="G287"/>
  <c r="I287"/>
  <c r="O287"/>
  <c r="M399"/>
  <c r="N399"/>
  <c r="L399"/>
  <c r="G399"/>
  <c r="H399"/>
  <c r="I399"/>
  <c r="K399"/>
  <c r="J399"/>
  <c r="O399"/>
  <c r="J551" i="1"/>
  <c r="M259"/>
  <c r="N169"/>
  <c r="K112"/>
  <c r="N223"/>
  <c r="P408"/>
  <c r="P231"/>
  <c r="P247"/>
  <c r="P234"/>
  <c r="P437"/>
  <c r="P287"/>
  <c r="P402"/>
  <c r="P515"/>
  <c r="P416"/>
  <c r="P417"/>
  <c r="P220"/>
  <c r="P407"/>
  <c r="M452"/>
  <c r="Q439" l="1"/>
  <c r="Q418"/>
  <c r="Q405"/>
  <c r="Q250"/>
  <c r="O210"/>
  <c r="O212"/>
  <c r="O221"/>
  <c r="Q246"/>
  <c r="Q229"/>
  <c r="K551"/>
  <c r="Q247"/>
  <c r="Q230"/>
  <c r="Q438"/>
  <c r="Q437"/>
  <c r="O216"/>
  <c r="O209"/>
  <c r="P287" i="2"/>
  <c r="P12"/>
  <c r="P400"/>
  <c r="Q527" i="1"/>
  <c r="P516"/>
  <c r="P514"/>
  <c r="Q213"/>
  <c r="Q403"/>
  <c r="Q84"/>
  <c r="Q29"/>
  <c r="Q514" s="1"/>
  <c r="Q214"/>
  <c r="Q234"/>
  <c r="Q577"/>
  <c r="Q346" s="1"/>
  <c r="Q353" s="1"/>
  <c r="Q535"/>
  <c r="Q583"/>
  <c r="Q105" s="1"/>
  <c r="Q404"/>
  <c r="Q407"/>
  <c r="O223"/>
  <c r="Q677" i="2"/>
  <c r="Q773"/>
  <c r="Q736"/>
  <c r="Q742"/>
  <c r="R2"/>
  <c r="Q744"/>
  <c r="Q775"/>
  <c r="Q735"/>
  <c r="Q772"/>
  <c r="Q776"/>
  <c r="Q738"/>
  <c r="Q1050"/>
  <c r="Q737"/>
  <c r="Q676"/>
  <c r="Q732"/>
  <c r="Q733"/>
  <c r="Q670"/>
  <c r="Q785" s="1"/>
  <c r="Q680"/>
  <c r="Q745"/>
  <c r="Q746"/>
  <c r="Q741"/>
  <c r="Q1044"/>
  <c r="Q344" s="1"/>
  <c r="Q674"/>
  <c r="Q743"/>
  <c r="Q1051"/>
  <c r="Q774"/>
  <c r="Q777"/>
  <c r="Q771"/>
  <c r="Q675"/>
  <c r="Q1152"/>
  <c r="Q673"/>
  <c r="Q734"/>
  <c r="Q1052"/>
  <c r="Q671"/>
  <c r="Q1047"/>
  <c r="P343"/>
  <c r="P671"/>
  <c r="D34" i="23"/>
  <c r="F34" s="1"/>
  <c r="K34" s="1"/>
  <c r="L34" s="1"/>
  <c r="P833" i="2"/>
  <c r="P826"/>
  <c r="D43" i="23"/>
  <c r="F43" s="1"/>
  <c r="K43" s="1"/>
  <c r="L43" s="1"/>
  <c r="Q605" i="1"/>
  <c r="Q151"/>
  <c r="Q158" s="1"/>
  <c r="O609"/>
  <c r="O228"/>
  <c r="O241" s="1"/>
  <c r="H500"/>
  <c r="J257"/>
  <c r="N603"/>
  <c r="N343"/>
  <c r="N128"/>
  <c r="P392"/>
  <c r="P396" s="1"/>
  <c r="P195"/>
  <c r="P196"/>
  <c r="P198"/>
  <c r="P197"/>
  <c r="N344" i="2"/>
  <c r="M344"/>
  <c r="H344"/>
  <c r="L344"/>
  <c r="J344"/>
  <c r="K344"/>
  <c r="G344"/>
  <c r="I344"/>
  <c r="P344"/>
  <c r="O344"/>
  <c r="H289" i="1"/>
  <c r="Q116"/>
  <c r="Q233"/>
  <c r="Q420"/>
  <c r="Q461"/>
  <c r="M167"/>
  <c r="I599"/>
  <c r="I94"/>
  <c r="I98" s="1"/>
  <c r="I122" s="1"/>
  <c r="F120" i="2" s="1"/>
  <c r="F401"/>
  <c r="N398"/>
  <c r="M398"/>
  <c r="K398"/>
  <c r="I398"/>
  <c r="J398"/>
  <c r="L398"/>
  <c r="G398"/>
  <c r="H398"/>
  <c r="P398"/>
  <c r="O398"/>
  <c r="P353" i="1"/>
  <c r="Q613"/>
  <c r="Q287"/>
  <c r="P596"/>
  <c r="P87"/>
  <c r="P13"/>
  <c r="P68"/>
  <c r="P86"/>
  <c r="P12"/>
  <c r="P118"/>
  <c r="P11"/>
  <c r="P52"/>
  <c r="P54"/>
  <c r="P55"/>
  <c r="P9"/>
  <c r="P10"/>
  <c r="M453" i="2"/>
  <c r="N453"/>
  <c r="I453"/>
  <c r="L453"/>
  <c r="J453"/>
  <c r="K453"/>
  <c r="G453"/>
  <c r="H453"/>
  <c r="O453"/>
  <c r="P453"/>
  <c r="N618"/>
  <c r="M618"/>
  <c r="J618"/>
  <c r="K618"/>
  <c r="G618"/>
  <c r="L618"/>
  <c r="I618"/>
  <c r="H618"/>
  <c r="P618"/>
  <c r="O618"/>
  <c r="F288"/>
  <c r="K611" i="1"/>
  <c r="K304"/>
  <c r="K301"/>
  <c r="K495"/>
  <c r="K295"/>
  <c r="K298"/>
  <c r="K493"/>
  <c r="K305"/>
  <c r="K492"/>
  <c r="K300"/>
  <c r="K489"/>
  <c r="K496"/>
  <c r="K488"/>
  <c r="K487"/>
  <c r="K490"/>
  <c r="K296"/>
  <c r="K297"/>
  <c r="L77"/>
  <c r="L72"/>
  <c r="L600"/>
  <c r="L110"/>
  <c r="F13" i="2"/>
  <c r="L107" i="1"/>
  <c r="L96"/>
  <c r="L108"/>
  <c r="L95"/>
  <c r="L109"/>
  <c r="N190"/>
  <c r="P412"/>
  <c r="Q383"/>
  <c r="Q272"/>
  <c r="Q515"/>
  <c r="Q576"/>
  <c r="Q410"/>
  <c r="Q518"/>
  <c r="Q46"/>
  <c r="O148"/>
  <c r="O192" s="1"/>
  <c r="O203"/>
  <c r="L169"/>
  <c r="F1104" i="2"/>
  <c r="M77" i="1"/>
  <c r="M80" s="1"/>
  <c r="M600"/>
  <c r="M72"/>
  <c r="F14" i="2"/>
  <c r="M107" i="1"/>
  <c r="M96"/>
  <c r="M110"/>
  <c r="M109"/>
  <c r="M95"/>
  <c r="M108"/>
  <c r="R459"/>
  <c r="R183"/>
  <c r="R338"/>
  <c r="R422"/>
  <c r="R284"/>
  <c r="R285"/>
  <c r="R350"/>
  <c r="R347"/>
  <c r="R173"/>
  <c r="R154"/>
  <c r="R369"/>
  <c r="R357"/>
  <c r="R378"/>
  <c r="R586"/>
  <c r="R36"/>
  <c r="R328"/>
  <c r="R135"/>
  <c r="R325"/>
  <c r="R275"/>
  <c r="R184"/>
  <c r="R585"/>
  <c r="R266"/>
  <c r="R514"/>
  <c r="R39"/>
  <c r="R165"/>
  <c r="R474"/>
  <c r="R516"/>
  <c r="S2"/>
  <c r="R200"/>
  <c r="R129"/>
  <c r="R43"/>
  <c r="R420" s="1"/>
  <c r="R380"/>
  <c r="R515"/>
  <c r="R23"/>
  <c r="R326"/>
  <c r="R370"/>
  <c r="R467"/>
  <c r="R143"/>
  <c r="R57"/>
  <c r="R371"/>
  <c r="R235"/>
  <c r="R131"/>
  <c r="R269"/>
  <c r="R394"/>
  <c r="R466"/>
  <c r="R359"/>
  <c r="R277"/>
  <c r="R349"/>
  <c r="R379"/>
  <c r="R441"/>
  <c r="R144"/>
  <c r="R351"/>
  <c r="R339"/>
  <c r="R270"/>
  <c r="R229"/>
  <c r="R437"/>
  <c r="R65"/>
  <c r="R174"/>
  <c r="R381"/>
  <c r="R458"/>
  <c r="R201"/>
  <c r="R283"/>
  <c r="R66"/>
  <c r="R186"/>
  <c r="R456"/>
  <c r="R27"/>
  <c r="R282"/>
  <c r="R358"/>
  <c r="R156"/>
  <c r="R134"/>
  <c r="R465"/>
  <c r="R360"/>
  <c r="R199"/>
  <c r="R163"/>
  <c r="R250"/>
  <c r="R233"/>
  <c r="R534"/>
  <c r="R393"/>
  <c r="R278"/>
  <c r="R348"/>
  <c r="R470"/>
  <c r="R97"/>
  <c r="R464"/>
  <c r="R373"/>
  <c r="R473"/>
  <c r="R281"/>
  <c r="R176"/>
  <c r="R164"/>
  <c r="R33"/>
  <c r="R518" s="1"/>
  <c r="R40"/>
  <c r="R41"/>
  <c r="R234" s="1"/>
  <c r="R457"/>
  <c r="R152"/>
  <c r="R251"/>
  <c r="R246"/>
  <c r="R247"/>
  <c r="R408"/>
  <c r="R130"/>
  <c r="R330"/>
  <c r="R472"/>
  <c r="R153"/>
  <c r="R83"/>
  <c r="R468"/>
  <c r="R132"/>
  <c r="R115"/>
  <c r="R469"/>
  <c r="R279"/>
  <c r="R329"/>
  <c r="R155"/>
  <c r="R44"/>
  <c r="R38"/>
  <c r="R419" s="1"/>
  <c r="R185"/>
  <c r="R276"/>
  <c r="R280"/>
  <c r="R372"/>
  <c r="R438"/>
  <c r="R230"/>
  <c r="R410"/>
  <c r="R404"/>
  <c r="R133"/>
  <c r="R42"/>
  <c r="R423" s="1"/>
  <c r="R336"/>
  <c r="R327"/>
  <c r="R268"/>
  <c r="R471"/>
  <c r="R58"/>
  <c r="R526"/>
  <c r="R442"/>
  <c r="R416"/>
  <c r="R267"/>
  <c r="R455"/>
  <c r="R461" s="1"/>
  <c r="R141"/>
  <c r="R162"/>
  <c r="R19"/>
  <c r="R142"/>
  <c r="R175"/>
  <c r="R37"/>
  <c r="R337"/>
  <c r="R252"/>
  <c r="R402"/>
  <c r="R84"/>
  <c r="R403"/>
  <c r="M563" i="2"/>
  <c r="N563"/>
  <c r="H563"/>
  <c r="K563"/>
  <c r="L563"/>
  <c r="J563"/>
  <c r="G563"/>
  <c r="I563"/>
  <c r="O563"/>
  <c r="P563"/>
  <c r="N67"/>
  <c r="M67"/>
  <c r="K67"/>
  <c r="G67"/>
  <c r="L67"/>
  <c r="J67"/>
  <c r="I67"/>
  <c r="H67"/>
  <c r="O67"/>
  <c r="P67"/>
  <c r="P362" i="1"/>
  <c r="P343"/>
  <c r="P603"/>
  <c r="P128"/>
  <c r="P137" s="1"/>
  <c r="P148" s="1"/>
  <c r="P385"/>
  <c r="P607"/>
  <c r="P172"/>
  <c r="P178" s="1"/>
  <c r="P190" s="1"/>
  <c r="J205"/>
  <c r="O596"/>
  <c r="O52"/>
  <c r="O68"/>
  <c r="O70" s="1"/>
  <c r="O78" s="1"/>
  <c r="O11"/>
  <c r="O10"/>
  <c r="O12"/>
  <c r="O55"/>
  <c r="O86"/>
  <c r="O54"/>
  <c r="O9"/>
  <c r="O118"/>
  <c r="O120" s="1"/>
  <c r="O13"/>
  <c r="O87"/>
  <c r="P597"/>
  <c r="P238"/>
  <c r="P59"/>
  <c r="P236"/>
  <c r="P528"/>
  <c r="P67"/>
  <c r="P70" s="1"/>
  <c r="P78" s="1"/>
  <c r="P444"/>
  <c r="P239"/>
  <c r="P56"/>
  <c r="P237"/>
  <c r="P424"/>
  <c r="P536"/>
  <c r="P425"/>
  <c r="P519"/>
  <c r="P117"/>
  <c r="P120" s="1"/>
  <c r="P85"/>
  <c r="P89" s="1"/>
  <c r="P253"/>
  <c r="J452"/>
  <c r="Q578"/>
  <c r="Q356" s="1"/>
  <c r="Q362" s="1"/>
  <c r="Q364" s="1"/>
  <c r="Q516"/>
  <c r="Q396"/>
  <c r="Q188"/>
  <c r="N539"/>
  <c r="M478"/>
  <c r="F289" i="2"/>
  <c r="H309" i="1"/>
  <c r="H311" s="1"/>
  <c r="O436"/>
  <c r="N415"/>
  <c r="N508" i="2"/>
  <c r="M508"/>
  <c r="L508"/>
  <c r="J508"/>
  <c r="G508"/>
  <c r="I508"/>
  <c r="H508"/>
  <c r="K508"/>
  <c r="O508"/>
  <c r="P508"/>
  <c r="K289" i="1"/>
  <c r="L610"/>
  <c r="L448"/>
  <c r="L245"/>
  <c r="N604"/>
  <c r="N140"/>
  <c r="N61"/>
  <c r="N614"/>
  <c r="N521"/>
  <c r="M342" i="2"/>
  <c r="N342"/>
  <c r="K342"/>
  <c r="J342"/>
  <c r="I342"/>
  <c r="H342"/>
  <c r="L342"/>
  <c r="G342"/>
  <c r="O342"/>
  <c r="P342"/>
  <c r="F345"/>
  <c r="P580" i="1"/>
  <c r="P436" s="1"/>
  <c r="P446" s="1"/>
  <c r="Q203"/>
  <c r="Q574"/>
  <c r="Q324" s="1"/>
  <c r="Q332" s="1"/>
  <c r="Q375"/>
  <c r="Q517"/>
  <c r="Q402"/>
  <c r="Q412" s="1"/>
  <c r="Q220"/>
  <c r="Q417"/>
  <c r="Q476"/>
  <c r="N523"/>
  <c r="P579" l="1"/>
  <c r="P415" s="1"/>
  <c r="P427" s="1"/>
  <c r="R587"/>
  <c r="R583"/>
  <c r="R105" s="1"/>
  <c r="Q342" i="2"/>
  <c r="Q618"/>
  <c r="Q508"/>
  <c r="Q453"/>
  <c r="Q398"/>
  <c r="Q67"/>
  <c r="Q563"/>
  <c r="O89" i="1"/>
  <c r="O15"/>
  <c r="O614" s="1"/>
  <c r="R440"/>
  <c r="Q833" i="2"/>
  <c r="Q826"/>
  <c r="Q12"/>
  <c r="Q400"/>
  <c r="Q343"/>
  <c r="Q287"/>
  <c r="Q399"/>
  <c r="R776"/>
  <c r="R744"/>
  <c r="R735"/>
  <c r="R775"/>
  <c r="R676"/>
  <c r="R1050"/>
  <c r="R738"/>
  <c r="R772"/>
  <c r="R736"/>
  <c r="S2"/>
  <c r="R677"/>
  <c r="R773"/>
  <c r="R742"/>
  <c r="R737"/>
  <c r="R733"/>
  <c r="R680"/>
  <c r="R670"/>
  <c r="R732"/>
  <c r="R745"/>
  <c r="R746"/>
  <c r="R1051"/>
  <c r="R777"/>
  <c r="R743"/>
  <c r="R673"/>
  <c r="R1044"/>
  <c r="R618" s="1"/>
  <c r="R734"/>
  <c r="R1052"/>
  <c r="R771"/>
  <c r="R1047"/>
  <c r="R774"/>
  <c r="R741"/>
  <c r="R1152"/>
  <c r="R674"/>
  <c r="R675"/>
  <c r="F174"/>
  <c r="H313" i="1"/>
  <c r="H553"/>
  <c r="P609"/>
  <c r="P228"/>
  <c r="P241" s="1"/>
  <c r="Q603"/>
  <c r="Q128"/>
  <c r="Q137" s="1"/>
  <c r="O446"/>
  <c r="M611"/>
  <c r="M489"/>
  <c r="M298"/>
  <c r="M493"/>
  <c r="M495"/>
  <c r="M496"/>
  <c r="M304"/>
  <c r="M305"/>
  <c r="M301"/>
  <c r="M492"/>
  <c r="M487"/>
  <c r="M296"/>
  <c r="M295"/>
  <c r="M297"/>
  <c r="M300"/>
  <c r="M488"/>
  <c r="M490"/>
  <c r="S360"/>
  <c r="S39"/>
  <c r="S250" s="1"/>
  <c r="S373"/>
  <c r="S42"/>
  <c r="S423" s="1"/>
  <c r="S358"/>
  <c r="S455"/>
  <c r="S163"/>
  <c r="S154"/>
  <c r="S526"/>
  <c r="T2"/>
  <c r="S283"/>
  <c r="S66"/>
  <c r="S173"/>
  <c r="S350"/>
  <c r="S134"/>
  <c r="S267"/>
  <c r="S469"/>
  <c r="S269"/>
  <c r="S199"/>
  <c r="S270"/>
  <c r="S466"/>
  <c r="S129"/>
  <c r="S200"/>
  <c r="S156"/>
  <c r="S65"/>
  <c r="S43"/>
  <c r="S442" s="1"/>
  <c r="S330"/>
  <c r="S456"/>
  <c r="S235"/>
  <c r="S83"/>
  <c r="S278"/>
  <c r="S468"/>
  <c r="S347"/>
  <c r="S175"/>
  <c r="S379"/>
  <c r="S459"/>
  <c r="S143"/>
  <c r="S422"/>
  <c r="S176"/>
  <c r="S153"/>
  <c r="S131"/>
  <c r="S186"/>
  <c r="S457"/>
  <c r="S165"/>
  <c r="S380"/>
  <c r="S183"/>
  <c r="S338"/>
  <c r="S162"/>
  <c r="S280"/>
  <c r="S472"/>
  <c r="S275"/>
  <c r="S58"/>
  <c r="S348"/>
  <c r="S284"/>
  <c r="S266"/>
  <c r="S279"/>
  <c r="S585"/>
  <c r="S359"/>
  <c r="S268"/>
  <c r="S470"/>
  <c r="S394"/>
  <c r="S339"/>
  <c r="S141"/>
  <c r="S467"/>
  <c r="S285"/>
  <c r="S328"/>
  <c r="S381"/>
  <c r="S135"/>
  <c r="S471"/>
  <c r="S23"/>
  <c r="S534"/>
  <c r="S144"/>
  <c r="S372"/>
  <c r="S44"/>
  <c r="S142"/>
  <c r="S152"/>
  <c r="S115"/>
  <c r="S184"/>
  <c r="S458"/>
  <c r="S393"/>
  <c r="S277"/>
  <c r="S329"/>
  <c r="S586"/>
  <c r="S370"/>
  <c r="S130"/>
  <c r="S473"/>
  <c r="S326"/>
  <c r="S164"/>
  <c r="S133"/>
  <c r="S38"/>
  <c r="S232" s="1"/>
  <c r="S465"/>
  <c r="S174"/>
  <c r="S371"/>
  <c r="S282"/>
  <c r="S281"/>
  <c r="S349"/>
  <c r="S57"/>
  <c r="S357"/>
  <c r="S578" s="1"/>
  <c r="S356" s="1"/>
  <c r="S362" s="1"/>
  <c r="S276"/>
  <c r="S40"/>
  <c r="S201"/>
  <c r="S41"/>
  <c r="S421" s="1"/>
  <c r="S155"/>
  <c r="S378"/>
  <c r="S132"/>
  <c r="S27"/>
  <c r="S336"/>
  <c r="S37"/>
  <c r="S231" s="1"/>
  <c r="S369"/>
  <c r="S36"/>
  <c r="S247" s="1"/>
  <c r="S185"/>
  <c r="S337"/>
  <c r="S325"/>
  <c r="S327"/>
  <c r="S474"/>
  <c r="S19"/>
  <c r="S97"/>
  <c r="S464"/>
  <c r="S33"/>
  <c r="S598" s="1"/>
  <c r="S351"/>
  <c r="S246"/>
  <c r="S440"/>
  <c r="S437"/>
  <c r="S419"/>
  <c r="S249"/>
  <c r="AA1104" i="2"/>
  <c r="AB1104" s="1"/>
  <c r="F1106"/>
  <c r="F15"/>
  <c r="N13"/>
  <c r="M13"/>
  <c r="I13"/>
  <c r="Q13"/>
  <c r="G13"/>
  <c r="K13"/>
  <c r="J13"/>
  <c r="H13"/>
  <c r="L13"/>
  <c r="O13"/>
  <c r="P13"/>
  <c r="L80" i="1"/>
  <c r="H102"/>
  <c r="H602"/>
  <c r="P203"/>
  <c r="N387"/>
  <c r="R439"/>
  <c r="R406"/>
  <c r="R232"/>
  <c r="R272"/>
  <c r="R574"/>
  <c r="R324" s="1"/>
  <c r="R332" s="1"/>
  <c r="R188"/>
  <c r="O205"/>
  <c r="K500"/>
  <c r="K502" s="1"/>
  <c r="F293" i="2"/>
  <c r="Q385" i="1"/>
  <c r="Q607"/>
  <c r="Q172"/>
  <c r="Q178" s="1"/>
  <c r="Q190" s="1"/>
  <c r="N146"/>
  <c r="L450"/>
  <c r="K602"/>
  <c r="K102"/>
  <c r="N289" i="2"/>
  <c r="M289"/>
  <c r="L289"/>
  <c r="K289"/>
  <c r="G289"/>
  <c r="I289"/>
  <c r="Q289"/>
  <c r="J289"/>
  <c r="H289"/>
  <c r="P289"/>
  <c r="O289"/>
  <c r="O612" i="1"/>
  <c r="O497"/>
  <c r="O498"/>
  <c r="O306"/>
  <c r="O537"/>
  <c r="O539" s="1"/>
  <c r="F405" i="2" s="1"/>
  <c r="O307" i="1"/>
  <c r="O529"/>
  <c r="O531" s="1"/>
  <c r="O520"/>
  <c r="P608"/>
  <c r="P218"/>
  <c r="P210"/>
  <c r="P221"/>
  <c r="P208"/>
  <c r="P217"/>
  <c r="P219"/>
  <c r="P215"/>
  <c r="P216"/>
  <c r="P211"/>
  <c r="P212"/>
  <c r="P209"/>
  <c r="M288" i="2"/>
  <c r="N288"/>
  <c r="K288"/>
  <c r="L288"/>
  <c r="J288"/>
  <c r="Q288"/>
  <c r="I288"/>
  <c r="G288"/>
  <c r="H288"/>
  <c r="P288"/>
  <c r="R288"/>
  <c r="O288"/>
  <c r="F290"/>
  <c r="P364" i="1"/>
  <c r="P387" s="1"/>
  <c r="P605"/>
  <c r="P151"/>
  <c r="N137"/>
  <c r="N148" s="1"/>
  <c r="J259"/>
  <c r="R476"/>
  <c r="R409"/>
  <c r="R405"/>
  <c r="R231"/>
  <c r="R213"/>
  <c r="R220"/>
  <c r="R421"/>
  <c r="R249"/>
  <c r="R287"/>
  <c r="R46"/>
  <c r="R48" s="1"/>
  <c r="R375"/>
  <c r="L112"/>
  <c r="L255"/>
  <c r="N427"/>
  <c r="J478"/>
  <c r="J261"/>
  <c r="P606"/>
  <c r="P161"/>
  <c r="M14" i="2"/>
  <c r="N14"/>
  <c r="G14"/>
  <c r="L14"/>
  <c r="Q14"/>
  <c r="K14"/>
  <c r="H14"/>
  <c r="J14"/>
  <c r="I14"/>
  <c r="P14"/>
  <c r="R14"/>
  <c r="O14"/>
  <c r="L192" i="1"/>
  <c r="Q597"/>
  <c r="Q444"/>
  <c r="Q580" s="1"/>
  <c r="Q436" s="1"/>
  <c r="Q446" s="1"/>
  <c r="Q236"/>
  <c r="Q424"/>
  <c r="Q237"/>
  <c r="Q238"/>
  <c r="Q56"/>
  <c r="Q528"/>
  <c r="Q425"/>
  <c r="Q536"/>
  <c r="Q253"/>
  <c r="Q239"/>
  <c r="Q67"/>
  <c r="Q117"/>
  <c r="Q85"/>
  <c r="Q519"/>
  <c r="Q59"/>
  <c r="M169"/>
  <c r="M192" s="1"/>
  <c r="M205" s="1"/>
  <c r="M261" s="1"/>
  <c r="R576"/>
  <c r="R335" s="1"/>
  <c r="R341" s="1"/>
  <c r="R535"/>
  <c r="R443"/>
  <c r="R517"/>
  <c r="R407"/>
  <c r="R418"/>
  <c r="R578"/>
  <c r="R356" s="1"/>
  <c r="R362" s="1"/>
  <c r="R577"/>
  <c r="R346" s="1"/>
  <c r="R353" s="1"/>
  <c r="P15"/>
  <c r="Q608"/>
  <c r="Q208"/>
  <c r="Q211"/>
  <c r="Q219"/>
  <c r="Q216"/>
  <c r="Q215"/>
  <c r="Q212"/>
  <c r="Q209"/>
  <c r="Q221"/>
  <c r="Q218"/>
  <c r="Q210"/>
  <c r="Q217"/>
  <c r="P610"/>
  <c r="P448"/>
  <c r="P450" s="1"/>
  <c r="P245"/>
  <c r="P255" s="1"/>
  <c r="N72"/>
  <c r="N600"/>
  <c r="N77"/>
  <c r="N80" s="1"/>
  <c r="N96"/>
  <c r="N110"/>
  <c r="N108"/>
  <c r="N107"/>
  <c r="F18" i="2"/>
  <c r="N109" i="1"/>
  <c r="N95"/>
  <c r="F404" i="2"/>
  <c r="Q606" i="1"/>
  <c r="Q161"/>
  <c r="Q167" s="1"/>
  <c r="Q169" s="1"/>
  <c r="R598"/>
  <c r="M91"/>
  <c r="F69" i="2" s="1"/>
  <c r="M541" i="1"/>
  <c r="M549"/>
  <c r="M302"/>
  <c r="M494"/>
  <c r="M303"/>
  <c r="M299"/>
  <c r="M545"/>
  <c r="F565" i="2" s="1"/>
  <c r="M547" i="1"/>
  <c r="F620" i="2" s="1"/>
  <c r="M543" i="1"/>
  <c r="F510" i="2" s="1"/>
  <c r="M491" i="1"/>
  <c r="Q335"/>
  <c r="P612"/>
  <c r="P307"/>
  <c r="P498"/>
  <c r="P520"/>
  <c r="P306"/>
  <c r="P497"/>
  <c r="P529"/>
  <c r="P531" s="1"/>
  <c r="F350" i="2" s="1"/>
  <c r="P537" i="1"/>
  <c r="P539" s="1"/>
  <c r="H502"/>
  <c r="R248"/>
  <c r="R527"/>
  <c r="R214"/>
  <c r="R116"/>
  <c r="R417"/>
  <c r="R383"/>
  <c r="M112"/>
  <c r="K309"/>
  <c r="K311" s="1"/>
  <c r="Q48"/>
  <c r="S402" l="1"/>
  <c r="S214"/>
  <c r="R197"/>
  <c r="R198"/>
  <c r="R392"/>
  <c r="R396" s="1"/>
  <c r="R196"/>
  <c r="R195"/>
  <c r="R203" s="1"/>
  <c r="Q579"/>
  <c r="Q415" s="1"/>
  <c r="R412"/>
  <c r="S213"/>
  <c r="S383"/>
  <c r="R289" i="2"/>
  <c r="R342"/>
  <c r="R12"/>
  <c r="R343"/>
  <c r="R398"/>
  <c r="R400"/>
  <c r="O521" i="1"/>
  <c r="O523" s="1"/>
  <c r="F294" i="2" s="1"/>
  <c r="S230" i="1"/>
  <c r="S441"/>
  <c r="S576"/>
  <c r="S335" s="1"/>
  <c r="S341" s="1"/>
  <c r="S420"/>
  <c r="R399" i="2"/>
  <c r="O61" i="1"/>
  <c r="S233"/>
  <c r="S251"/>
  <c r="S438"/>
  <c r="R508" i="2"/>
  <c r="R344"/>
  <c r="S742"/>
  <c r="S736"/>
  <c r="S735"/>
  <c r="T2"/>
  <c r="S738"/>
  <c r="S677"/>
  <c r="S776"/>
  <c r="S737"/>
  <c r="S744"/>
  <c r="S772"/>
  <c r="S773"/>
  <c r="S775"/>
  <c r="S675"/>
  <c r="S674"/>
  <c r="S680"/>
  <c r="S774"/>
  <c r="S733"/>
  <c r="S771"/>
  <c r="S745"/>
  <c r="S676"/>
  <c r="S673"/>
  <c r="S741"/>
  <c r="S746"/>
  <c r="S732"/>
  <c r="S1044"/>
  <c r="S287" s="1"/>
  <c r="S670"/>
  <c r="S785" s="1"/>
  <c r="S734"/>
  <c r="S1152"/>
  <c r="S777"/>
  <c r="S743"/>
  <c r="S1051"/>
  <c r="S1052"/>
  <c r="S1047"/>
  <c r="R13"/>
  <c r="R287"/>
  <c r="R671"/>
  <c r="R67"/>
  <c r="R563"/>
  <c r="R453"/>
  <c r="R785"/>
  <c r="R826"/>
  <c r="R833"/>
  <c r="Q427" i="1"/>
  <c r="S604"/>
  <c r="S140"/>
  <c r="S146" s="1"/>
  <c r="F406" i="2"/>
  <c r="F407" s="1"/>
  <c r="S606" i="1"/>
  <c r="S161"/>
  <c r="S167" s="1"/>
  <c r="R608"/>
  <c r="R209"/>
  <c r="R211"/>
  <c r="R215"/>
  <c r="R208"/>
  <c r="R219"/>
  <c r="R217"/>
  <c r="R218"/>
  <c r="R212"/>
  <c r="R210"/>
  <c r="R221"/>
  <c r="R216"/>
  <c r="P167"/>
  <c r="N609"/>
  <c r="N228"/>
  <c r="N448"/>
  <c r="R597"/>
  <c r="R536"/>
  <c r="R236"/>
  <c r="R239"/>
  <c r="R528"/>
  <c r="R67"/>
  <c r="R237"/>
  <c r="R117"/>
  <c r="R56"/>
  <c r="R238"/>
  <c r="R444"/>
  <c r="R580" s="1"/>
  <c r="R436" s="1"/>
  <c r="R446" s="1"/>
  <c r="R424"/>
  <c r="R253"/>
  <c r="R519"/>
  <c r="R425"/>
  <c r="R59"/>
  <c r="R85"/>
  <c r="N192"/>
  <c r="N205" s="1"/>
  <c r="F349" i="2"/>
  <c r="F351" s="1"/>
  <c r="R603" i="1"/>
  <c r="R343"/>
  <c r="R128"/>
  <c r="H94"/>
  <c r="H599"/>
  <c r="S220"/>
  <c r="S443"/>
  <c r="S518"/>
  <c r="M510" i="2"/>
  <c r="N510"/>
  <c r="L510"/>
  <c r="H510"/>
  <c r="K510"/>
  <c r="J510"/>
  <c r="G510"/>
  <c r="Q510"/>
  <c r="I510"/>
  <c r="O510"/>
  <c r="P510"/>
  <c r="R510"/>
  <c r="F455"/>
  <c r="M551" i="1"/>
  <c r="N91"/>
  <c r="F73" i="2" s="1"/>
  <c r="N549" i="1"/>
  <c r="N547"/>
  <c r="F624" i="2" s="1"/>
  <c r="N299" i="1"/>
  <c r="N494"/>
  <c r="N491"/>
  <c r="N302"/>
  <c r="N303"/>
  <c r="N545"/>
  <c r="F569" i="2" s="1"/>
  <c r="N541" i="1"/>
  <c r="N543"/>
  <c r="F514" i="2" s="1"/>
  <c r="M289" i="1"/>
  <c r="Q448"/>
  <c r="Q450" s="1"/>
  <c r="Q610"/>
  <c r="Q245"/>
  <c r="Q255" s="1"/>
  <c r="J289"/>
  <c r="R385"/>
  <c r="R607"/>
  <c r="R172"/>
  <c r="R178" s="1"/>
  <c r="R190" s="1"/>
  <c r="K504"/>
  <c r="K601"/>
  <c r="K101"/>
  <c r="K104" s="1"/>
  <c r="F232" i="2"/>
  <c r="L91" i="1"/>
  <c r="L494"/>
  <c r="L302"/>
  <c r="L549"/>
  <c r="L547"/>
  <c r="L541"/>
  <c r="L299"/>
  <c r="L303"/>
  <c r="L545"/>
  <c r="L543"/>
  <c r="L491"/>
  <c r="O448"/>
  <c r="O450" s="1"/>
  <c r="O452" s="1"/>
  <c r="O610"/>
  <c r="O245"/>
  <c r="N112"/>
  <c r="P452"/>
  <c r="Q223"/>
  <c r="S517"/>
  <c r="S406"/>
  <c r="S84"/>
  <c r="S407"/>
  <c r="S404"/>
  <c r="S29"/>
  <c r="S583"/>
  <c r="S105" s="1"/>
  <c r="S408"/>
  <c r="S248"/>
  <c r="S416"/>
  <c r="S229"/>
  <c r="S587"/>
  <c r="S577"/>
  <c r="S346" s="1"/>
  <c r="S353" s="1"/>
  <c r="S403"/>
  <c r="S439"/>
  <c r="S461"/>
  <c r="M500"/>
  <c r="M502" s="1"/>
  <c r="N620" i="2"/>
  <c r="S620"/>
  <c r="M620"/>
  <c r="K620"/>
  <c r="J620"/>
  <c r="I620"/>
  <c r="L620"/>
  <c r="G620"/>
  <c r="H620"/>
  <c r="Q620"/>
  <c r="P620"/>
  <c r="O620"/>
  <c r="R620"/>
  <c r="P61" i="1"/>
  <c r="P614"/>
  <c r="P521"/>
  <c r="P523" s="1"/>
  <c r="R605"/>
  <c r="R364"/>
  <c r="R151"/>
  <c r="R158" s="1"/>
  <c r="K553"/>
  <c r="K313"/>
  <c r="F177" i="2"/>
  <c r="F229"/>
  <c r="H504" i="1"/>
  <c r="H601"/>
  <c r="H101"/>
  <c r="R596"/>
  <c r="R11"/>
  <c r="R9"/>
  <c r="R86"/>
  <c r="R13"/>
  <c r="R12"/>
  <c r="R52"/>
  <c r="R10"/>
  <c r="R118"/>
  <c r="R68"/>
  <c r="R54"/>
  <c r="R55"/>
  <c r="R87"/>
  <c r="R604"/>
  <c r="R140"/>
  <c r="R146" s="1"/>
  <c r="L205"/>
  <c r="L257"/>
  <c r="P158"/>
  <c r="T284"/>
  <c r="T199"/>
  <c r="T467"/>
  <c r="T351"/>
  <c r="T33"/>
  <c r="T598" s="1"/>
  <c r="T155"/>
  <c r="T470"/>
  <c r="T379"/>
  <c r="T43"/>
  <c r="T373"/>
  <c r="T330"/>
  <c r="T130"/>
  <c r="T41"/>
  <c r="T234" s="1"/>
  <c r="T474"/>
  <c r="T360"/>
  <c r="T144"/>
  <c r="T156"/>
  <c r="T358"/>
  <c r="T381"/>
  <c r="T371"/>
  <c r="T276"/>
  <c r="T135"/>
  <c r="T97"/>
  <c r="T283"/>
  <c r="T37"/>
  <c r="T231" s="1"/>
  <c r="T455"/>
  <c r="T115"/>
  <c r="T347"/>
  <c r="T19"/>
  <c r="T357"/>
  <c r="T279"/>
  <c r="T326"/>
  <c r="T251"/>
  <c r="T408"/>
  <c r="T133"/>
  <c r="T83"/>
  <c r="T336"/>
  <c r="T472"/>
  <c r="T459"/>
  <c r="T339"/>
  <c r="T464"/>
  <c r="T327"/>
  <c r="T185"/>
  <c r="T378"/>
  <c r="T349"/>
  <c r="T176"/>
  <c r="T586"/>
  <c r="T38"/>
  <c r="T232" s="1"/>
  <c r="T143"/>
  <c r="T129"/>
  <c r="T214"/>
  <c r="T164"/>
  <c r="T277"/>
  <c r="T471"/>
  <c r="T369"/>
  <c r="T278"/>
  <c r="T201"/>
  <c r="T338"/>
  <c r="T527"/>
  <c r="T518"/>
  <c r="T585"/>
  <c r="T393"/>
  <c r="T173"/>
  <c r="T526"/>
  <c r="T469"/>
  <c r="T40"/>
  <c r="T132"/>
  <c r="T402"/>
  <c r="T233"/>
  <c r="T407"/>
  <c r="T249"/>
  <c r="T421"/>
  <c r="T404"/>
  <c r="T165"/>
  <c r="T152"/>
  <c r="T23"/>
  <c r="T350"/>
  <c r="T27"/>
  <c r="T153"/>
  <c r="T285"/>
  <c r="T36"/>
  <c r="T230" s="1"/>
  <c r="T282"/>
  <c r="T174"/>
  <c r="T184"/>
  <c r="T348"/>
  <c r="T457"/>
  <c r="T163"/>
  <c r="T281"/>
  <c r="T270"/>
  <c r="T359"/>
  <c r="T183"/>
  <c r="T458"/>
  <c r="T466"/>
  <c r="T175"/>
  <c r="T465"/>
  <c r="T84"/>
  <c r="T473"/>
  <c r="T65"/>
  <c r="T372"/>
  <c r="T154"/>
  <c r="T394"/>
  <c r="T220"/>
  <c r="T142"/>
  <c r="T403"/>
  <c r="T456"/>
  <c r="T406"/>
  <c r="T437"/>
  <c r="T229"/>
  <c r="T116"/>
  <c r="T266"/>
  <c r="T134"/>
  <c r="T39"/>
  <c r="T441" s="1"/>
  <c r="T268"/>
  <c r="T329"/>
  <c r="T57"/>
  <c r="T275"/>
  <c r="T442"/>
  <c r="T58"/>
  <c r="T200"/>
  <c r="T131"/>
  <c r="T252"/>
  <c r="T44"/>
  <c r="T328"/>
  <c r="T267"/>
  <c r="T337"/>
  <c r="T370"/>
  <c r="T66"/>
  <c r="T468"/>
  <c r="T380"/>
  <c r="T269"/>
  <c r="T42"/>
  <c r="T423" s="1"/>
  <c r="U2"/>
  <c r="T162"/>
  <c r="T213"/>
  <c r="T325"/>
  <c r="T534"/>
  <c r="T235"/>
  <c r="T141"/>
  <c r="T280"/>
  <c r="T186"/>
  <c r="T422"/>
  <c r="T517"/>
  <c r="T420"/>
  <c r="T535"/>
  <c r="T443"/>
  <c r="T419"/>
  <c r="T409"/>
  <c r="T410"/>
  <c r="T416"/>
  <c r="S535"/>
  <c r="S410"/>
  <c r="S527"/>
  <c r="S234"/>
  <c r="S574"/>
  <c r="S324" s="1"/>
  <c r="S332" s="1"/>
  <c r="S375"/>
  <c r="S405"/>
  <c r="S418"/>
  <c r="S252"/>
  <c r="S188"/>
  <c r="Q341"/>
  <c r="Q596"/>
  <c r="Q68"/>
  <c r="Q70" s="1"/>
  <c r="Q78" s="1"/>
  <c r="Q9"/>
  <c r="Q54"/>
  <c r="Q55"/>
  <c r="Q11"/>
  <c r="Q87"/>
  <c r="Q52"/>
  <c r="Q13"/>
  <c r="Q118"/>
  <c r="Q120" s="1"/>
  <c r="Q86"/>
  <c r="Q89" s="1"/>
  <c r="Q12"/>
  <c r="Q10"/>
  <c r="M565" i="2"/>
  <c r="N565"/>
  <c r="S565"/>
  <c r="J565"/>
  <c r="G565"/>
  <c r="H565"/>
  <c r="K565"/>
  <c r="L565"/>
  <c r="Q565"/>
  <c r="I565"/>
  <c r="O565"/>
  <c r="P565"/>
  <c r="R565"/>
  <c r="M69"/>
  <c r="S69"/>
  <c r="N69"/>
  <c r="G69"/>
  <c r="K69"/>
  <c r="Q69"/>
  <c r="I69"/>
  <c r="L69"/>
  <c r="J69"/>
  <c r="H69"/>
  <c r="P69"/>
  <c r="R69"/>
  <c r="O69"/>
  <c r="R606" i="1"/>
  <c r="R161"/>
  <c r="R167" s="1"/>
  <c r="J611"/>
  <c r="J487"/>
  <c r="J296"/>
  <c r="J295"/>
  <c r="J300"/>
  <c r="J496"/>
  <c r="J495"/>
  <c r="J490"/>
  <c r="J488"/>
  <c r="J301"/>
  <c r="J297"/>
  <c r="J492"/>
  <c r="J298"/>
  <c r="J489"/>
  <c r="J493"/>
  <c r="J304"/>
  <c r="J305"/>
  <c r="O72"/>
  <c r="O600"/>
  <c r="O77"/>
  <c r="O80" s="1"/>
  <c r="O108"/>
  <c r="F19" i="2"/>
  <c r="O96" i="1"/>
  <c r="O109"/>
  <c r="O110"/>
  <c r="O107"/>
  <c r="O112" s="1"/>
  <c r="O95"/>
  <c r="L452"/>
  <c r="F1107" i="2"/>
  <c r="K1106"/>
  <c r="K1107" s="1"/>
  <c r="J1106"/>
  <c r="J1107" s="1"/>
  <c r="O1106"/>
  <c r="O1107" s="1"/>
  <c r="G1106"/>
  <c r="N1106"/>
  <c r="N1107" s="1"/>
  <c r="S1106"/>
  <c r="S1107" s="1"/>
  <c r="M1106"/>
  <c r="M1107" s="1"/>
  <c r="Q1106"/>
  <c r="Q1107" s="1"/>
  <c r="R1106"/>
  <c r="R1107" s="1"/>
  <c r="P1106"/>
  <c r="P1107" s="1"/>
  <c r="P1108" s="1"/>
  <c r="H1106"/>
  <c r="H1107" s="1"/>
  <c r="I1106"/>
  <c r="I1107" s="1"/>
  <c r="L1106"/>
  <c r="L1107" s="1"/>
  <c r="T1106"/>
  <c r="T1107" s="1"/>
  <c r="T1108" s="1"/>
  <c r="F1118"/>
  <c r="P223" i="1"/>
  <c r="S409"/>
  <c r="S116"/>
  <c r="S476"/>
  <c r="S46"/>
  <c r="S417"/>
  <c r="S272"/>
  <c r="S287"/>
  <c r="M309"/>
  <c r="M311" s="1"/>
  <c r="P257"/>
  <c r="S398" i="2" l="1"/>
  <c r="T439" i="1"/>
  <c r="T405"/>
  <c r="S12" i="2"/>
  <c r="T248" i="1"/>
  <c r="R15"/>
  <c r="S412"/>
  <c r="S288" i="2"/>
  <c r="S344"/>
  <c r="S343"/>
  <c r="T418" i="1"/>
  <c r="S453" i="2"/>
  <c r="S563"/>
  <c r="S400"/>
  <c r="S510"/>
  <c r="R579" i="1"/>
  <c r="R415" s="1"/>
  <c r="R427" s="1"/>
  <c r="S508" i="2"/>
  <c r="S67"/>
  <c r="L1108"/>
  <c r="S671"/>
  <c r="S14"/>
  <c r="S13"/>
  <c r="T773"/>
  <c r="T737"/>
  <c r="T676"/>
  <c r="T677"/>
  <c r="T732"/>
  <c r="T772"/>
  <c r="T775"/>
  <c r="T738"/>
  <c r="U2"/>
  <c r="T736"/>
  <c r="T742"/>
  <c r="T735"/>
  <c r="T776"/>
  <c r="T680"/>
  <c r="T733"/>
  <c r="T745"/>
  <c r="T746"/>
  <c r="T670"/>
  <c r="T785" s="1"/>
  <c r="T744"/>
  <c r="T771"/>
  <c r="T741"/>
  <c r="T675"/>
  <c r="T743"/>
  <c r="T1152"/>
  <c r="T673"/>
  <c r="T1051"/>
  <c r="T734"/>
  <c r="T1044"/>
  <c r="T69" s="1"/>
  <c r="T777"/>
  <c r="T774"/>
  <c r="T674"/>
  <c r="T1052"/>
  <c r="T1047"/>
  <c r="T399"/>
  <c r="S833"/>
  <c r="S826"/>
  <c r="S289"/>
  <c r="S342"/>
  <c r="S618"/>
  <c r="S399"/>
  <c r="S1108"/>
  <c r="S340" s="1"/>
  <c r="M313" i="1"/>
  <c r="M553"/>
  <c r="F179" i="2"/>
  <c r="R609" i="1"/>
  <c r="R228"/>
  <c r="R241" s="1"/>
  <c r="S608"/>
  <c r="S216"/>
  <c r="S211"/>
  <c r="S218"/>
  <c r="S219"/>
  <c r="S210"/>
  <c r="S209"/>
  <c r="S212"/>
  <c r="S215"/>
  <c r="S208"/>
  <c r="S217"/>
  <c r="S221"/>
  <c r="J500"/>
  <c r="S343"/>
  <c r="S603"/>
  <c r="S128"/>
  <c r="S137" s="1"/>
  <c r="S148" s="1"/>
  <c r="L259"/>
  <c r="K599"/>
  <c r="K94"/>
  <c r="K98" s="1"/>
  <c r="K122" s="1"/>
  <c r="F122" i="2" s="1"/>
  <c r="P478" i="1"/>
  <c r="F509" i="2"/>
  <c r="F454"/>
  <c r="L551" i="1"/>
  <c r="Q609"/>
  <c r="Q228"/>
  <c r="Q241" s="1"/>
  <c r="Q257" s="1"/>
  <c r="Q259" s="1"/>
  <c r="T46"/>
  <c r="T438"/>
  <c r="T578"/>
  <c r="T356" s="1"/>
  <c r="T362" s="1"/>
  <c r="T461"/>
  <c r="R89"/>
  <c r="P616" i="2"/>
  <c r="P561"/>
  <c r="P19"/>
  <c r="P340"/>
  <c r="P285"/>
  <c r="P451"/>
  <c r="P396"/>
  <c r="P65"/>
  <c r="P120"/>
  <c r="P175"/>
  <c r="P10"/>
  <c r="P349"/>
  <c r="P506"/>
  <c r="P230"/>
  <c r="P405"/>
  <c r="P294"/>
  <c r="G1107"/>
  <c r="R1108"/>
  <c r="K1108"/>
  <c r="Q1108"/>
  <c r="G1108"/>
  <c r="M1108"/>
  <c r="N1108"/>
  <c r="I1108"/>
  <c r="J1108"/>
  <c r="O1108"/>
  <c r="H1108"/>
  <c r="S607" i="1"/>
  <c r="S385"/>
  <c r="S172"/>
  <c r="S178" s="1"/>
  <c r="S190" s="1"/>
  <c r="R612"/>
  <c r="R497"/>
  <c r="R306"/>
  <c r="R529"/>
  <c r="R531" s="1"/>
  <c r="F357" i="2" s="1"/>
  <c r="R498" i="1"/>
  <c r="R537"/>
  <c r="R539" s="1"/>
  <c r="F413" i="2" s="1"/>
  <c r="R520" i="1"/>
  <c r="R307"/>
  <c r="R614"/>
  <c r="R61"/>
  <c r="R521"/>
  <c r="H104"/>
  <c r="N177" i="2"/>
  <c r="M177"/>
  <c r="S177"/>
  <c r="K177"/>
  <c r="I177"/>
  <c r="L177"/>
  <c r="Q177"/>
  <c r="J177"/>
  <c r="T177"/>
  <c r="G177"/>
  <c r="H177"/>
  <c r="O177"/>
  <c r="P177"/>
  <c r="R177"/>
  <c r="P600" i="1"/>
  <c r="P72"/>
  <c r="P77"/>
  <c r="P80" s="1"/>
  <c r="P108"/>
  <c r="P95"/>
  <c r="F20" i="2"/>
  <c r="F21" s="1"/>
  <c r="P96" i="1"/>
  <c r="P110"/>
  <c r="P107"/>
  <c r="P109"/>
  <c r="S196"/>
  <c r="S197"/>
  <c r="S198"/>
  <c r="S392"/>
  <c r="S396" s="1"/>
  <c r="S195"/>
  <c r="O255"/>
  <c r="O257" s="1"/>
  <c r="N232" i="2"/>
  <c r="M232"/>
  <c r="S232"/>
  <c r="J232"/>
  <c r="Q232"/>
  <c r="K232"/>
  <c r="I232"/>
  <c r="L232"/>
  <c r="T232"/>
  <c r="G232"/>
  <c r="H232"/>
  <c r="O232"/>
  <c r="P232"/>
  <c r="R232"/>
  <c r="M602" i="1"/>
  <c r="M102"/>
  <c r="H98"/>
  <c r="N241"/>
  <c r="T272"/>
  <c r="T246"/>
  <c r="T375"/>
  <c r="T417"/>
  <c r="R523"/>
  <c r="R70"/>
  <c r="R78" s="1"/>
  <c r="L451" i="2"/>
  <c r="L396"/>
  <c r="L340"/>
  <c r="L10"/>
  <c r="L561"/>
  <c r="L19"/>
  <c r="L230"/>
  <c r="L285"/>
  <c r="L616"/>
  <c r="L65"/>
  <c r="L349"/>
  <c r="L294"/>
  <c r="L506"/>
  <c r="L120"/>
  <c r="L405"/>
  <c r="L175"/>
  <c r="J309" i="1"/>
  <c r="Q604"/>
  <c r="Q140"/>
  <c r="Q343"/>
  <c r="P169"/>
  <c r="P192" s="1"/>
  <c r="L261"/>
  <c r="S605"/>
  <c r="S364"/>
  <c r="S151"/>
  <c r="S158" s="1"/>
  <c r="S169" s="1"/>
  <c r="F68" i="2"/>
  <c r="J602" i="1"/>
  <c r="J102"/>
  <c r="R610"/>
  <c r="R448"/>
  <c r="R450" s="1"/>
  <c r="R245"/>
  <c r="R255" s="1"/>
  <c r="Q15"/>
  <c r="T574"/>
  <c r="T324" s="1"/>
  <c r="T332" s="1"/>
  <c r="T188"/>
  <c r="T250"/>
  <c r="T412"/>
  <c r="T383"/>
  <c r="T476"/>
  <c r="T576"/>
  <c r="T335" s="1"/>
  <c r="T577"/>
  <c r="T346" s="1"/>
  <c r="T353" s="1"/>
  <c r="T440"/>
  <c r="R169"/>
  <c r="R387"/>
  <c r="T10" i="2"/>
  <c r="T396"/>
  <c r="T349"/>
  <c r="T285"/>
  <c r="T19"/>
  <c r="T616"/>
  <c r="T340"/>
  <c r="T451"/>
  <c r="T506"/>
  <c r="T175"/>
  <c r="T65"/>
  <c r="T405"/>
  <c r="T294"/>
  <c r="T230"/>
  <c r="T561"/>
  <c r="T120"/>
  <c r="S597" i="1"/>
  <c r="S536"/>
  <c r="S239"/>
  <c r="S424"/>
  <c r="S425"/>
  <c r="S237"/>
  <c r="S444"/>
  <c r="S580" s="1"/>
  <c r="S436" s="1"/>
  <c r="S446" s="1"/>
  <c r="S236"/>
  <c r="S67"/>
  <c r="S528"/>
  <c r="S85"/>
  <c r="S117"/>
  <c r="S59"/>
  <c r="S238"/>
  <c r="S519"/>
  <c r="S253"/>
  <c r="S56"/>
  <c r="F1120" i="2"/>
  <c r="AA1118"/>
  <c r="AB1118" s="1"/>
  <c r="S10"/>
  <c r="S349"/>
  <c r="S230"/>
  <c r="S506"/>
  <c r="S405"/>
  <c r="S65"/>
  <c r="S561"/>
  <c r="S285"/>
  <c r="S294"/>
  <c r="S19"/>
  <c r="S396"/>
  <c r="L478" i="1"/>
  <c r="O91"/>
  <c r="F74" i="2" s="1"/>
  <c r="L74" s="1"/>
  <c r="O299" i="1"/>
  <c r="O547"/>
  <c r="F625" i="2" s="1"/>
  <c r="T625" s="1"/>
  <c r="O541" i="1"/>
  <c r="O491"/>
  <c r="O543"/>
  <c r="F515" i="2" s="1"/>
  <c r="O302" i="1"/>
  <c r="O549"/>
  <c r="O545"/>
  <c r="F570" i="2" s="1"/>
  <c r="L570" s="1"/>
  <c r="O494" i="1"/>
  <c r="O303"/>
  <c r="Q612"/>
  <c r="Q306"/>
  <c r="Q537"/>
  <c r="Q539" s="1"/>
  <c r="F410" i="2" s="1"/>
  <c r="Q307" i="1"/>
  <c r="Q498"/>
  <c r="Q520"/>
  <c r="Q497"/>
  <c r="Q529"/>
  <c r="Q531" s="1"/>
  <c r="U183"/>
  <c r="U474"/>
  <c r="U200"/>
  <c r="U360"/>
  <c r="U337"/>
  <c r="U378"/>
  <c r="U130"/>
  <c r="U133"/>
  <c r="U422"/>
  <c r="U347"/>
  <c r="U330"/>
  <c r="U329"/>
  <c r="U472"/>
  <c r="U349"/>
  <c r="U201"/>
  <c r="U380"/>
  <c r="U393"/>
  <c r="U328"/>
  <c r="U97"/>
  <c r="U19"/>
  <c r="U348"/>
  <c r="U83"/>
  <c r="U141"/>
  <c r="U134"/>
  <c r="U33"/>
  <c r="U406" s="1"/>
  <c r="U65"/>
  <c r="U186"/>
  <c r="U471"/>
  <c r="U408"/>
  <c r="U175"/>
  <c r="U36"/>
  <c r="U416" s="1"/>
  <c r="U281"/>
  <c r="U464"/>
  <c r="U285"/>
  <c r="U468"/>
  <c r="U283"/>
  <c r="U269"/>
  <c r="U327"/>
  <c r="U38"/>
  <c r="U440" s="1"/>
  <c r="U457"/>
  <c r="U515"/>
  <c r="U66"/>
  <c r="U339"/>
  <c r="U358"/>
  <c r="U455"/>
  <c r="U526"/>
  <c r="U373"/>
  <c r="U277"/>
  <c r="U276"/>
  <c r="U586"/>
  <c r="U142"/>
  <c r="U165"/>
  <c r="U350"/>
  <c r="U152"/>
  <c r="U37"/>
  <c r="U583" s="1"/>
  <c r="U467"/>
  <c r="U185"/>
  <c r="U143"/>
  <c r="U270"/>
  <c r="U39"/>
  <c r="U441" s="1"/>
  <c r="U246"/>
  <c r="U403"/>
  <c r="U43"/>
  <c r="U233" s="1"/>
  <c r="U162"/>
  <c r="U153"/>
  <c r="U156"/>
  <c r="U23"/>
  <c r="V2"/>
  <c r="U534"/>
  <c r="U394"/>
  <c r="U465"/>
  <c r="U41"/>
  <c r="U421" s="1"/>
  <c r="U184"/>
  <c r="U268"/>
  <c r="U466"/>
  <c r="U336"/>
  <c r="U372"/>
  <c r="U516"/>
  <c r="U379"/>
  <c r="U154"/>
  <c r="U27"/>
  <c r="U370"/>
  <c r="U144"/>
  <c r="U173"/>
  <c r="U163"/>
  <c r="U359"/>
  <c r="U280"/>
  <c r="U131"/>
  <c r="U371"/>
  <c r="U381"/>
  <c r="U249"/>
  <c r="U44"/>
  <c r="U279"/>
  <c r="U115"/>
  <c r="U514"/>
  <c r="U232"/>
  <c r="U405"/>
  <c r="U58"/>
  <c r="U266"/>
  <c r="U325"/>
  <c r="U278"/>
  <c r="U57"/>
  <c r="U351"/>
  <c r="U585"/>
  <c r="U473"/>
  <c r="U135"/>
  <c r="U174"/>
  <c r="U267"/>
  <c r="U369"/>
  <c r="U275"/>
  <c r="U338"/>
  <c r="U459"/>
  <c r="U456"/>
  <c r="U132"/>
  <c r="U42"/>
  <c r="U423" s="1"/>
  <c r="U357"/>
  <c r="U282"/>
  <c r="U458"/>
  <c r="U129"/>
  <c r="U199"/>
  <c r="U176"/>
  <c r="U40"/>
  <c r="U470"/>
  <c r="U235"/>
  <c r="U469"/>
  <c r="U105"/>
  <c r="U326"/>
  <c r="U284"/>
  <c r="U155"/>
  <c r="U164"/>
  <c r="U527"/>
  <c r="U248"/>
  <c r="U409"/>
  <c r="U407"/>
  <c r="U517"/>
  <c r="U231"/>
  <c r="U420"/>
  <c r="U214"/>
  <c r="F295" i="2"/>
  <c r="F296" s="1"/>
  <c r="M601" i="1"/>
  <c r="M504"/>
  <c r="M101"/>
  <c r="M104" s="1"/>
  <c r="F234" i="2"/>
  <c r="S613" i="1"/>
  <c r="S48"/>
  <c r="S514"/>
  <c r="S516"/>
  <c r="S515"/>
  <c r="O478"/>
  <c r="F564" i="2"/>
  <c r="F619"/>
  <c r="F459"/>
  <c r="N551" i="1"/>
  <c r="M455" i="2"/>
  <c r="S455"/>
  <c r="N455"/>
  <c r="G455"/>
  <c r="I455"/>
  <c r="Q455"/>
  <c r="T455"/>
  <c r="K455"/>
  <c r="J455"/>
  <c r="L455"/>
  <c r="H455"/>
  <c r="O455"/>
  <c r="R455"/>
  <c r="P455"/>
  <c r="R137" i="1"/>
  <c r="R148" s="1"/>
  <c r="R192" s="1"/>
  <c r="R205" s="1"/>
  <c r="N450"/>
  <c r="P259"/>
  <c r="T287"/>
  <c r="T587"/>
  <c r="T247"/>
  <c r="T29"/>
  <c r="T583"/>
  <c r="T105" s="1"/>
  <c r="S579"/>
  <c r="S415" s="1"/>
  <c r="S427" s="1"/>
  <c r="R120"/>
  <c r="R223"/>
  <c r="T67" i="2" l="1"/>
  <c r="U576" i="1"/>
  <c r="U335" s="1"/>
  <c r="U341" s="1"/>
  <c r="U252"/>
  <c r="U535"/>
  <c r="T618" i="2"/>
  <c r="T288"/>
  <c r="T14"/>
  <c r="T342"/>
  <c r="T289"/>
  <c r="T287"/>
  <c r="T563"/>
  <c r="T398"/>
  <c r="T453"/>
  <c r="T343"/>
  <c r="U443" i="1"/>
  <c r="U419"/>
  <c r="U287"/>
  <c r="U439"/>
  <c r="U442"/>
  <c r="R257"/>
  <c r="R259" s="1"/>
  <c r="U251"/>
  <c r="U404"/>
  <c r="U402"/>
  <c r="U84"/>
  <c r="U418"/>
  <c r="T400" i="2"/>
  <c r="T671"/>
  <c r="T833"/>
  <c r="T826"/>
  <c r="T13"/>
  <c r="T344"/>
  <c r="T508"/>
  <c r="T12"/>
  <c r="T620"/>
  <c r="T510"/>
  <c r="U772"/>
  <c r="U776"/>
  <c r="V2"/>
  <c r="U773"/>
  <c r="U742"/>
  <c r="U735"/>
  <c r="U677"/>
  <c r="U746"/>
  <c r="U744"/>
  <c r="U737"/>
  <c r="U775"/>
  <c r="U736"/>
  <c r="U738"/>
  <c r="U676"/>
  <c r="U670"/>
  <c r="U732"/>
  <c r="U733"/>
  <c r="U745"/>
  <c r="U680"/>
  <c r="U1051"/>
  <c r="U777"/>
  <c r="U743"/>
  <c r="U771"/>
  <c r="U1044"/>
  <c r="U671" s="1"/>
  <c r="U774"/>
  <c r="U675"/>
  <c r="U674"/>
  <c r="U1052"/>
  <c r="U673"/>
  <c r="U1152"/>
  <c r="U1047"/>
  <c r="U734"/>
  <c r="U741"/>
  <c r="U14"/>
  <c r="U1106"/>
  <c r="T565"/>
  <c r="S625"/>
  <c r="S175"/>
  <c r="S120"/>
  <c r="S451"/>
  <c r="S616"/>
  <c r="P570"/>
  <c r="S570"/>
  <c r="U604" i="1"/>
  <c r="U140"/>
  <c r="U146" s="1"/>
  <c r="F460" i="2"/>
  <c r="H460" s="1"/>
  <c r="O551" i="1"/>
  <c r="T364"/>
  <c r="T605"/>
  <c r="T151"/>
  <c r="T158" s="1"/>
  <c r="P205"/>
  <c r="F28" i="23"/>
  <c r="U46" i="1"/>
  <c r="U188"/>
  <c r="R452"/>
  <c r="F28" i="14"/>
  <c r="H616" i="2"/>
  <c r="H175"/>
  <c r="H515"/>
  <c r="H506"/>
  <c r="H340"/>
  <c r="H65"/>
  <c r="H451"/>
  <c r="H19"/>
  <c r="H349"/>
  <c r="H625"/>
  <c r="H10"/>
  <c r="H285"/>
  <c r="H74"/>
  <c r="H120"/>
  <c r="H405"/>
  <c r="H294"/>
  <c r="H561"/>
  <c r="H570"/>
  <c r="H230"/>
  <c r="H396"/>
  <c r="T597" i="1"/>
  <c r="T425"/>
  <c r="T85"/>
  <c r="T117"/>
  <c r="T519"/>
  <c r="T444"/>
  <c r="T580" s="1"/>
  <c r="T436" s="1"/>
  <c r="T446" s="1"/>
  <c r="T528"/>
  <c r="T237"/>
  <c r="T536"/>
  <c r="T236"/>
  <c r="T238"/>
  <c r="T253"/>
  <c r="T67"/>
  <c r="T59"/>
  <c r="T239"/>
  <c r="T56"/>
  <c r="T424"/>
  <c r="T579" s="1"/>
  <c r="T415" s="1"/>
  <c r="T427" s="1"/>
  <c r="P611"/>
  <c r="P305"/>
  <c r="P488"/>
  <c r="P300"/>
  <c r="P495"/>
  <c r="P490"/>
  <c r="P487"/>
  <c r="P297"/>
  <c r="P493"/>
  <c r="P496"/>
  <c r="P298"/>
  <c r="P296"/>
  <c r="P489"/>
  <c r="P304"/>
  <c r="P301"/>
  <c r="P492"/>
  <c r="P295"/>
  <c r="L357" i="2"/>
  <c r="M357"/>
  <c r="I357"/>
  <c r="J357"/>
  <c r="H357"/>
  <c r="T357"/>
  <c r="U357"/>
  <c r="N357"/>
  <c r="P357"/>
  <c r="R357"/>
  <c r="S357"/>
  <c r="V357"/>
  <c r="O357"/>
  <c r="Q357"/>
  <c r="G357"/>
  <c r="K357"/>
  <c r="H413"/>
  <c r="M413"/>
  <c r="L413"/>
  <c r="N413"/>
  <c r="Q413"/>
  <c r="S413"/>
  <c r="T413"/>
  <c r="U413"/>
  <c r="V413"/>
  <c r="O413"/>
  <c r="P413"/>
  <c r="R413"/>
  <c r="J413"/>
  <c r="I413"/>
  <c r="K413"/>
  <c r="G413"/>
  <c r="M599" i="1"/>
  <c r="M94"/>
  <c r="M98" s="1"/>
  <c r="M122" s="1"/>
  <c r="F124" i="2" s="1"/>
  <c r="S609" i="1"/>
  <c r="S228"/>
  <c r="S241" s="1"/>
  <c r="T613"/>
  <c r="T48"/>
  <c r="T515"/>
  <c r="T514"/>
  <c r="T516"/>
  <c r="M619" i="2"/>
  <c r="N619"/>
  <c r="S619"/>
  <c r="T619"/>
  <c r="H619"/>
  <c r="J619"/>
  <c r="I619"/>
  <c r="G619"/>
  <c r="K619"/>
  <c r="L619"/>
  <c r="Q619"/>
  <c r="P619"/>
  <c r="R619"/>
  <c r="O619"/>
  <c r="F621"/>
  <c r="S596" i="1"/>
  <c r="S68"/>
  <c r="S86"/>
  <c r="S55"/>
  <c r="S10"/>
  <c r="S118"/>
  <c r="S120" s="1"/>
  <c r="S13"/>
  <c r="S54"/>
  <c r="S87"/>
  <c r="S12"/>
  <c r="S9"/>
  <c r="S11"/>
  <c r="S52"/>
  <c r="Q61"/>
  <c r="Q614"/>
  <c r="Q521"/>
  <c r="Q523" s="1"/>
  <c r="Q146"/>
  <c r="Q148" s="1"/>
  <c r="P91"/>
  <c r="F75" i="2" s="1"/>
  <c r="P303" i="1"/>
  <c r="P547"/>
  <c r="P549"/>
  <c r="P491"/>
  <c r="P299"/>
  <c r="P545"/>
  <c r="P541"/>
  <c r="P543"/>
  <c r="F516" i="2" s="1"/>
  <c r="P302" i="1"/>
  <c r="P494"/>
  <c r="F28" i="15"/>
  <c r="F28" i="21"/>
  <c r="R600" i="1"/>
  <c r="R77"/>
  <c r="R80" s="1"/>
  <c r="R72"/>
  <c r="R109"/>
  <c r="R108"/>
  <c r="R110"/>
  <c r="R95"/>
  <c r="R107"/>
  <c r="F27" i="2"/>
  <c r="R96" i="1"/>
  <c r="I19" i="2"/>
  <c r="I506"/>
  <c r="I396"/>
  <c r="I561"/>
  <c r="I294"/>
  <c r="I616"/>
  <c r="I625"/>
  <c r="I515"/>
  <c r="I175"/>
  <c r="I10"/>
  <c r="I570"/>
  <c r="I451"/>
  <c r="I74"/>
  <c r="I120"/>
  <c r="I405"/>
  <c r="I65"/>
  <c r="I230"/>
  <c r="I285"/>
  <c r="I460"/>
  <c r="I349"/>
  <c r="I340"/>
  <c r="Q616"/>
  <c r="Q396"/>
  <c r="Q120"/>
  <c r="Q405"/>
  <c r="Q65"/>
  <c r="Q19"/>
  <c r="Q175"/>
  <c r="Q349"/>
  <c r="Q506"/>
  <c r="Q561"/>
  <c r="Q285"/>
  <c r="Q74"/>
  <c r="Q10"/>
  <c r="Q340"/>
  <c r="Q625"/>
  <c r="Q570"/>
  <c r="Q515"/>
  <c r="Q460"/>
  <c r="Q294"/>
  <c r="Q451"/>
  <c r="Q230"/>
  <c r="M509"/>
  <c r="S509"/>
  <c r="N509"/>
  <c r="G509"/>
  <c r="Q509"/>
  <c r="H509"/>
  <c r="J509"/>
  <c r="L509"/>
  <c r="I509"/>
  <c r="K509"/>
  <c r="T509"/>
  <c r="O509"/>
  <c r="P509"/>
  <c r="R509"/>
  <c r="F511"/>
  <c r="J502" i="1"/>
  <c r="S89"/>
  <c r="R261"/>
  <c r="U116"/>
  <c r="U518"/>
  <c r="U410"/>
  <c r="U220"/>
  <c r="U272"/>
  <c r="U213"/>
  <c r="U250"/>
  <c r="U437"/>
  <c r="U247"/>
  <c r="S74" i="2"/>
  <c r="S203" i="1"/>
  <c r="P74" i="2"/>
  <c r="S192" i="1"/>
  <c r="S448"/>
  <c r="S610"/>
  <c r="S245"/>
  <c r="S255" s="1"/>
  <c r="F302" i="2"/>
  <c r="N257" i="1"/>
  <c r="F28" i="19"/>
  <c r="N19" i="2"/>
  <c r="N10"/>
  <c r="N515"/>
  <c r="N405"/>
  <c r="N294"/>
  <c r="N285"/>
  <c r="N561"/>
  <c r="N616"/>
  <c r="N120"/>
  <c r="N506"/>
  <c r="N570"/>
  <c r="N349"/>
  <c r="N340"/>
  <c r="N396"/>
  <c r="N65"/>
  <c r="N74"/>
  <c r="N230"/>
  <c r="N175"/>
  <c r="N625"/>
  <c r="N460"/>
  <c r="N451"/>
  <c r="L410"/>
  <c r="M410"/>
  <c r="P410"/>
  <c r="O410"/>
  <c r="S410"/>
  <c r="U410"/>
  <c r="V410"/>
  <c r="Q410"/>
  <c r="N410"/>
  <c r="R410"/>
  <c r="T410"/>
  <c r="I410"/>
  <c r="J410"/>
  <c r="H410"/>
  <c r="G410"/>
  <c r="K410"/>
  <c r="L611" i="1"/>
  <c r="L496"/>
  <c r="L490"/>
  <c r="L489"/>
  <c r="L295"/>
  <c r="L297"/>
  <c r="L488"/>
  <c r="L301"/>
  <c r="L493"/>
  <c r="L298"/>
  <c r="L492"/>
  <c r="L495"/>
  <c r="L300"/>
  <c r="L305"/>
  <c r="L296"/>
  <c r="L487"/>
  <c r="L304"/>
  <c r="T603"/>
  <c r="T128"/>
  <c r="L289"/>
  <c r="J311"/>
  <c r="H122"/>
  <c r="O259"/>
  <c r="O261"/>
  <c r="F28" i="17"/>
  <c r="F28" i="22"/>
  <c r="J230" i="2"/>
  <c r="J285"/>
  <c r="J396"/>
  <c r="J561"/>
  <c r="J616"/>
  <c r="J74"/>
  <c r="J625"/>
  <c r="J19"/>
  <c r="J451"/>
  <c r="J175"/>
  <c r="J570"/>
  <c r="J120"/>
  <c r="J294"/>
  <c r="J405"/>
  <c r="J515"/>
  <c r="J65"/>
  <c r="J340"/>
  <c r="J349"/>
  <c r="J460"/>
  <c r="J10"/>
  <c r="J506"/>
  <c r="G396"/>
  <c r="G625"/>
  <c r="G175"/>
  <c r="G120"/>
  <c r="G460"/>
  <c r="G74"/>
  <c r="G294"/>
  <c r="G451"/>
  <c r="G349"/>
  <c r="G561"/>
  <c r="G10"/>
  <c r="G506"/>
  <c r="G616"/>
  <c r="G340"/>
  <c r="G65"/>
  <c r="G515"/>
  <c r="G230"/>
  <c r="G405"/>
  <c r="G570"/>
  <c r="G19"/>
  <c r="G285"/>
  <c r="T606" i="1"/>
  <c r="T161"/>
  <c r="T167" s="1"/>
  <c r="M122" i="2"/>
  <c r="S122"/>
  <c r="N122"/>
  <c r="F14" i="21" s="1"/>
  <c r="Q122" i="2"/>
  <c r="K122"/>
  <c r="G122"/>
  <c r="I122"/>
  <c r="L122"/>
  <c r="T122"/>
  <c r="H122"/>
  <c r="J122"/>
  <c r="P122"/>
  <c r="O122"/>
  <c r="R122"/>
  <c r="S179"/>
  <c r="M179"/>
  <c r="N179"/>
  <c r="G179"/>
  <c r="H179"/>
  <c r="J179"/>
  <c r="K179"/>
  <c r="I179"/>
  <c r="L179"/>
  <c r="T179"/>
  <c r="Q179"/>
  <c r="U179"/>
  <c r="O179"/>
  <c r="P179"/>
  <c r="R179"/>
  <c r="U578" i="1"/>
  <c r="U356" s="1"/>
  <c r="U362" s="1"/>
  <c r="U587"/>
  <c r="U574"/>
  <c r="U324" s="1"/>
  <c r="U332" s="1"/>
  <c r="U230"/>
  <c r="U476"/>
  <c r="U577"/>
  <c r="U346" s="1"/>
  <c r="U353" s="1"/>
  <c r="U383"/>
  <c r="U438"/>
  <c r="S70"/>
  <c r="S78" s="1"/>
  <c r="T570" i="2"/>
  <c r="T74"/>
  <c r="L515"/>
  <c r="L625"/>
  <c r="F76"/>
  <c r="P515"/>
  <c r="P625"/>
  <c r="F517"/>
  <c r="K120"/>
  <c r="K460"/>
  <c r="K10"/>
  <c r="K74"/>
  <c r="K405"/>
  <c r="K349"/>
  <c r="K285"/>
  <c r="K175"/>
  <c r="K340"/>
  <c r="K561"/>
  <c r="K570"/>
  <c r="K625"/>
  <c r="K451"/>
  <c r="K616"/>
  <c r="K515"/>
  <c r="K506"/>
  <c r="K230"/>
  <c r="K294"/>
  <c r="K396"/>
  <c r="K19"/>
  <c r="K65"/>
  <c r="O611" i="1"/>
  <c r="O493"/>
  <c r="O301"/>
  <c r="O495"/>
  <c r="O487"/>
  <c r="O297"/>
  <c r="O295"/>
  <c r="O489"/>
  <c r="O496"/>
  <c r="O304"/>
  <c r="O305"/>
  <c r="O300"/>
  <c r="O488"/>
  <c r="O490"/>
  <c r="O296"/>
  <c r="O298"/>
  <c r="O492"/>
  <c r="T198"/>
  <c r="T392"/>
  <c r="T396" s="1"/>
  <c r="T197"/>
  <c r="T196"/>
  <c r="T195"/>
  <c r="N452"/>
  <c r="S564" i="2"/>
  <c r="M564"/>
  <c r="N564"/>
  <c r="H564"/>
  <c r="T564"/>
  <c r="I564"/>
  <c r="K564"/>
  <c r="J564"/>
  <c r="Q564"/>
  <c r="L564"/>
  <c r="G564"/>
  <c r="R564"/>
  <c r="O564"/>
  <c r="P564"/>
  <c r="F566"/>
  <c r="N234"/>
  <c r="M234"/>
  <c r="S234"/>
  <c r="K234"/>
  <c r="L234"/>
  <c r="T234"/>
  <c r="H234"/>
  <c r="Q234"/>
  <c r="J234"/>
  <c r="G234"/>
  <c r="I234"/>
  <c r="O234"/>
  <c r="P234"/>
  <c r="R234"/>
  <c r="V269" i="1"/>
  <c r="V457"/>
  <c r="V456"/>
  <c r="V176"/>
  <c r="V369"/>
  <c r="V184"/>
  <c r="V165"/>
  <c r="V370"/>
  <c r="V327"/>
  <c r="V534"/>
  <c r="V348"/>
  <c r="V381"/>
  <c r="V131"/>
  <c r="V458"/>
  <c r="V472"/>
  <c r="V183"/>
  <c r="V350"/>
  <c r="V38"/>
  <c r="V440" s="1"/>
  <c r="V65"/>
  <c r="V282"/>
  <c r="V173"/>
  <c r="V33"/>
  <c r="V116" s="1"/>
  <c r="V235"/>
  <c r="V200"/>
  <c r="V156"/>
  <c r="V455"/>
  <c r="V185"/>
  <c r="V134"/>
  <c r="V360"/>
  <c r="V516"/>
  <c r="V135"/>
  <c r="V133"/>
  <c r="V371"/>
  <c r="V325"/>
  <c r="V515"/>
  <c r="V143"/>
  <c r="V351"/>
  <c r="V586"/>
  <c r="V144"/>
  <c r="V349"/>
  <c r="V153"/>
  <c r="V129"/>
  <c r="V514"/>
  <c r="W2"/>
  <c r="V130"/>
  <c r="V339"/>
  <c r="V467"/>
  <c r="V337"/>
  <c r="V284"/>
  <c r="V357"/>
  <c r="V164"/>
  <c r="V280"/>
  <c r="V39"/>
  <c r="V250" s="1"/>
  <c r="V44"/>
  <c r="V279"/>
  <c r="V42"/>
  <c r="V423" s="1"/>
  <c r="V468"/>
  <c r="V338"/>
  <c r="V186"/>
  <c r="V36"/>
  <c r="V247" s="1"/>
  <c r="V585"/>
  <c r="V141"/>
  <c r="V174"/>
  <c r="V66"/>
  <c r="V379"/>
  <c r="V373"/>
  <c r="V162"/>
  <c r="V199"/>
  <c r="V275"/>
  <c r="V469"/>
  <c r="V43"/>
  <c r="V442" s="1"/>
  <c r="V154"/>
  <c r="V267"/>
  <c r="V278"/>
  <c r="V437"/>
  <c r="V266"/>
  <c r="V37"/>
  <c r="V330"/>
  <c r="V152"/>
  <c r="V142"/>
  <c r="V328"/>
  <c r="V41"/>
  <c r="V443" s="1"/>
  <c r="V155"/>
  <c r="V97"/>
  <c r="V27"/>
  <c r="V58"/>
  <c r="V281"/>
  <c r="V380"/>
  <c r="V175"/>
  <c r="V347"/>
  <c r="V163"/>
  <c r="V283"/>
  <c r="V83"/>
  <c r="V115"/>
  <c r="V249"/>
  <c r="V251"/>
  <c r="V230"/>
  <c r="V526"/>
  <c r="V285"/>
  <c r="V394"/>
  <c r="V276"/>
  <c r="V277"/>
  <c r="V473"/>
  <c r="V132"/>
  <c r="V465"/>
  <c r="V201"/>
  <c r="V358"/>
  <c r="V359"/>
  <c r="V372"/>
  <c r="V40"/>
  <c r="V459"/>
  <c r="V471"/>
  <c r="V535"/>
  <c r="V402"/>
  <c r="V417"/>
  <c r="V248"/>
  <c r="V403"/>
  <c r="V229"/>
  <c r="V378"/>
  <c r="V268"/>
  <c r="V19"/>
  <c r="V466"/>
  <c r="V474"/>
  <c r="V326"/>
  <c r="V441"/>
  <c r="V393"/>
  <c r="V470"/>
  <c r="V270"/>
  <c r="V329"/>
  <c r="V57"/>
  <c r="V464"/>
  <c r="V23"/>
  <c r="V336"/>
  <c r="V422"/>
  <c r="V232"/>
  <c r="V214"/>
  <c r="V220"/>
  <c r="V404"/>
  <c r="V420"/>
  <c r="V410"/>
  <c r="V419"/>
  <c r="U48"/>
  <c r="U598"/>
  <c r="F354" i="2"/>
  <c r="K1120"/>
  <c r="K1121" s="1"/>
  <c r="M1120"/>
  <c r="M1121" s="1"/>
  <c r="V1120"/>
  <c r="V1121" s="1"/>
  <c r="F1121"/>
  <c r="S1120"/>
  <c r="S1121" s="1"/>
  <c r="N1120"/>
  <c r="N1121" s="1"/>
  <c r="T1120"/>
  <c r="T1121" s="1"/>
  <c r="I1120"/>
  <c r="I1121" s="1"/>
  <c r="J1120"/>
  <c r="J1121" s="1"/>
  <c r="L1120"/>
  <c r="L1121" s="1"/>
  <c r="H1120"/>
  <c r="H1121" s="1"/>
  <c r="Q1120"/>
  <c r="Q1121" s="1"/>
  <c r="P1120"/>
  <c r="P1121" s="1"/>
  <c r="O1120"/>
  <c r="O1121" s="1"/>
  <c r="R1120"/>
  <c r="R1121" s="1"/>
  <c r="U1120"/>
  <c r="U1121" s="1"/>
  <c r="U1122" s="1"/>
  <c r="G1120"/>
  <c r="T341" i="1"/>
  <c r="T343" s="1"/>
  <c r="T608"/>
  <c r="T217"/>
  <c r="T218"/>
  <c r="T215"/>
  <c r="T221"/>
  <c r="T208"/>
  <c r="T210"/>
  <c r="T211"/>
  <c r="T212"/>
  <c r="T216"/>
  <c r="T209"/>
  <c r="T219"/>
  <c r="N68" i="2"/>
  <c r="M68"/>
  <c r="S68"/>
  <c r="T68"/>
  <c r="Q68"/>
  <c r="J68"/>
  <c r="I68"/>
  <c r="L68"/>
  <c r="K68"/>
  <c r="G68"/>
  <c r="H68"/>
  <c r="O68"/>
  <c r="P68"/>
  <c r="R68"/>
  <c r="U68"/>
  <c r="F70"/>
  <c r="Q387" i="1"/>
  <c r="Q452" s="1"/>
  <c r="T385"/>
  <c r="T607"/>
  <c r="T172"/>
  <c r="T178" s="1"/>
  <c r="T190" s="1"/>
  <c r="F28" i="16"/>
  <c r="F28" i="20"/>
  <c r="O460" i="2"/>
  <c r="O285"/>
  <c r="O120"/>
  <c r="O625"/>
  <c r="O570"/>
  <c r="O616"/>
  <c r="O506"/>
  <c r="O19"/>
  <c r="O451"/>
  <c r="O175"/>
  <c r="O230"/>
  <c r="O65"/>
  <c r="O405"/>
  <c r="O396"/>
  <c r="O294"/>
  <c r="O561"/>
  <c r="O515"/>
  <c r="O10"/>
  <c r="O74"/>
  <c r="O349"/>
  <c r="O340"/>
  <c r="M561"/>
  <c r="M451"/>
  <c r="M349"/>
  <c r="M405"/>
  <c r="M230"/>
  <c r="M506"/>
  <c r="M175"/>
  <c r="M616"/>
  <c r="M340"/>
  <c r="M10"/>
  <c r="M120"/>
  <c r="M65"/>
  <c r="M19"/>
  <c r="M515"/>
  <c r="M294"/>
  <c r="M570"/>
  <c r="M74"/>
  <c r="M396"/>
  <c r="M460"/>
  <c r="M625"/>
  <c r="M285"/>
  <c r="R349"/>
  <c r="R515"/>
  <c r="R396"/>
  <c r="R175"/>
  <c r="R405"/>
  <c r="R230"/>
  <c r="R561"/>
  <c r="R460"/>
  <c r="R616"/>
  <c r="R285"/>
  <c r="R10"/>
  <c r="R19"/>
  <c r="R340"/>
  <c r="R74"/>
  <c r="R570"/>
  <c r="R120"/>
  <c r="R65"/>
  <c r="R506"/>
  <c r="R294"/>
  <c r="R625"/>
  <c r="R451"/>
  <c r="S454"/>
  <c r="M454"/>
  <c r="N454"/>
  <c r="K454"/>
  <c r="J454"/>
  <c r="T454"/>
  <c r="Q454"/>
  <c r="G454"/>
  <c r="H454"/>
  <c r="L454"/>
  <c r="I454"/>
  <c r="R454"/>
  <c r="O454"/>
  <c r="U454"/>
  <c r="P454"/>
  <c r="F456"/>
  <c r="U412" i="1"/>
  <c r="U229"/>
  <c r="U375"/>
  <c r="U417"/>
  <c r="U234"/>
  <c r="U461"/>
  <c r="S515" i="2"/>
  <c r="T515"/>
  <c r="P112" i="1"/>
  <c r="S387"/>
  <c r="S223"/>
  <c r="V576" l="1"/>
  <c r="V335" s="1"/>
  <c r="V341" s="1"/>
  <c r="V405"/>
  <c r="V583"/>
  <c r="V105" s="1"/>
  <c r="R112"/>
  <c r="V527"/>
  <c r="V213"/>
  <c r="V517"/>
  <c r="V231"/>
  <c r="V409"/>
  <c r="S205"/>
  <c r="U563" i="2"/>
  <c r="U287"/>
  <c r="F30" i="15"/>
  <c r="F30" i="17"/>
  <c r="U510" i="2"/>
  <c r="F30" i="16"/>
  <c r="U234" i="2"/>
  <c r="U564"/>
  <c r="U619"/>
  <c r="U288"/>
  <c r="U342"/>
  <c r="U343"/>
  <c r="U122"/>
  <c r="U509"/>
  <c r="U69"/>
  <c r="U289"/>
  <c r="U398"/>
  <c r="U453"/>
  <c r="U12"/>
  <c r="U565"/>
  <c r="U508"/>
  <c r="U618"/>
  <c r="U399"/>
  <c r="V252" i="1"/>
  <c r="V518"/>
  <c r="V439"/>
  <c r="F30" i="23"/>
  <c r="F30" i="14"/>
  <c r="F30" i="22"/>
  <c r="U620" i="2"/>
  <c r="U13"/>
  <c r="U344"/>
  <c r="U67"/>
  <c r="U400"/>
  <c r="U1107"/>
  <c r="U785"/>
  <c r="U826"/>
  <c r="U833"/>
  <c r="F833" s="1"/>
  <c r="V1050"/>
  <c r="V744"/>
  <c r="V774"/>
  <c r="V734"/>
  <c r="V736"/>
  <c r="V932"/>
  <c r="V741"/>
  <c r="V776"/>
  <c r="V677"/>
  <c r="V1044"/>
  <c r="V671" s="1"/>
  <c r="V737"/>
  <c r="V733"/>
  <c r="V772"/>
  <c r="V1047"/>
  <c r="V773"/>
  <c r="V973"/>
  <c r="V984" s="1"/>
  <c r="V1052"/>
  <c r="V738"/>
  <c r="V735"/>
  <c r="V1152"/>
  <c r="V673"/>
  <c r="V1051"/>
  <c r="V775"/>
  <c r="V742"/>
  <c r="V675"/>
  <c r="V674"/>
  <c r="W2"/>
  <c r="V771"/>
  <c r="V732"/>
  <c r="V743"/>
  <c r="V746"/>
  <c r="V745"/>
  <c r="V670"/>
  <c r="V785" s="1"/>
  <c r="V680"/>
  <c r="V676"/>
  <c r="V777"/>
  <c r="V399"/>
  <c r="V287"/>
  <c r="V398"/>
  <c r="V563"/>
  <c r="V508"/>
  <c r="V67"/>
  <c r="V344"/>
  <c r="V289"/>
  <c r="V13"/>
  <c r="V288"/>
  <c r="V510"/>
  <c r="V69"/>
  <c r="V620"/>
  <c r="V1106"/>
  <c r="V1107" s="1"/>
  <c r="V1108" s="1"/>
  <c r="V455"/>
  <c r="V232"/>
  <c r="U177"/>
  <c r="U232"/>
  <c r="U455"/>
  <c r="F30" i="21"/>
  <c r="F30" i="19"/>
  <c r="F30" i="20"/>
  <c r="T609" i="1"/>
  <c r="T228"/>
  <c r="V604"/>
  <c r="V140"/>
  <c r="V146" s="1"/>
  <c r="T387"/>
  <c r="U608"/>
  <c r="U212"/>
  <c r="U208"/>
  <c r="U215"/>
  <c r="U219"/>
  <c r="U221"/>
  <c r="U209"/>
  <c r="U210"/>
  <c r="U217"/>
  <c r="U211"/>
  <c r="U216"/>
  <c r="U218"/>
  <c r="U607"/>
  <c r="U385"/>
  <c r="U172"/>
  <c r="U178" s="1"/>
  <c r="U190" s="1"/>
  <c r="G1121" i="2"/>
  <c r="U596" i="1"/>
  <c r="U118"/>
  <c r="U52"/>
  <c r="U55"/>
  <c r="U13"/>
  <c r="U87"/>
  <c r="U9"/>
  <c r="U68"/>
  <c r="U54"/>
  <c r="U86"/>
  <c r="U11"/>
  <c r="U10"/>
  <c r="U12"/>
  <c r="W235"/>
  <c r="W65"/>
  <c r="W351"/>
  <c r="W155"/>
  <c r="W459"/>
  <c r="W329"/>
  <c r="W285"/>
  <c r="W380"/>
  <c r="W330"/>
  <c r="W269"/>
  <c r="W378"/>
  <c r="W162"/>
  <c r="W337"/>
  <c r="W514"/>
  <c r="W33"/>
  <c r="W405" s="1"/>
  <c r="W23"/>
  <c r="W154"/>
  <c r="W516"/>
  <c r="W42"/>
  <c r="W422"/>
  <c r="W135"/>
  <c r="W39"/>
  <c r="W250" s="1"/>
  <c r="W268"/>
  <c r="W370"/>
  <c r="W130"/>
  <c r="W201"/>
  <c r="W97"/>
  <c r="W465"/>
  <c r="W278"/>
  <c r="W327"/>
  <c r="W37"/>
  <c r="W132"/>
  <c r="W517"/>
  <c r="W283"/>
  <c r="W369"/>
  <c r="W40"/>
  <c r="W464"/>
  <c r="W470"/>
  <c r="W57"/>
  <c r="W164"/>
  <c r="W338"/>
  <c r="W357"/>
  <c r="W471"/>
  <c r="W153"/>
  <c r="W455"/>
  <c r="W280"/>
  <c r="W359"/>
  <c r="W350"/>
  <c r="W372"/>
  <c r="W282"/>
  <c r="W134"/>
  <c r="W585"/>
  <c r="W266"/>
  <c r="W184"/>
  <c r="W44"/>
  <c r="W394"/>
  <c r="W468"/>
  <c r="W281"/>
  <c r="W133"/>
  <c r="W58"/>
  <c r="W200"/>
  <c r="W83"/>
  <c r="W279"/>
  <c r="W526"/>
  <c r="W404"/>
  <c r="W409"/>
  <c r="W220"/>
  <c r="W213"/>
  <c r="W407"/>
  <c r="W439"/>
  <c r="W84"/>
  <c r="W165"/>
  <c r="W36"/>
  <c r="W417" s="1"/>
  <c r="W186"/>
  <c r="W348"/>
  <c r="W270"/>
  <c r="W183"/>
  <c r="W176"/>
  <c r="W467"/>
  <c r="W141"/>
  <c r="W129"/>
  <c r="W41"/>
  <c r="W252" s="1"/>
  <c r="W534"/>
  <c r="W173"/>
  <c r="W336"/>
  <c r="W115"/>
  <c r="W469"/>
  <c r="W277"/>
  <c r="W457"/>
  <c r="W358"/>
  <c r="W142"/>
  <c r="W473"/>
  <c r="W199"/>
  <c r="W185"/>
  <c r="W379"/>
  <c r="W174"/>
  <c r="W66"/>
  <c r="W276"/>
  <c r="W275"/>
  <c r="W19"/>
  <c r="W131"/>
  <c r="W586"/>
  <c r="W535"/>
  <c r="W410"/>
  <c r="W527"/>
  <c r="W402"/>
  <c r="W360"/>
  <c r="W393"/>
  <c r="W175"/>
  <c r="W43"/>
  <c r="W251" s="1"/>
  <c r="W466"/>
  <c r="W284"/>
  <c r="W381"/>
  <c r="W325"/>
  <c r="W156"/>
  <c r="W515"/>
  <c r="W371"/>
  <c r="W143"/>
  <c r="W326"/>
  <c r="W456"/>
  <c r="W518"/>
  <c r="W163"/>
  <c r="W349"/>
  <c r="W339"/>
  <c r="W423"/>
  <c r="W472"/>
  <c r="W144"/>
  <c r="W474"/>
  <c r="W267"/>
  <c r="W373"/>
  <c r="W152"/>
  <c r="W27"/>
  <c r="X2"/>
  <c r="W328"/>
  <c r="W347"/>
  <c r="W38"/>
  <c r="W232" s="1"/>
  <c r="W458"/>
  <c r="W406"/>
  <c r="W116"/>
  <c r="W418"/>
  <c r="W248"/>
  <c r="W234"/>
  <c r="W437"/>
  <c r="W214"/>
  <c r="N478"/>
  <c r="U606"/>
  <c r="U161"/>
  <c r="U167" s="1"/>
  <c r="F14" i="17"/>
  <c r="F14" i="16"/>
  <c r="F14" i="20"/>
  <c r="F119" i="2"/>
  <c r="L500" i="1"/>
  <c r="N259"/>
  <c r="N261"/>
  <c r="F571" i="2"/>
  <c r="F572" s="1"/>
  <c r="F626"/>
  <c r="F627" s="1"/>
  <c r="F299"/>
  <c r="T596" i="1"/>
  <c r="T11"/>
  <c r="T118"/>
  <c r="T10"/>
  <c r="T9"/>
  <c r="T55"/>
  <c r="T87"/>
  <c r="T52"/>
  <c r="T12"/>
  <c r="T13"/>
  <c r="T68"/>
  <c r="T86"/>
  <c r="T54"/>
  <c r="M124" i="2"/>
  <c r="V124"/>
  <c r="S124"/>
  <c r="N124"/>
  <c r="K124"/>
  <c r="G124"/>
  <c r="H124"/>
  <c r="L124"/>
  <c r="T124"/>
  <c r="I124"/>
  <c r="Q124"/>
  <c r="J124"/>
  <c r="R124"/>
  <c r="O124"/>
  <c r="P124"/>
  <c r="U124"/>
  <c r="P261" i="1"/>
  <c r="V233"/>
  <c r="V188"/>
  <c r="V375"/>
  <c r="O309"/>
  <c r="P500"/>
  <c r="P502" s="1"/>
  <c r="T120"/>
  <c r="U197"/>
  <c r="U196"/>
  <c r="U198"/>
  <c r="U392"/>
  <c r="U396" s="1"/>
  <c r="U195"/>
  <c r="F14" i="23"/>
  <c r="F14" i="19"/>
  <c r="T137" i="1"/>
  <c r="L309"/>
  <c r="R289"/>
  <c r="F461" i="2"/>
  <c r="F462" s="1"/>
  <c r="P551" i="1"/>
  <c r="Q192"/>
  <c r="S612"/>
  <c r="S529"/>
  <c r="S531" s="1"/>
  <c r="F360" i="2" s="1"/>
  <c r="S306" i="1"/>
  <c r="S520"/>
  <c r="S537"/>
  <c r="S539" s="1"/>
  <c r="F416" i="2" s="1"/>
  <c r="S307" i="1"/>
  <c r="S497"/>
  <c r="S498"/>
  <c r="R478"/>
  <c r="T70"/>
  <c r="T78" s="1"/>
  <c r="Q478"/>
  <c r="L354" i="2"/>
  <c r="M354"/>
  <c r="N354"/>
  <c r="V354"/>
  <c r="S354"/>
  <c r="O354"/>
  <c r="P354"/>
  <c r="Q354"/>
  <c r="R354"/>
  <c r="T354"/>
  <c r="U354"/>
  <c r="H354"/>
  <c r="J354"/>
  <c r="I354"/>
  <c r="K354"/>
  <c r="G354"/>
  <c r="V598" i="1"/>
  <c r="U605"/>
  <c r="U364"/>
  <c r="U151"/>
  <c r="U158" s="1"/>
  <c r="U169" s="1"/>
  <c r="U603"/>
  <c r="U343"/>
  <c r="U128"/>
  <c r="U137" s="1"/>
  <c r="U148" s="1"/>
  <c r="F14" i="22"/>
  <c r="O289" i="1"/>
  <c r="O311"/>
  <c r="J313"/>
  <c r="J553"/>
  <c r="F176" i="2"/>
  <c r="S450" i="1"/>
  <c r="I27" i="2"/>
  <c r="M27"/>
  <c r="J27"/>
  <c r="H27"/>
  <c r="L27"/>
  <c r="O27"/>
  <c r="Q27"/>
  <c r="R27"/>
  <c r="U27"/>
  <c r="S27"/>
  <c r="N27"/>
  <c r="V27"/>
  <c r="P27"/>
  <c r="T27"/>
  <c r="W27"/>
  <c r="K27"/>
  <c r="G27"/>
  <c r="Q72" i="1"/>
  <c r="Q600"/>
  <c r="Q77"/>
  <c r="Q80" s="1"/>
  <c r="Q108"/>
  <c r="Q110"/>
  <c r="Q109"/>
  <c r="Q96"/>
  <c r="Q95"/>
  <c r="Q107"/>
  <c r="F24" i="2"/>
  <c r="T610" i="1"/>
  <c r="T448"/>
  <c r="T450" s="1"/>
  <c r="T452" s="1"/>
  <c r="T245"/>
  <c r="T255" s="1"/>
  <c r="T223"/>
  <c r="V577"/>
  <c r="V346" s="1"/>
  <c r="V353" s="1"/>
  <c r="V421"/>
  <c r="V46"/>
  <c r="V48" s="1"/>
  <c r="V578"/>
  <c r="V356" s="1"/>
  <c r="V362" s="1"/>
  <c r="V574"/>
  <c r="V324" s="1"/>
  <c r="V332" s="1"/>
  <c r="V461"/>
  <c r="O500"/>
  <c r="O502" s="1"/>
  <c r="S257"/>
  <c r="S259" s="1"/>
  <c r="P309"/>
  <c r="T604"/>
  <c r="T140"/>
  <c r="U18" i="2"/>
  <c r="U569"/>
  <c r="U73"/>
  <c r="U560"/>
  <c r="U293"/>
  <c r="U404"/>
  <c r="U348"/>
  <c r="U119"/>
  <c r="U174"/>
  <c r="U514"/>
  <c r="U450"/>
  <c r="U395"/>
  <c r="U505"/>
  <c r="U615"/>
  <c r="U284"/>
  <c r="U229"/>
  <c r="U9"/>
  <c r="U624"/>
  <c r="U339"/>
  <c r="U64"/>
  <c r="U459"/>
  <c r="J1122"/>
  <c r="K1122"/>
  <c r="N1122"/>
  <c r="V1122"/>
  <c r="L1122"/>
  <c r="R1122"/>
  <c r="O1122"/>
  <c r="H1122"/>
  <c r="S1122"/>
  <c r="Q1122"/>
  <c r="T1122"/>
  <c r="I1122"/>
  <c r="M1122"/>
  <c r="P1122"/>
  <c r="G1122"/>
  <c r="F14" i="15"/>
  <c r="F14" i="14"/>
  <c r="L602" i="1"/>
  <c r="L102"/>
  <c r="M302" i="2"/>
  <c r="L302"/>
  <c r="O302"/>
  <c r="R302"/>
  <c r="W302"/>
  <c r="V302"/>
  <c r="N302"/>
  <c r="Q302"/>
  <c r="S302"/>
  <c r="T302"/>
  <c r="P302"/>
  <c r="U302"/>
  <c r="J302"/>
  <c r="H302"/>
  <c r="K302"/>
  <c r="I302"/>
  <c r="G302"/>
  <c r="J504" i="1"/>
  <c r="J601"/>
  <c r="J101"/>
  <c r="F231" i="2"/>
  <c r="R91" i="1"/>
  <c r="F82" i="2" s="1"/>
  <c r="R491" i="1"/>
  <c r="R543"/>
  <c r="F523" i="2" s="1"/>
  <c r="R302" i="1"/>
  <c r="R545"/>
  <c r="F578" i="2" s="1"/>
  <c r="R549" i="1"/>
  <c r="R299"/>
  <c r="R541"/>
  <c r="R547"/>
  <c r="F633" i="2" s="1"/>
  <c r="R494" i="1"/>
  <c r="R303"/>
  <c r="U597"/>
  <c r="U59"/>
  <c r="U444"/>
  <c r="U580" s="1"/>
  <c r="U436" s="1"/>
  <c r="U446" s="1"/>
  <c r="U425"/>
  <c r="U536"/>
  <c r="U67"/>
  <c r="U70" s="1"/>
  <c r="U78" s="1"/>
  <c r="U528"/>
  <c r="U238"/>
  <c r="U239"/>
  <c r="U85"/>
  <c r="U89" s="1"/>
  <c r="U237"/>
  <c r="U117"/>
  <c r="U120" s="1"/>
  <c r="U519"/>
  <c r="U236"/>
  <c r="U424"/>
  <c r="U579" s="1"/>
  <c r="U415" s="1"/>
  <c r="U427" s="1"/>
  <c r="U253"/>
  <c r="U56"/>
  <c r="L460" i="2"/>
  <c r="S460"/>
  <c r="T460"/>
  <c r="P460"/>
  <c r="V418" i="1"/>
  <c r="V476"/>
  <c r="V383"/>
  <c r="V246"/>
  <c r="V234"/>
  <c r="V416"/>
  <c r="V408"/>
  <c r="V84"/>
  <c r="V438"/>
  <c r="V406"/>
  <c r="V272"/>
  <c r="V287"/>
  <c r="V587"/>
  <c r="V407"/>
  <c r="T203"/>
  <c r="S15"/>
  <c r="T89"/>
  <c r="T169"/>
  <c r="V12" i="2" l="1"/>
  <c r="V177"/>
  <c r="V565"/>
  <c r="V14"/>
  <c r="V618"/>
  <c r="V453"/>
  <c r="V343"/>
  <c r="V342"/>
  <c r="V400"/>
  <c r="V412" i="1"/>
  <c r="W441"/>
  <c r="Q112"/>
  <c r="W230"/>
  <c r="W229"/>
  <c r="W442"/>
  <c r="U387"/>
  <c r="W233"/>
  <c r="W419"/>
  <c r="V625" i="2"/>
  <c r="V349"/>
  <c r="V10"/>
  <c r="V396"/>
  <c r="V74"/>
  <c r="V506"/>
  <c r="V515"/>
  <c r="V65"/>
  <c r="V120"/>
  <c r="V451"/>
  <c r="V294"/>
  <c r="V460"/>
  <c r="V340"/>
  <c r="V285"/>
  <c r="V230"/>
  <c r="V405"/>
  <c r="V175"/>
  <c r="V561"/>
  <c r="V616"/>
  <c r="V19"/>
  <c r="V570"/>
  <c r="W734"/>
  <c r="W773"/>
  <c r="W675"/>
  <c r="X2"/>
  <c r="W744"/>
  <c r="W777"/>
  <c r="W775"/>
  <c r="W1044"/>
  <c r="W671" s="1"/>
  <c r="W673"/>
  <c r="W737"/>
  <c r="W973"/>
  <c r="W984" s="1"/>
  <c r="W677"/>
  <c r="W776"/>
  <c r="W674"/>
  <c r="W932"/>
  <c r="W736"/>
  <c r="W1050"/>
  <c r="W772"/>
  <c r="W741"/>
  <c r="W774"/>
  <c r="W1152"/>
  <c r="W771"/>
  <c r="W743"/>
  <c r="W738"/>
  <c r="W742"/>
  <c r="W735"/>
  <c r="W746"/>
  <c r="W733"/>
  <c r="W732"/>
  <c r="W745"/>
  <c r="W670"/>
  <c r="W785" s="1"/>
  <c r="W676"/>
  <c r="W680"/>
  <c r="W1051"/>
  <c r="W1047"/>
  <c r="W1052"/>
  <c r="W399"/>
  <c r="W12"/>
  <c r="W343"/>
  <c r="W287"/>
  <c r="W400"/>
  <c r="W344"/>
  <c r="W342"/>
  <c r="W453"/>
  <c r="W67"/>
  <c r="W508"/>
  <c r="W398"/>
  <c r="W618"/>
  <c r="W563"/>
  <c r="W289"/>
  <c r="W288"/>
  <c r="W13"/>
  <c r="W14"/>
  <c r="W1106"/>
  <c r="W1107" s="1"/>
  <c r="W565"/>
  <c r="W510"/>
  <c r="W620"/>
  <c r="W69"/>
  <c r="W232"/>
  <c r="W455"/>
  <c r="W177"/>
  <c r="W1108"/>
  <c r="W19" s="1"/>
  <c r="W357"/>
  <c r="W619"/>
  <c r="W509"/>
  <c r="W564"/>
  <c r="W122"/>
  <c r="W179"/>
  <c r="W234"/>
  <c r="W1120"/>
  <c r="W413"/>
  <c r="W506"/>
  <c r="W561"/>
  <c r="W68"/>
  <c r="W454"/>
  <c r="W405"/>
  <c r="W410"/>
  <c r="U1108"/>
  <c r="W354"/>
  <c r="W124"/>
  <c r="V509"/>
  <c r="V619"/>
  <c r="V454"/>
  <c r="V122"/>
  <c r="V179"/>
  <c r="V564"/>
  <c r="V234"/>
  <c r="V68"/>
  <c r="V608" i="1"/>
  <c r="V209"/>
  <c r="V215"/>
  <c r="V210"/>
  <c r="V219"/>
  <c r="V217"/>
  <c r="V211"/>
  <c r="V218"/>
  <c r="V216"/>
  <c r="V221"/>
  <c r="V208"/>
  <c r="V212"/>
  <c r="U609"/>
  <c r="U228"/>
  <c r="U241" s="1"/>
  <c r="U448"/>
  <c r="U450" s="1"/>
  <c r="U452" s="1"/>
  <c r="U610"/>
  <c r="U245"/>
  <c r="U255" s="1"/>
  <c r="V596"/>
  <c r="V87"/>
  <c r="V9"/>
  <c r="V54"/>
  <c r="V52"/>
  <c r="V13"/>
  <c r="V10"/>
  <c r="V68"/>
  <c r="V11"/>
  <c r="V12"/>
  <c r="V118"/>
  <c r="V86"/>
  <c r="V55"/>
  <c r="H523" i="2"/>
  <c r="Q523"/>
  <c r="R523"/>
  <c r="O523"/>
  <c r="P523"/>
  <c r="X523"/>
  <c r="J523"/>
  <c r="M523"/>
  <c r="S523"/>
  <c r="T523"/>
  <c r="U523"/>
  <c r="N523"/>
  <c r="V523"/>
  <c r="W523"/>
  <c r="I523"/>
  <c r="L523"/>
  <c r="K523"/>
  <c r="G523"/>
  <c r="J104" i="1"/>
  <c r="T229" i="2"/>
  <c r="T119"/>
  <c r="T293"/>
  <c r="T9"/>
  <c r="T284"/>
  <c r="T174"/>
  <c r="T404"/>
  <c r="T569"/>
  <c r="T624"/>
  <c r="T73"/>
  <c r="T560"/>
  <c r="T64"/>
  <c r="T615"/>
  <c r="T505"/>
  <c r="T339"/>
  <c r="T514"/>
  <c r="T18"/>
  <c r="T459"/>
  <c r="T395"/>
  <c r="T348"/>
  <c r="T450"/>
  <c r="J450"/>
  <c r="J119"/>
  <c r="J348"/>
  <c r="J64"/>
  <c r="J514"/>
  <c r="J404"/>
  <c r="J459"/>
  <c r="J229"/>
  <c r="J18"/>
  <c r="J9"/>
  <c r="J174"/>
  <c r="J505"/>
  <c r="J73"/>
  <c r="J560"/>
  <c r="J569"/>
  <c r="J395"/>
  <c r="J339"/>
  <c r="J624"/>
  <c r="J615"/>
  <c r="J293"/>
  <c r="J284"/>
  <c r="V343" i="1"/>
  <c r="V603"/>
  <c r="V128"/>
  <c r="V137" s="1"/>
  <c r="V148" s="1"/>
  <c r="L24" i="2"/>
  <c r="M24"/>
  <c r="P24"/>
  <c r="Q24"/>
  <c r="W24"/>
  <c r="X24"/>
  <c r="T24"/>
  <c r="N24"/>
  <c r="R24"/>
  <c r="S24"/>
  <c r="O24"/>
  <c r="U24"/>
  <c r="V24"/>
  <c r="J24"/>
  <c r="H24"/>
  <c r="I24"/>
  <c r="K24"/>
  <c r="G24"/>
  <c r="O313" i="1"/>
  <c r="O553"/>
  <c r="F184" i="2"/>
  <c r="P601" i="1"/>
  <c r="P504"/>
  <c r="F240" i="2"/>
  <c r="P101" i="1"/>
  <c r="N289"/>
  <c r="N611"/>
  <c r="N296"/>
  <c r="N298"/>
  <c r="N489"/>
  <c r="N487"/>
  <c r="N488"/>
  <c r="N304"/>
  <c r="N295"/>
  <c r="N305"/>
  <c r="N301"/>
  <c r="N495"/>
  <c r="N493"/>
  <c r="N492"/>
  <c r="N297"/>
  <c r="N300"/>
  <c r="N496"/>
  <c r="N490"/>
  <c r="U612"/>
  <c r="U537"/>
  <c r="U306"/>
  <c r="U520"/>
  <c r="U498"/>
  <c r="U307"/>
  <c r="U497"/>
  <c r="U529"/>
  <c r="U531" s="1"/>
  <c r="F362" i="2" s="1"/>
  <c r="T15" i="1"/>
  <c r="W577"/>
  <c r="W346" s="1"/>
  <c r="W353" s="1"/>
  <c r="W287"/>
  <c r="W420"/>
  <c r="W421"/>
  <c r="W440"/>
  <c r="U15"/>
  <c r="S614"/>
  <c r="S61"/>
  <c r="S521"/>
  <c r="S523" s="1"/>
  <c r="V195"/>
  <c r="V198"/>
  <c r="V392"/>
  <c r="V396" s="1"/>
  <c r="V197"/>
  <c r="V196"/>
  <c r="F468" i="2"/>
  <c r="R551" i="1"/>
  <c r="J82" i="2"/>
  <c r="I82"/>
  <c r="H82"/>
  <c r="L82"/>
  <c r="Q82"/>
  <c r="W82"/>
  <c r="M82"/>
  <c r="S82"/>
  <c r="U82"/>
  <c r="V82"/>
  <c r="X82"/>
  <c r="O82"/>
  <c r="P82"/>
  <c r="T82"/>
  <c r="N82"/>
  <c r="R82"/>
  <c r="K82"/>
  <c r="G82"/>
  <c r="I514"/>
  <c r="I560"/>
  <c r="I293"/>
  <c r="I18"/>
  <c r="I339"/>
  <c r="I450"/>
  <c r="I459"/>
  <c r="I615"/>
  <c r="I348"/>
  <c r="I395"/>
  <c r="I505"/>
  <c r="I569"/>
  <c r="I174"/>
  <c r="I624"/>
  <c r="I9"/>
  <c r="I64"/>
  <c r="I73"/>
  <c r="I119"/>
  <c r="I404"/>
  <c r="I284"/>
  <c r="I229"/>
  <c r="H339"/>
  <c r="H284"/>
  <c r="H73"/>
  <c r="H450"/>
  <c r="H459"/>
  <c r="H293"/>
  <c r="H9"/>
  <c r="H624"/>
  <c r="H505"/>
  <c r="H395"/>
  <c r="H560"/>
  <c r="H18"/>
  <c r="H615"/>
  <c r="H64"/>
  <c r="H514"/>
  <c r="H404"/>
  <c r="H569"/>
  <c r="H174"/>
  <c r="H348"/>
  <c r="H229"/>
  <c r="H119"/>
  <c r="L395"/>
  <c r="L229"/>
  <c r="L560"/>
  <c r="L505"/>
  <c r="L174"/>
  <c r="L9"/>
  <c r="L459"/>
  <c r="L284"/>
  <c r="L348"/>
  <c r="L339"/>
  <c r="L18"/>
  <c r="L64"/>
  <c r="L73"/>
  <c r="L624"/>
  <c r="L293"/>
  <c r="L615"/>
  <c r="L404"/>
  <c r="L450"/>
  <c r="L569"/>
  <c r="L119"/>
  <c r="L514"/>
  <c r="K348"/>
  <c r="K560"/>
  <c r="K174"/>
  <c r="K624"/>
  <c r="K339"/>
  <c r="K569"/>
  <c r="K450"/>
  <c r="K284"/>
  <c r="K615"/>
  <c r="K64"/>
  <c r="K119"/>
  <c r="K18"/>
  <c r="K514"/>
  <c r="K9"/>
  <c r="K229"/>
  <c r="K395"/>
  <c r="K404"/>
  <c r="K505"/>
  <c r="K293"/>
  <c r="K73"/>
  <c r="K459"/>
  <c r="Q91" i="1"/>
  <c r="F79" i="2" s="1"/>
  <c r="Q545" i="1"/>
  <c r="Q302"/>
  <c r="Q547"/>
  <c r="Q494"/>
  <c r="Q549"/>
  <c r="Q299"/>
  <c r="Q303"/>
  <c r="Q491"/>
  <c r="Q543"/>
  <c r="Q541"/>
  <c r="S452"/>
  <c r="J599"/>
  <c r="J94"/>
  <c r="M416" i="2"/>
  <c r="X416"/>
  <c r="O416"/>
  <c r="R416"/>
  <c r="V416"/>
  <c r="N416"/>
  <c r="P416"/>
  <c r="L416"/>
  <c r="Q416"/>
  <c r="S416"/>
  <c r="T416"/>
  <c r="U416"/>
  <c r="W416"/>
  <c r="J416"/>
  <c r="I416"/>
  <c r="H416"/>
  <c r="G416"/>
  <c r="K416"/>
  <c r="V607" i="1"/>
  <c r="V385"/>
  <c r="V172"/>
  <c r="V178" s="1"/>
  <c r="V190" s="1"/>
  <c r="P311"/>
  <c r="P289"/>
  <c r="W598"/>
  <c r="T241"/>
  <c r="U539"/>
  <c r="F418" i="2" s="1"/>
  <c r="W46" i="1"/>
  <c r="W416"/>
  <c r="W587"/>
  <c r="W476"/>
  <c r="W438"/>
  <c r="W583"/>
  <c r="W105" s="1"/>
  <c r="W383"/>
  <c r="U223"/>
  <c r="M633" i="2"/>
  <c r="J633"/>
  <c r="R633"/>
  <c r="T633"/>
  <c r="I633"/>
  <c r="Q633"/>
  <c r="V633"/>
  <c r="W633"/>
  <c r="H633"/>
  <c r="P633"/>
  <c r="S633"/>
  <c r="X633"/>
  <c r="L633"/>
  <c r="N633"/>
  <c r="O633"/>
  <c r="U633"/>
  <c r="G633"/>
  <c r="K633"/>
  <c r="M578"/>
  <c r="N578"/>
  <c r="H578"/>
  <c r="L578"/>
  <c r="U578"/>
  <c r="V578"/>
  <c r="W578"/>
  <c r="Q578"/>
  <c r="R578"/>
  <c r="J578"/>
  <c r="O578"/>
  <c r="X578"/>
  <c r="I578"/>
  <c r="P578"/>
  <c r="S578"/>
  <c r="T578"/>
  <c r="K578"/>
  <c r="G578"/>
  <c r="G514"/>
  <c r="G174"/>
  <c r="G293"/>
  <c r="G284"/>
  <c r="G229"/>
  <c r="G9"/>
  <c r="G348"/>
  <c r="G459"/>
  <c r="G615"/>
  <c r="G404"/>
  <c r="G119"/>
  <c r="G339"/>
  <c r="G395"/>
  <c r="G624"/>
  <c r="G18"/>
  <c r="G505"/>
  <c r="G64"/>
  <c r="G450"/>
  <c r="G560"/>
  <c r="G73"/>
  <c r="G569"/>
  <c r="M569"/>
  <c r="M9"/>
  <c r="M18"/>
  <c r="M119"/>
  <c r="M339"/>
  <c r="M174"/>
  <c r="M505"/>
  <c r="M450"/>
  <c r="M229"/>
  <c r="M395"/>
  <c r="M348"/>
  <c r="M293"/>
  <c r="M64"/>
  <c r="M404"/>
  <c r="M73"/>
  <c r="M459"/>
  <c r="M284"/>
  <c r="M560"/>
  <c r="M514"/>
  <c r="M615"/>
  <c r="M624"/>
  <c r="S339"/>
  <c r="S293"/>
  <c r="S284"/>
  <c r="S505"/>
  <c r="S119"/>
  <c r="S450"/>
  <c r="S348"/>
  <c r="S624"/>
  <c r="S395"/>
  <c r="S459"/>
  <c r="S615"/>
  <c r="S73"/>
  <c r="S18"/>
  <c r="S514"/>
  <c r="S229"/>
  <c r="S174"/>
  <c r="S560"/>
  <c r="S9"/>
  <c r="S64"/>
  <c r="S569"/>
  <c r="S404"/>
  <c r="R293"/>
  <c r="R9"/>
  <c r="R404"/>
  <c r="R459"/>
  <c r="R450"/>
  <c r="R395"/>
  <c r="R229"/>
  <c r="R18"/>
  <c r="R348"/>
  <c r="R505"/>
  <c r="R73"/>
  <c r="R64"/>
  <c r="R514"/>
  <c r="R615"/>
  <c r="R119"/>
  <c r="R284"/>
  <c r="R174"/>
  <c r="R339"/>
  <c r="R560"/>
  <c r="R569"/>
  <c r="R624"/>
  <c r="N64"/>
  <c r="N9"/>
  <c r="N459"/>
  <c r="N505"/>
  <c r="N284"/>
  <c r="N569"/>
  <c r="N18"/>
  <c r="N229"/>
  <c r="N293"/>
  <c r="N624"/>
  <c r="N404"/>
  <c r="N339"/>
  <c r="N395"/>
  <c r="N615"/>
  <c r="N174"/>
  <c r="N348"/>
  <c r="N560"/>
  <c r="N450"/>
  <c r="N119"/>
  <c r="N73"/>
  <c r="N514"/>
  <c r="T146" i="1"/>
  <c r="T148" s="1"/>
  <c r="V597"/>
  <c r="V237"/>
  <c r="V425"/>
  <c r="V238"/>
  <c r="V59"/>
  <c r="V236"/>
  <c r="V424"/>
  <c r="V579" s="1"/>
  <c r="V415" s="1"/>
  <c r="V427" s="1"/>
  <c r="V117"/>
  <c r="V120" s="1"/>
  <c r="V239"/>
  <c r="V536"/>
  <c r="V85"/>
  <c r="V89" s="1"/>
  <c r="V253"/>
  <c r="V519"/>
  <c r="V528"/>
  <c r="V444"/>
  <c r="V580" s="1"/>
  <c r="V436" s="1"/>
  <c r="V446" s="1"/>
  <c r="V67"/>
  <c r="V70" s="1"/>
  <c r="V78" s="1"/>
  <c r="V56"/>
  <c r="T478"/>
  <c r="L360" i="2"/>
  <c r="M360"/>
  <c r="O360"/>
  <c r="P360"/>
  <c r="R360"/>
  <c r="W360"/>
  <c r="Q360"/>
  <c r="S360"/>
  <c r="T360"/>
  <c r="U360"/>
  <c r="V360"/>
  <c r="N360"/>
  <c r="X360"/>
  <c r="H360"/>
  <c r="J360"/>
  <c r="I360"/>
  <c r="K360"/>
  <c r="G360"/>
  <c r="R602" i="1"/>
  <c r="R102"/>
  <c r="X393"/>
  <c r="X135"/>
  <c r="X275"/>
  <c r="X115"/>
  <c r="X270"/>
  <c r="X379"/>
  <c r="X23"/>
  <c r="X97"/>
  <c r="X329"/>
  <c r="X327"/>
  <c r="X459"/>
  <c r="X176"/>
  <c r="X282"/>
  <c r="X394"/>
  <c r="X456"/>
  <c r="X357"/>
  <c r="X141"/>
  <c r="X269"/>
  <c r="X278"/>
  <c r="X330"/>
  <c r="X266"/>
  <c r="X40"/>
  <c r="X347"/>
  <c r="X200"/>
  <c r="X470"/>
  <c r="X39"/>
  <c r="X328"/>
  <c r="X83"/>
  <c r="X337"/>
  <c r="X235"/>
  <c r="X585"/>
  <c r="X285"/>
  <c r="X378"/>
  <c r="X360"/>
  <c r="X57"/>
  <c r="X349"/>
  <c r="X370"/>
  <c r="X279"/>
  <c r="X469"/>
  <c r="X526"/>
  <c r="Y2"/>
  <c r="X36"/>
  <c r="X246" s="1"/>
  <c r="X185"/>
  <c r="X284"/>
  <c r="X156"/>
  <c r="X466"/>
  <c r="X153"/>
  <c r="X351"/>
  <c r="X359"/>
  <c r="X27"/>
  <c r="X154"/>
  <c r="X586"/>
  <c r="X37"/>
  <c r="X418" s="1"/>
  <c r="X42"/>
  <c r="X423" s="1"/>
  <c r="X534"/>
  <c r="X164"/>
  <c r="X283"/>
  <c r="X268"/>
  <c r="X231"/>
  <c r="X251"/>
  <c r="X43"/>
  <c r="X233" s="1"/>
  <c r="X162"/>
  <c r="X142"/>
  <c r="X348"/>
  <c r="X38"/>
  <c r="X249" s="1"/>
  <c r="X464"/>
  <c r="X467"/>
  <c r="X380"/>
  <c r="X281"/>
  <c r="X143"/>
  <c r="X422"/>
  <c r="X199"/>
  <c r="X339"/>
  <c r="X267"/>
  <c r="X131"/>
  <c r="X183"/>
  <c r="X465"/>
  <c r="X473"/>
  <c r="X58"/>
  <c r="X33"/>
  <c r="X598" s="1"/>
  <c r="X350"/>
  <c r="X184"/>
  <c r="X326"/>
  <c r="X457"/>
  <c r="X381"/>
  <c r="X134"/>
  <c r="X369"/>
  <c r="X155"/>
  <c r="X163"/>
  <c r="X44"/>
  <c r="X165"/>
  <c r="X232"/>
  <c r="X247"/>
  <c r="X250"/>
  <c r="X439"/>
  <c r="X186"/>
  <c r="X201"/>
  <c r="X129"/>
  <c r="X471"/>
  <c r="X472"/>
  <c r="X373"/>
  <c r="X133"/>
  <c r="X130"/>
  <c r="X276"/>
  <c r="X65"/>
  <c r="X336"/>
  <c r="X325"/>
  <c r="X338"/>
  <c r="X175"/>
  <c r="X474"/>
  <c r="X468"/>
  <c r="X132"/>
  <c r="X371"/>
  <c r="X277"/>
  <c r="X66"/>
  <c r="X144"/>
  <c r="X152"/>
  <c r="X280"/>
  <c r="X358"/>
  <c r="X41"/>
  <c r="X252" s="1"/>
  <c r="X19"/>
  <c r="X173"/>
  <c r="X458"/>
  <c r="X372"/>
  <c r="X441"/>
  <c r="X229"/>
  <c r="X455"/>
  <c r="X174"/>
  <c r="X416"/>
  <c r="X230"/>
  <c r="X442"/>
  <c r="X518"/>
  <c r="S261"/>
  <c r="U192"/>
  <c r="U203"/>
  <c r="W249"/>
  <c r="W574"/>
  <c r="W324" s="1"/>
  <c r="W332" s="1"/>
  <c r="W246"/>
  <c r="W576"/>
  <c r="W335" s="1"/>
  <c r="W341" s="1"/>
  <c r="W188"/>
  <c r="W443"/>
  <c r="W272"/>
  <c r="W461"/>
  <c r="W578"/>
  <c r="W356" s="1"/>
  <c r="W362" s="1"/>
  <c r="W247"/>
  <c r="W231"/>
  <c r="W403"/>
  <c r="W408"/>
  <c r="P404" i="2"/>
  <c r="P284"/>
  <c r="P229"/>
  <c r="P119"/>
  <c r="P560"/>
  <c r="P73"/>
  <c r="P339"/>
  <c r="P505"/>
  <c r="P64"/>
  <c r="P293"/>
  <c r="P18"/>
  <c r="P348"/>
  <c r="P459"/>
  <c r="P450"/>
  <c r="P615"/>
  <c r="P174"/>
  <c r="P514"/>
  <c r="P395"/>
  <c r="P624"/>
  <c r="P569"/>
  <c r="P9"/>
  <c r="Q404"/>
  <c r="Q505"/>
  <c r="Q624"/>
  <c r="Q229"/>
  <c r="Q450"/>
  <c r="Q174"/>
  <c r="Q615"/>
  <c r="Q569"/>
  <c r="Q560"/>
  <c r="Q293"/>
  <c r="Q18"/>
  <c r="Q339"/>
  <c r="Q73"/>
  <c r="Q284"/>
  <c r="Q459"/>
  <c r="Q348"/>
  <c r="Q514"/>
  <c r="Q9"/>
  <c r="Q119"/>
  <c r="Q64"/>
  <c r="Q395"/>
  <c r="O624"/>
  <c r="O395"/>
  <c r="O119"/>
  <c r="O459"/>
  <c r="O615"/>
  <c r="O348"/>
  <c r="O339"/>
  <c r="O560"/>
  <c r="O18"/>
  <c r="O174"/>
  <c r="O505"/>
  <c r="O404"/>
  <c r="O450"/>
  <c r="O293"/>
  <c r="O9"/>
  <c r="O64"/>
  <c r="O569"/>
  <c r="O284"/>
  <c r="O229"/>
  <c r="O514"/>
  <c r="O73"/>
  <c r="V615"/>
  <c r="V174"/>
  <c r="V293"/>
  <c r="V569"/>
  <c r="V560"/>
  <c r="V505"/>
  <c r="V450"/>
  <c r="V119"/>
  <c r="V459"/>
  <c r="V9"/>
  <c r="V395"/>
  <c r="V18"/>
  <c r="V514"/>
  <c r="V73"/>
  <c r="V404"/>
  <c r="V284"/>
  <c r="V339"/>
  <c r="V624"/>
  <c r="V348"/>
  <c r="V64"/>
  <c r="V229"/>
  <c r="O504" i="1"/>
  <c r="O601"/>
  <c r="F239" i="2"/>
  <c r="O101" i="1"/>
  <c r="V606"/>
  <c r="V161"/>
  <c r="V167" s="1"/>
  <c r="V605"/>
  <c r="V364"/>
  <c r="V151"/>
  <c r="V158" s="1"/>
  <c r="F1111" i="2"/>
  <c r="O602" i="1"/>
  <c r="O102"/>
  <c r="Q611"/>
  <c r="Q496"/>
  <c r="Q489"/>
  <c r="Q492"/>
  <c r="Q301"/>
  <c r="Q490"/>
  <c r="Q488"/>
  <c r="Q305"/>
  <c r="Q298"/>
  <c r="Q296"/>
  <c r="Q495"/>
  <c r="Q297"/>
  <c r="Q295"/>
  <c r="Q487"/>
  <c r="Q304"/>
  <c r="Q493"/>
  <c r="Q300"/>
  <c r="R611"/>
  <c r="R493"/>
  <c r="R298"/>
  <c r="R490"/>
  <c r="R487"/>
  <c r="R297"/>
  <c r="R304"/>
  <c r="R495"/>
  <c r="R488"/>
  <c r="R489"/>
  <c r="R492"/>
  <c r="R301"/>
  <c r="R295"/>
  <c r="R305"/>
  <c r="R300"/>
  <c r="R296"/>
  <c r="R496"/>
  <c r="Q205"/>
  <c r="L311"/>
  <c r="T612"/>
  <c r="T307"/>
  <c r="T537"/>
  <c r="T539" s="1"/>
  <c r="F417" i="2" s="1"/>
  <c r="T306" i="1"/>
  <c r="T529"/>
  <c r="T531" s="1"/>
  <c r="F361" i="2" s="1"/>
  <c r="T520" i="1"/>
  <c r="T498"/>
  <c r="T497"/>
  <c r="L299" i="2"/>
  <c r="M299"/>
  <c r="Q299"/>
  <c r="N299"/>
  <c r="O299"/>
  <c r="P299"/>
  <c r="R299"/>
  <c r="T299"/>
  <c r="U299"/>
  <c r="S299"/>
  <c r="V299"/>
  <c r="W299"/>
  <c r="X299"/>
  <c r="H299"/>
  <c r="J299"/>
  <c r="I299"/>
  <c r="K299"/>
  <c r="G299"/>
  <c r="L502" i="1"/>
  <c r="W375"/>
  <c r="V169" l="1"/>
  <c r="X438"/>
  <c r="W412"/>
  <c r="X576"/>
  <c r="X335" s="1"/>
  <c r="X341" s="1"/>
  <c r="X420"/>
  <c r="W515" i="2"/>
  <c r="W175"/>
  <c r="W625"/>
  <c r="W65"/>
  <c r="W10"/>
  <c r="W349"/>
  <c r="W74"/>
  <c r="W120"/>
  <c r="W340"/>
  <c r="W616"/>
  <c r="W451"/>
  <c r="W285"/>
  <c r="X405" i="1"/>
  <c r="X403"/>
  <c r="X214"/>
  <c r="X410"/>
  <c r="R309"/>
  <c r="R311" s="1"/>
  <c r="Q500"/>
  <c r="Q502" s="1"/>
  <c r="Q504" s="1"/>
  <c r="U205"/>
  <c r="X402"/>
  <c r="X406"/>
  <c r="X116"/>
  <c r="X577"/>
  <c r="X346" s="1"/>
  <c r="X353" s="1"/>
  <c r="X220"/>
  <c r="X404"/>
  <c r="W570" i="2"/>
  <c r="W294"/>
  <c r="W230"/>
  <c r="W460"/>
  <c r="W396"/>
  <c r="W1121"/>
  <c r="U340"/>
  <c r="U396"/>
  <c r="U10"/>
  <c r="U285"/>
  <c r="U451"/>
  <c r="U349"/>
  <c r="U561"/>
  <c r="U230"/>
  <c r="U294"/>
  <c r="U506"/>
  <c r="U120"/>
  <c r="U65"/>
  <c r="U616"/>
  <c r="U19"/>
  <c r="U175"/>
  <c r="U405"/>
  <c r="U625"/>
  <c r="U74"/>
  <c r="U570"/>
  <c r="U515"/>
  <c r="U460"/>
  <c r="X742"/>
  <c r="X744"/>
  <c r="X736"/>
  <c r="X734"/>
  <c r="X1152"/>
  <c r="X735"/>
  <c r="X741"/>
  <c r="X773"/>
  <c r="X675"/>
  <c r="X677"/>
  <c r="X733"/>
  <c r="X673"/>
  <c r="X775"/>
  <c r="X746"/>
  <c r="X1047"/>
  <c r="X932"/>
  <c r="X1050"/>
  <c r="X774"/>
  <c r="X973"/>
  <c r="X984" s="1"/>
  <c r="X772"/>
  <c r="X674"/>
  <c r="X776"/>
  <c r="X1044"/>
  <c r="X12" s="1"/>
  <c r="X771"/>
  <c r="X950" s="1"/>
  <c r="X1052"/>
  <c r="X743"/>
  <c r="X671"/>
  <c r="X737"/>
  <c r="X777"/>
  <c r="X738"/>
  <c r="X1051"/>
  <c r="Y2"/>
  <c r="X732"/>
  <c r="X676"/>
  <c r="X745"/>
  <c r="X680"/>
  <c r="X670"/>
  <c r="X785" s="1"/>
  <c r="X399"/>
  <c r="X398"/>
  <c r="X67"/>
  <c r="X289"/>
  <c r="X69"/>
  <c r="X1106"/>
  <c r="X357"/>
  <c r="X1120"/>
  <c r="X1121" s="1"/>
  <c r="X1122" s="1"/>
  <c r="X68"/>
  <c r="X413"/>
  <c r="X179"/>
  <c r="X564"/>
  <c r="X410"/>
  <c r="X27"/>
  <c r="X354"/>
  <c r="X302"/>
  <c r="X124"/>
  <c r="X604" i="1"/>
  <c r="X140"/>
  <c r="X146" s="1"/>
  <c r="T192"/>
  <c r="T205" s="1"/>
  <c r="W608"/>
  <c r="W208"/>
  <c r="W212"/>
  <c r="W209"/>
  <c r="W221"/>
  <c r="W219"/>
  <c r="W218"/>
  <c r="W211"/>
  <c r="W217"/>
  <c r="W215"/>
  <c r="W210"/>
  <c r="W216"/>
  <c r="X605"/>
  <c r="X151"/>
  <c r="X158" s="1"/>
  <c r="V610"/>
  <c r="V448"/>
  <c r="V450" s="1"/>
  <c r="V245"/>
  <c r="V255" s="1"/>
  <c r="V609"/>
  <c r="V228"/>
  <c r="V241" s="1"/>
  <c r="X362" i="2"/>
  <c r="O362"/>
  <c r="V362"/>
  <c r="P362"/>
  <c r="Y362"/>
  <c r="N362"/>
  <c r="H362"/>
  <c r="J362"/>
  <c r="M362"/>
  <c r="I362"/>
  <c r="T362"/>
  <c r="Q362"/>
  <c r="W362"/>
  <c r="L362"/>
  <c r="R362"/>
  <c r="K362"/>
  <c r="U362"/>
  <c r="S362"/>
  <c r="G362"/>
  <c r="R553" i="1"/>
  <c r="R313"/>
  <c r="F192" i="2"/>
  <c r="F244"/>
  <c r="T257" i="1"/>
  <c r="T259" s="1"/>
  <c r="S478"/>
  <c r="F630" i="2"/>
  <c r="L79"/>
  <c r="M79"/>
  <c r="T79"/>
  <c r="V79"/>
  <c r="O79"/>
  <c r="S79"/>
  <c r="N79"/>
  <c r="U79"/>
  <c r="W79"/>
  <c r="P79"/>
  <c r="Q79"/>
  <c r="R79"/>
  <c r="X79"/>
  <c r="Y79"/>
  <c r="H79"/>
  <c r="I79"/>
  <c r="J79"/>
  <c r="G79"/>
  <c r="K79"/>
  <c r="T61" i="1"/>
  <c r="T614"/>
  <c r="T521"/>
  <c r="N309"/>
  <c r="V192"/>
  <c r="V15"/>
  <c r="M361" i="2"/>
  <c r="L361"/>
  <c r="R361"/>
  <c r="S361"/>
  <c r="Q361"/>
  <c r="V361"/>
  <c r="X361"/>
  <c r="Y361"/>
  <c r="N361"/>
  <c r="U361"/>
  <c r="O361"/>
  <c r="P361"/>
  <c r="T361"/>
  <c r="W361"/>
  <c r="H361"/>
  <c r="I361"/>
  <c r="J361"/>
  <c r="G361"/>
  <c r="K361"/>
  <c r="Q261" i="1"/>
  <c r="F1113" i="2"/>
  <c r="AA1111"/>
  <c r="AB1111" s="1"/>
  <c r="W606" i="1"/>
  <c r="W161"/>
  <c r="W167" s="1"/>
  <c r="T611"/>
  <c r="T496"/>
  <c r="T490"/>
  <c r="T495"/>
  <c r="T488"/>
  <c r="T304"/>
  <c r="T295"/>
  <c r="T296"/>
  <c r="T487"/>
  <c r="T300"/>
  <c r="T492"/>
  <c r="T301"/>
  <c r="T297"/>
  <c r="T493"/>
  <c r="T298"/>
  <c r="T305"/>
  <c r="T489"/>
  <c r="O418" i="2"/>
  <c r="X418"/>
  <c r="P418"/>
  <c r="V418"/>
  <c r="Y418"/>
  <c r="N418"/>
  <c r="H418"/>
  <c r="M418"/>
  <c r="J418"/>
  <c r="I418"/>
  <c r="K418"/>
  <c r="R418"/>
  <c r="L418"/>
  <c r="Q418"/>
  <c r="U418"/>
  <c r="W418"/>
  <c r="T418"/>
  <c r="G418"/>
  <c r="S418"/>
  <c r="P313" i="1"/>
  <c r="P553"/>
  <c r="F185" i="2"/>
  <c r="U614" i="1"/>
  <c r="U61"/>
  <c r="U521"/>
  <c r="U523" s="1"/>
  <c r="W605"/>
  <c r="W364"/>
  <c r="W151"/>
  <c r="W158" s="1"/>
  <c r="W169" s="1"/>
  <c r="N500"/>
  <c r="L184" i="2"/>
  <c r="S184"/>
  <c r="U184"/>
  <c r="T184"/>
  <c r="P184"/>
  <c r="H184"/>
  <c r="N184"/>
  <c r="R184"/>
  <c r="Q184"/>
  <c r="G184"/>
  <c r="O184"/>
  <c r="I184"/>
  <c r="K184"/>
  <c r="W184"/>
  <c r="J184"/>
  <c r="V184"/>
  <c r="M184"/>
  <c r="X421" i="1"/>
  <c r="X461"/>
  <c r="X574"/>
  <c r="X324" s="1"/>
  <c r="X332" s="1"/>
  <c r="X409"/>
  <c r="X234"/>
  <c r="X419"/>
  <c r="X440"/>
  <c r="X213"/>
  <c r="X578"/>
  <c r="X356" s="1"/>
  <c r="X362" s="1"/>
  <c r="V203"/>
  <c r="L504"/>
  <c r="L601"/>
  <c r="F233" i="2"/>
  <c r="L101" i="1"/>
  <c r="W343"/>
  <c r="W603"/>
  <c r="W128"/>
  <c r="W137" s="1"/>
  <c r="S289"/>
  <c r="Y422"/>
  <c r="Y38"/>
  <c r="Y232" s="1"/>
  <c r="Y163"/>
  <c r="Y278"/>
  <c r="Y328"/>
  <c r="Y115"/>
  <c r="Y459"/>
  <c r="Y470"/>
  <c r="Y360"/>
  <c r="Y350"/>
  <c r="Y330"/>
  <c r="Y156"/>
  <c r="Z2"/>
  <c r="Y155"/>
  <c r="Y325"/>
  <c r="Y336"/>
  <c r="Y534"/>
  <c r="Y526"/>
  <c r="Y165"/>
  <c r="Y164"/>
  <c r="Y357"/>
  <c r="Y268"/>
  <c r="Y19"/>
  <c r="Y339"/>
  <c r="Y472"/>
  <c r="Y281"/>
  <c r="Y185"/>
  <c r="Y175"/>
  <c r="Y466"/>
  <c r="Y275"/>
  <c r="Y337"/>
  <c r="Y326"/>
  <c r="Y468"/>
  <c r="Y469"/>
  <c r="Y57"/>
  <c r="Y39"/>
  <c r="Y250" s="1"/>
  <c r="Y153"/>
  <c r="Y152"/>
  <c r="Y379"/>
  <c r="Y131"/>
  <c r="Y458"/>
  <c r="Y373"/>
  <c r="Y141"/>
  <c r="Y348"/>
  <c r="Y132"/>
  <c r="Y66"/>
  <c r="Y201"/>
  <c r="Y280"/>
  <c r="Y285"/>
  <c r="Y58"/>
  <c r="Y585"/>
  <c r="Y358"/>
  <c r="Y282"/>
  <c r="Y457"/>
  <c r="Y27"/>
  <c r="Y338"/>
  <c r="Y41"/>
  <c r="Y421" s="1"/>
  <c r="Y173"/>
  <c r="Y380"/>
  <c r="Y473"/>
  <c r="Y37"/>
  <c r="Y33"/>
  <c r="Y598" s="1"/>
  <c r="Y266"/>
  <c r="Y465"/>
  <c r="Y359"/>
  <c r="Y351"/>
  <c r="Y135"/>
  <c r="Y83"/>
  <c r="Y279"/>
  <c r="Y43"/>
  <c r="Y420" s="1"/>
  <c r="Y97"/>
  <c r="Y455"/>
  <c r="Y369"/>
  <c r="Y44"/>
  <c r="Y269"/>
  <c r="Y36"/>
  <c r="Y438" s="1"/>
  <c r="Y370"/>
  <c r="Y378"/>
  <c r="Y235"/>
  <c r="Y371"/>
  <c r="Y186"/>
  <c r="Y134"/>
  <c r="Y394"/>
  <c r="Y184"/>
  <c r="Y467"/>
  <c r="Y130"/>
  <c r="Y154"/>
  <c r="Y586"/>
  <c r="Y133"/>
  <c r="Y233"/>
  <c r="Y517"/>
  <c r="Y441"/>
  <c r="Y199"/>
  <c r="Y144"/>
  <c r="Y276"/>
  <c r="Y372"/>
  <c r="Y174"/>
  <c r="Y347"/>
  <c r="Y65"/>
  <c r="Y277"/>
  <c r="Y327"/>
  <c r="Y183"/>
  <c r="Y142"/>
  <c r="Y23"/>
  <c r="Y162"/>
  <c r="Y284"/>
  <c r="Y464"/>
  <c r="Y283"/>
  <c r="Y143"/>
  <c r="Y270"/>
  <c r="Y42"/>
  <c r="Y423" s="1"/>
  <c r="Y129"/>
  <c r="Y329"/>
  <c r="Y40"/>
  <c r="Y267"/>
  <c r="Y176"/>
  <c r="Y200"/>
  <c r="Y471"/>
  <c r="Y474"/>
  <c r="Y381"/>
  <c r="Y456"/>
  <c r="Y393"/>
  <c r="Y349"/>
  <c r="Y439"/>
  <c r="Y406"/>
  <c r="Y247"/>
  <c r="W198"/>
  <c r="W195"/>
  <c r="W197"/>
  <c r="W196"/>
  <c r="W392"/>
  <c r="W396" s="1"/>
  <c r="P602"/>
  <c r="P102"/>
  <c r="P104" s="1"/>
  <c r="F520" i="2"/>
  <c r="F575"/>
  <c r="M468"/>
  <c r="H468"/>
  <c r="L468"/>
  <c r="O468"/>
  <c r="P468"/>
  <c r="S468"/>
  <c r="V468"/>
  <c r="X468"/>
  <c r="Y468"/>
  <c r="N468"/>
  <c r="Q468"/>
  <c r="R468"/>
  <c r="U468"/>
  <c r="J468"/>
  <c r="T468"/>
  <c r="W468"/>
  <c r="I468"/>
  <c r="G468"/>
  <c r="K468"/>
  <c r="N602" i="1"/>
  <c r="N102"/>
  <c r="V612"/>
  <c r="V498"/>
  <c r="V307"/>
  <c r="V537"/>
  <c r="V539" s="1"/>
  <c r="F419" i="2" s="1"/>
  <c r="V529" i="1"/>
  <c r="V497"/>
  <c r="V306"/>
  <c r="V520"/>
  <c r="X476"/>
  <c r="V531"/>
  <c r="F363" i="2" s="1"/>
  <c r="X443" i="1"/>
  <c r="X375"/>
  <c r="X188"/>
  <c r="X527"/>
  <c r="X383"/>
  <c r="X84"/>
  <c r="X272"/>
  <c r="V387"/>
  <c r="U257"/>
  <c r="U259" s="1"/>
  <c r="V223"/>
  <c r="W604"/>
  <c r="W140"/>
  <c r="W146" s="1"/>
  <c r="P239" i="2"/>
  <c r="U239"/>
  <c r="L239"/>
  <c r="S239"/>
  <c r="T239"/>
  <c r="H239"/>
  <c r="I239"/>
  <c r="Q239"/>
  <c r="G239"/>
  <c r="V239"/>
  <c r="K239"/>
  <c r="O239"/>
  <c r="J239"/>
  <c r="W239"/>
  <c r="N239"/>
  <c r="M239"/>
  <c r="R239"/>
  <c r="W385" i="1"/>
  <c r="W607"/>
  <c r="W172"/>
  <c r="W178" s="1"/>
  <c r="W190" s="1"/>
  <c r="L417" i="2"/>
  <c r="M417"/>
  <c r="N417"/>
  <c r="R417"/>
  <c r="P417"/>
  <c r="T417"/>
  <c r="W417"/>
  <c r="O417"/>
  <c r="Q417"/>
  <c r="S417"/>
  <c r="X417"/>
  <c r="Y417"/>
  <c r="U417"/>
  <c r="V417"/>
  <c r="J417"/>
  <c r="H417"/>
  <c r="I417"/>
  <c r="G417"/>
  <c r="K417"/>
  <c r="L313" i="1"/>
  <c r="L553"/>
  <c r="F178" i="2"/>
  <c r="W597" i="1"/>
  <c r="W85"/>
  <c r="W67"/>
  <c r="W237"/>
  <c r="W117"/>
  <c r="W238"/>
  <c r="W528"/>
  <c r="W519"/>
  <c r="W424"/>
  <c r="W236"/>
  <c r="W59"/>
  <c r="W253"/>
  <c r="W425"/>
  <c r="W444"/>
  <c r="W580" s="1"/>
  <c r="W436" s="1"/>
  <c r="W446" s="1"/>
  <c r="W239"/>
  <c r="W56"/>
  <c r="W536"/>
  <c r="J98"/>
  <c r="F465" i="2"/>
  <c r="Q551" i="1"/>
  <c r="S600"/>
  <c r="S77"/>
  <c r="S80" s="1"/>
  <c r="S72"/>
  <c r="S109"/>
  <c r="S108"/>
  <c r="S110"/>
  <c r="S95"/>
  <c r="S96"/>
  <c r="F30" i="2"/>
  <c r="S107" i="1"/>
  <c r="F305" i="2"/>
  <c r="O599" i="1"/>
  <c r="O94"/>
  <c r="O98" s="1"/>
  <c r="U478"/>
  <c r="R500"/>
  <c r="R502" s="1"/>
  <c r="T523"/>
  <c r="Q309"/>
  <c r="O104"/>
  <c r="X517"/>
  <c r="X29"/>
  <c r="X407"/>
  <c r="X535"/>
  <c r="X583"/>
  <c r="X105" s="1"/>
  <c r="X46"/>
  <c r="X587"/>
  <c r="X408"/>
  <c r="X437"/>
  <c r="X248"/>
  <c r="X417"/>
  <c r="X287"/>
  <c r="W48"/>
  <c r="Y404" l="1"/>
  <c r="Y527"/>
  <c r="Y251"/>
  <c r="Y407"/>
  <c r="Y116"/>
  <c r="Y583"/>
  <c r="Y105" s="1"/>
  <c r="Y214"/>
  <c r="Y408"/>
  <c r="V257"/>
  <c r="X232" i="2"/>
  <c r="X565"/>
  <c r="X13"/>
  <c r="X508"/>
  <c r="X563"/>
  <c r="X343"/>
  <c r="X287"/>
  <c r="X454"/>
  <c r="X509"/>
  <c r="X177"/>
  <c r="X510"/>
  <c r="X14"/>
  <c r="X342"/>
  <c r="X453"/>
  <c r="X400"/>
  <c r="X234"/>
  <c r="X619"/>
  <c r="X122"/>
  <c r="X455"/>
  <c r="X620"/>
  <c r="X288"/>
  <c r="X344"/>
  <c r="X618"/>
  <c r="Q601" i="1"/>
  <c r="X412"/>
  <c r="O122"/>
  <c r="F129" i="2" s="1"/>
  <c r="L129" s="1"/>
  <c r="W579" i="1"/>
  <c r="W415" s="1"/>
  <c r="W427" s="1"/>
  <c r="Y252"/>
  <c r="Y230"/>
  <c r="Y188"/>
  <c r="Y440"/>
  <c r="Y249"/>
  <c r="Y419"/>
  <c r="Q101"/>
  <c r="S112"/>
  <c r="Y443"/>
  <c r="X404" i="2"/>
  <c r="X348"/>
  <c r="X174"/>
  <c r="X229"/>
  <c r="X569"/>
  <c r="X514"/>
  <c r="X9"/>
  <c r="X459"/>
  <c r="X293"/>
  <c r="X450"/>
  <c r="X119"/>
  <c r="X615"/>
  <c r="X624"/>
  <c r="X395"/>
  <c r="X284"/>
  <c r="X18"/>
  <c r="X560"/>
  <c r="X64"/>
  <c r="X339"/>
  <c r="X505"/>
  <c r="X73"/>
  <c r="W1122"/>
  <c r="X1107"/>
  <c r="Y932"/>
  <c r="Y1052"/>
  <c r="Y772"/>
  <c r="Y742"/>
  <c r="Y744"/>
  <c r="Y735"/>
  <c r="Y677"/>
  <c r="Y674"/>
  <c r="Y774"/>
  <c r="Y777"/>
  <c r="Y1152"/>
  <c r="Y741"/>
  <c r="Y1050"/>
  <c r="Y1047"/>
  <c r="Y675"/>
  <c r="Y773"/>
  <c r="Z2"/>
  <c r="Y736"/>
  <c r="Y1044"/>
  <c r="Y671" s="1"/>
  <c r="Y738"/>
  <c r="Y734"/>
  <c r="Y775"/>
  <c r="Y737"/>
  <c r="Y776"/>
  <c r="Y673"/>
  <c r="Y676"/>
  <c r="Y1051"/>
  <c r="Y746"/>
  <c r="Y973"/>
  <c r="Y984" s="1"/>
  <c r="Y771"/>
  <c r="Y950" s="1"/>
  <c r="Y680"/>
  <c r="Y670"/>
  <c r="Y785" s="1"/>
  <c r="Y732"/>
  <c r="Y733"/>
  <c r="Y745"/>
  <c r="Y743"/>
  <c r="Y1106"/>
  <c r="Y1107" s="1"/>
  <c r="Y1108" s="1"/>
  <c r="Y1120"/>
  <c r="Y1121" s="1"/>
  <c r="Y413"/>
  <c r="Y357"/>
  <c r="Y410"/>
  <c r="Y1122"/>
  <c r="Y459" s="1"/>
  <c r="Y354"/>
  <c r="Y302"/>
  <c r="Y27"/>
  <c r="Y505"/>
  <c r="Y633"/>
  <c r="Y578"/>
  <c r="Y299"/>
  <c r="Y284"/>
  <c r="Y416"/>
  <c r="Y360"/>
  <c r="Y24"/>
  <c r="Y514"/>
  <c r="Y523"/>
  <c r="Y82"/>
  <c r="W609" i="1"/>
  <c r="W228"/>
  <c r="W241" s="1"/>
  <c r="X608"/>
  <c r="X211"/>
  <c r="X219"/>
  <c r="X209"/>
  <c r="X221"/>
  <c r="X208"/>
  <c r="X218"/>
  <c r="X215"/>
  <c r="X210"/>
  <c r="X212"/>
  <c r="X217"/>
  <c r="X216"/>
  <c r="G419" i="2"/>
  <c r="H419"/>
  <c r="J419"/>
  <c r="K419"/>
  <c r="L419"/>
  <c r="I419"/>
  <c r="M419"/>
  <c r="P419"/>
  <c r="T419"/>
  <c r="W419"/>
  <c r="N419"/>
  <c r="O419"/>
  <c r="U419"/>
  <c r="Z419"/>
  <c r="R419"/>
  <c r="S419"/>
  <c r="V419"/>
  <c r="Y419"/>
  <c r="Q419"/>
  <c r="X419"/>
  <c r="W448" i="1"/>
  <c r="W450" s="1"/>
  <c r="W610"/>
  <c r="W245"/>
  <c r="W255" s="1"/>
  <c r="U129" i="2"/>
  <c r="H129"/>
  <c r="V129"/>
  <c r="R129"/>
  <c r="S91" i="1"/>
  <c r="F85" i="2" s="1"/>
  <c r="S299" i="1"/>
  <c r="S545"/>
  <c r="F581" i="2" s="1"/>
  <c r="S491" i="1"/>
  <c r="S494"/>
  <c r="S549"/>
  <c r="S302"/>
  <c r="S543"/>
  <c r="S303"/>
  <c r="S547"/>
  <c r="S541"/>
  <c r="L178" i="2"/>
  <c r="V178"/>
  <c r="S178"/>
  <c r="X178"/>
  <c r="N178"/>
  <c r="W178"/>
  <c r="M178"/>
  <c r="K178"/>
  <c r="J178"/>
  <c r="T178"/>
  <c r="G178"/>
  <c r="Q178"/>
  <c r="H178"/>
  <c r="I178"/>
  <c r="P178"/>
  <c r="R178"/>
  <c r="O178"/>
  <c r="U178"/>
  <c r="F180"/>
  <c r="S602" i="1"/>
  <c r="S102"/>
  <c r="X606"/>
  <c r="X161"/>
  <c r="X167" s="1"/>
  <c r="X603"/>
  <c r="X343"/>
  <c r="X128"/>
  <c r="X137" s="1"/>
  <c r="X148" s="1"/>
  <c r="H1113" i="2"/>
  <c r="H1114" s="1"/>
  <c r="U1113"/>
  <c r="U1114" s="1"/>
  <c r="Y1113"/>
  <c r="Y1114" s="1"/>
  <c r="Z1113"/>
  <c r="Z1114" s="1"/>
  <c r="N1113"/>
  <c r="N1114" s="1"/>
  <c r="G1113"/>
  <c r="M1113"/>
  <c r="M1114" s="1"/>
  <c r="R1113"/>
  <c r="R1114" s="1"/>
  <c r="V1113"/>
  <c r="V1114" s="1"/>
  <c r="W1113"/>
  <c r="W1114" s="1"/>
  <c r="F1114"/>
  <c r="J1113"/>
  <c r="J1114" s="1"/>
  <c r="P1113"/>
  <c r="P1114" s="1"/>
  <c r="X1113"/>
  <c r="X1114" s="1"/>
  <c r="O1113"/>
  <c r="O1114" s="1"/>
  <c r="I1113"/>
  <c r="I1114" s="1"/>
  <c r="Q1113"/>
  <c r="Q1114" s="1"/>
  <c r="S1113"/>
  <c r="S1114" s="1"/>
  <c r="T1113"/>
  <c r="T1114" s="1"/>
  <c r="T1115" s="1"/>
  <c r="K1113"/>
  <c r="K1114" s="1"/>
  <c r="L1113"/>
  <c r="L1114" s="1"/>
  <c r="T600" i="1"/>
  <c r="T77"/>
  <c r="T80" s="1"/>
  <c r="T72"/>
  <c r="T95"/>
  <c r="T109"/>
  <c r="T108"/>
  <c r="T96"/>
  <c r="T110"/>
  <c r="F31" i="2"/>
  <c r="T107" i="1"/>
  <c r="I192" i="2"/>
  <c r="N192"/>
  <c r="X192"/>
  <c r="Z192"/>
  <c r="Y192"/>
  <c r="H192"/>
  <c r="R192"/>
  <c r="U192"/>
  <c r="S192"/>
  <c r="T192"/>
  <c r="V192"/>
  <c r="W192"/>
  <c r="L192"/>
  <c r="M192"/>
  <c r="Q192"/>
  <c r="J192"/>
  <c r="O192"/>
  <c r="P192"/>
  <c r="G192"/>
  <c r="K192"/>
  <c r="Y375" i="1"/>
  <c r="Y402"/>
  <c r="Y418"/>
  <c r="Y234"/>
  <c r="Y29"/>
  <c r="Y574"/>
  <c r="Y324" s="1"/>
  <c r="Y332" s="1"/>
  <c r="W387"/>
  <c r="V452"/>
  <c r="X364"/>
  <c r="X597"/>
  <c r="X238"/>
  <c r="X85"/>
  <c r="X237"/>
  <c r="X424"/>
  <c r="X59"/>
  <c r="X56"/>
  <c r="X519"/>
  <c r="X444"/>
  <c r="X239"/>
  <c r="X253"/>
  <c r="X425"/>
  <c r="X117"/>
  <c r="X536"/>
  <c r="X528"/>
  <c r="X67"/>
  <c r="X236"/>
  <c r="X197"/>
  <c r="X196"/>
  <c r="X195"/>
  <c r="X198"/>
  <c r="X392"/>
  <c r="X396" s="1"/>
  <c r="M465" i="2"/>
  <c r="L465"/>
  <c r="O465"/>
  <c r="P465"/>
  <c r="R465"/>
  <c r="S465"/>
  <c r="W465"/>
  <c r="Y465"/>
  <c r="T465"/>
  <c r="V465"/>
  <c r="X465"/>
  <c r="Z465"/>
  <c r="N465"/>
  <c r="Q465"/>
  <c r="U465"/>
  <c r="I465"/>
  <c r="J465"/>
  <c r="H465"/>
  <c r="K465"/>
  <c r="G465"/>
  <c r="G363"/>
  <c r="M363"/>
  <c r="I363"/>
  <c r="J363"/>
  <c r="K363"/>
  <c r="L363"/>
  <c r="H363"/>
  <c r="R363"/>
  <c r="T363"/>
  <c r="U363"/>
  <c r="Y363"/>
  <c r="N363"/>
  <c r="P363"/>
  <c r="W363"/>
  <c r="X363"/>
  <c r="O363"/>
  <c r="Q363"/>
  <c r="V363"/>
  <c r="S363"/>
  <c r="Z363"/>
  <c r="L575"/>
  <c r="M575"/>
  <c r="V575"/>
  <c r="Z575"/>
  <c r="N575"/>
  <c r="P575"/>
  <c r="T575"/>
  <c r="U575"/>
  <c r="O575"/>
  <c r="Q575"/>
  <c r="R575"/>
  <c r="S575"/>
  <c r="W575"/>
  <c r="X575"/>
  <c r="Y575"/>
  <c r="H575"/>
  <c r="I575"/>
  <c r="J575"/>
  <c r="K575"/>
  <c r="G575"/>
  <c r="U600" i="1"/>
  <c r="U77"/>
  <c r="U80" s="1"/>
  <c r="U72"/>
  <c r="U109"/>
  <c r="U95"/>
  <c r="U110"/>
  <c r="U96"/>
  <c r="U108"/>
  <c r="U107"/>
  <c r="F32" i="2"/>
  <c r="P599" i="1"/>
  <c r="P94"/>
  <c r="P98" s="1"/>
  <c r="P122" s="1"/>
  <c r="F130" i="2" s="1"/>
  <c r="L630"/>
  <c r="M630"/>
  <c r="N630"/>
  <c r="R630"/>
  <c r="S630"/>
  <c r="P630"/>
  <c r="Q630"/>
  <c r="T630"/>
  <c r="Z630"/>
  <c r="O630"/>
  <c r="U630"/>
  <c r="W630"/>
  <c r="X630"/>
  <c r="V630"/>
  <c r="Y630"/>
  <c r="I630"/>
  <c r="H630"/>
  <c r="J630"/>
  <c r="G630"/>
  <c r="K630"/>
  <c r="W203" i="1"/>
  <c r="Y577"/>
  <c r="Y346" s="1"/>
  <c r="Y353" s="1"/>
  <c r="Y409"/>
  <c r="Y246"/>
  <c r="Y442"/>
  <c r="Y248"/>
  <c r="Y229"/>
  <c r="Y84"/>
  <c r="Y231"/>
  <c r="Y576"/>
  <c r="Y335" s="1"/>
  <c r="Y341" s="1"/>
  <c r="U261"/>
  <c r="W223"/>
  <c r="U611"/>
  <c r="U296"/>
  <c r="U492"/>
  <c r="U487"/>
  <c r="U295"/>
  <c r="U488"/>
  <c r="U493"/>
  <c r="U496"/>
  <c r="U298"/>
  <c r="U490"/>
  <c r="U297"/>
  <c r="U305"/>
  <c r="U301"/>
  <c r="U300"/>
  <c r="U304"/>
  <c r="U495"/>
  <c r="U489"/>
  <c r="F306" i="2"/>
  <c r="R601" i="1"/>
  <c r="R504"/>
  <c r="R101"/>
  <c r="R104" s="1"/>
  <c r="F247" i="2"/>
  <c r="N305"/>
  <c r="L305"/>
  <c r="U305"/>
  <c r="V305"/>
  <c r="W305"/>
  <c r="Y305"/>
  <c r="P305"/>
  <c r="O305"/>
  <c r="R305"/>
  <c r="T305"/>
  <c r="M305"/>
  <c r="Q305"/>
  <c r="S305"/>
  <c r="X305"/>
  <c r="Z305"/>
  <c r="I305"/>
  <c r="H305"/>
  <c r="J305"/>
  <c r="G305"/>
  <c r="K305"/>
  <c r="L599" i="1"/>
  <c r="L94"/>
  <c r="X607"/>
  <c r="X385"/>
  <c r="X172"/>
  <c r="X178" s="1"/>
  <c r="X190" s="1"/>
  <c r="Z458"/>
  <c r="Z327"/>
  <c r="Z534"/>
  <c r="Z132"/>
  <c r="Z285"/>
  <c r="Z23"/>
  <c r="Z360"/>
  <c r="Z338"/>
  <c r="Z276"/>
  <c r="Z266"/>
  <c r="Z471"/>
  <c r="Z270"/>
  <c r="Z472"/>
  <c r="Z393"/>
  <c r="Z66"/>
  <c r="Z380"/>
  <c r="Z585"/>
  <c r="Z587" s="1"/>
  <c r="Z195" s="1"/>
  <c r="Z278"/>
  <c r="Z336"/>
  <c r="Z348"/>
  <c r="Z36"/>
  <c r="Z247" s="1"/>
  <c r="Z329"/>
  <c r="Z58"/>
  <c r="Z465"/>
  <c r="Z369"/>
  <c r="Z131"/>
  <c r="Z373"/>
  <c r="Z39"/>
  <c r="Z441" s="1"/>
  <c r="Z526"/>
  <c r="Z142"/>
  <c r="Z359"/>
  <c r="Z468"/>
  <c r="Z350"/>
  <c r="Z381"/>
  <c r="Z379"/>
  <c r="Z370"/>
  <c r="Z97"/>
  <c r="Z42"/>
  <c r="Z423" s="1"/>
  <c r="Z586"/>
  <c r="Z466"/>
  <c r="Z83"/>
  <c r="Z282"/>
  <c r="Z156"/>
  <c r="Z44"/>
  <c r="Z459"/>
  <c r="Z115"/>
  <c r="Z337"/>
  <c r="Z325"/>
  <c r="Z176"/>
  <c r="Z474"/>
  <c r="Z40"/>
  <c r="Z281"/>
  <c r="Z135"/>
  <c r="Z516"/>
  <c r="Z470"/>
  <c r="Z183"/>
  <c r="Z469"/>
  <c r="Z275"/>
  <c r="Z347"/>
  <c r="Z162"/>
  <c r="Z235"/>
  <c r="Z65"/>
  <c r="Z163"/>
  <c r="Z392"/>
  <c r="Z396" s="1"/>
  <c r="Z38"/>
  <c r="Z419" s="1"/>
  <c r="Z339"/>
  <c r="Z57"/>
  <c r="Z330"/>
  <c r="Z185"/>
  <c r="Z515"/>
  <c r="Z456"/>
  <c r="Z144"/>
  <c r="Z141"/>
  <c r="Z37"/>
  <c r="Z231" s="1"/>
  <c r="Z27"/>
  <c r="Z277"/>
  <c r="Z349"/>
  <c r="Z279"/>
  <c r="Z152"/>
  <c r="Z514"/>
  <c r="Z130"/>
  <c r="Z267"/>
  <c r="Z164"/>
  <c r="Z326"/>
  <c r="Z328"/>
  <c r="Z175"/>
  <c r="Z378"/>
  <c r="Z186"/>
  <c r="Z154"/>
  <c r="Z358"/>
  <c r="Z133"/>
  <c r="Z284"/>
  <c r="Z173"/>
  <c r="Z230"/>
  <c r="Z371"/>
  <c r="Z19"/>
  <c r="Z372"/>
  <c r="Z153"/>
  <c r="Z280"/>
  <c r="Z201"/>
  <c r="Z200"/>
  <c r="Z184"/>
  <c r="Z41"/>
  <c r="Z421" s="1"/>
  <c r="Z155"/>
  <c r="Z33"/>
  <c r="Z409" s="1"/>
  <c r="Z394"/>
  <c r="Z357"/>
  <c r="Z422"/>
  <c r="Z283"/>
  <c r="Z199"/>
  <c r="Z43"/>
  <c r="Z442" s="1"/>
  <c r="Z134"/>
  <c r="Z467"/>
  <c r="Z129"/>
  <c r="Z165"/>
  <c r="Z174"/>
  <c r="Z464"/>
  <c r="Z143"/>
  <c r="Z269"/>
  <c r="AA2"/>
  <c r="Z351"/>
  <c r="Z250"/>
  <c r="Z457"/>
  <c r="Z455"/>
  <c r="Z268"/>
  <c r="Z473"/>
  <c r="Z416"/>
  <c r="K233" i="2"/>
  <c r="S233"/>
  <c r="X233"/>
  <c r="M233"/>
  <c r="N233"/>
  <c r="W233"/>
  <c r="V233"/>
  <c r="L233"/>
  <c r="T233"/>
  <c r="I233"/>
  <c r="H233"/>
  <c r="J233"/>
  <c r="G233"/>
  <c r="Q233"/>
  <c r="R233"/>
  <c r="O233"/>
  <c r="P233"/>
  <c r="U233"/>
  <c r="F235"/>
  <c r="N502" i="1"/>
  <c r="F307" i="2"/>
  <c r="Q311" i="1"/>
  <c r="Q289"/>
  <c r="S611"/>
  <c r="S489"/>
  <c r="S490"/>
  <c r="S492"/>
  <c r="S301"/>
  <c r="S495"/>
  <c r="S496"/>
  <c r="S297"/>
  <c r="S493"/>
  <c r="S298"/>
  <c r="S488"/>
  <c r="S487"/>
  <c r="S296"/>
  <c r="S295"/>
  <c r="S304"/>
  <c r="S305"/>
  <c r="S300"/>
  <c r="Y476"/>
  <c r="Y383"/>
  <c r="Y272"/>
  <c r="Y417"/>
  <c r="Y535"/>
  <c r="Y587"/>
  <c r="Y220"/>
  <c r="Y410"/>
  <c r="Y405"/>
  <c r="Y578"/>
  <c r="Y356" s="1"/>
  <c r="Y362" s="1"/>
  <c r="W148"/>
  <c r="W192" s="1"/>
  <c r="V205"/>
  <c r="V261" s="1"/>
  <c r="X169"/>
  <c r="T261"/>
  <c r="W596"/>
  <c r="W11"/>
  <c r="W13"/>
  <c r="W87"/>
  <c r="W55"/>
  <c r="W118"/>
  <c r="W120" s="1"/>
  <c r="W86"/>
  <c r="W52"/>
  <c r="W10"/>
  <c r="W54"/>
  <c r="W12"/>
  <c r="W9"/>
  <c r="W68"/>
  <c r="W70" s="1"/>
  <c r="W78" s="1"/>
  <c r="X613"/>
  <c r="X48"/>
  <c r="X516"/>
  <c r="X514"/>
  <c r="X515"/>
  <c r="M30" i="2"/>
  <c r="O30"/>
  <c r="S30"/>
  <c r="T30"/>
  <c r="U30"/>
  <c r="V30"/>
  <c r="X30"/>
  <c r="Y30"/>
  <c r="Q30"/>
  <c r="W30"/>
  <c r="P30"/>
  <c r="Z30"/>
  <c r="L30"/>
  <c r="N30"/>
  <c r="R30"/>
  <c r="I30"/>
  <c r="H30"/>
  <c r="J30"/>
  <c r="K30"/>
  <c r="G30"/>
  <c r="J122" i="1"/>
  <c r="L520" i="2"/>
  <c r="M520"/>
  <c r="S520"/>
  <c r="X520"/>
  <c r="T520"/>
  <c r="W520"/>
  <c r="Y520"/>
  <c r="Z520"/>
  <c r="P520"/>
  <c r="Q520"/>
  <c r="N520"/>
  <c r="O520"/>
  <c r="R520"/>
  <c r="U520"/>
  <c r="V520"/>
  <c r="I520"/>
  <c r="J520"/>
  <c r="H520"/>
  <c r="K520"/>
  <c r="G520"/>
  <c r="L104" i="1"/>
  <c r="V614"/>
  <c r="V61"/>
  <c r="V521"/>
  <c r="V523" s="1"/>
  <c r="N311"/>
  <c r="L244" i="2"/>
  <c r="M244"/>
  <c r="W244"/>
  <c r="X244"/>
  <c r="Y244"/>
  <c r="O244"/>
  <c r="Q244"/>
  <c r="Z244"/>
  <c r="N244"/>
  <c r="P244"/>
  <c r="R244"/>
  <c r="S244"/>
  <c r="T244"/>
  <c r="U244"/>
  <c r="V244"/>
  <c r="J244"/>
  <c r="I244"/>
  <c r="H244"/>
  <c r="K244"/>
  <c r="G244"/>
  <c r="R599" i="1"/>
  <c r="R94"/>
  <c r="R98" s="1"/>
  <c r="R122" s="1"/>
  <c r="F137" i="2" s="1"/>
  <c r="X580" i="1"/>
  <c r="X436" s="1"/>
  <c r="X446" s="1"/>
  <c r="W89"/>
  <c r="Y46"/>
  <c r="Y461"/>
  <c r="Y437"/>
  <c r="Y403"/>
  <c r="Y416"/>
  <c r="Y213"/>
  <c r="Y518"/>
  <c r="Y287"/>
  <c r="V259"/>
  <c r="Z229" l="1"/>
  <c r="Z383"/>
  <c r="W129" i="2"/>
  <c r="K129"/>
  <c r="I129"/>
  <c r="S129"/>
  <c r="W15" i="1"/>
  <c r="Y233" i="2"/>
  <c r="Z418" i="1"/>
  <c r="U112"/>
  <c r="G129" i="2"/>
  <c r="M129"/>
  <c r="J129"/>
  <c r="P129"/>
  <c r="T129"/>
  <c r="Z404" i="1"/>
  <c r="Z248"/>
  <c r="N129" i="2"/>
  <c r="O129"/>
  <c r="Q129"/>
  <c r="Y179"/>
  <c r="Y342"/>
  <c r="Y229"/>
  <c r="Y68"/>
  <c r="Y232"/>
  <c r="Y398"/>
  <c r="Y509"/>
  <c r="Y14"/>
  <c r="Y287"/>
  <c r="Y178"/>
  <c r="Y564"/>
  <c r="Y234"/>
  <c r="Y177"/>
  <c r="Y510"/>
  <c r="Y288"/>
  <c r="Y67"/>
  <c r="Y563"/>
  <c r="Y399"/>
  <c r="Y12"/>
  <c r="Y122"/>
  <c r="Y619"/>
  <c r="Y565"/>
  <c r="Y620"/>
  <c r="Y13"/>
  <c r="Y508"/>
  <c r="Y344"/>
  <c r="Y343"/>
  <c r="Y124"/>
  <c r="Y454"/>
  <c r="Y455"/>
  <c r="Y69"/>
  <c r="Y289"/>
  <c r="Y453"/>
  <c r="Y618"/>
  <c r="Y400"/>
  <c r="Z246" i="1"/>
  <c r="Z535"/>
  <c r="Z438"/>
  <c r="Z437"/>
  <c r="Z518"/>
  <c r="Z251"/>
  <c r="Z220"/>
  <c r="Z527"/>
  <c r="X1115" i="2"/>
  <c r="Y560"/>
  <c r="Y73"/>
  <c r="Y339"/>
  <c r="Y615"/>
  <c r="Z213" i="1"/>
  <c r="Z406"/>
  <c r="X387"/>
  <c r="Z198"/>
  <c r="Z196"/>
  <c r="Z476"/>
  <c r="Z197"/>
  <c r="Z410"/>
  <c r="Z417"/>
  <c r="I1115" i="2"/>
  <c r="J1115"/>
  <c r="R1115"/>
  <c r="Y404"/>
  <c r="Y174"/>
  <c r="Y119"/>
  <c r="Y450"/>
  <c r="Y293"/>
  <c r="Y9"/>
  <c r="Z214" i="1"/>
  <c r="Z402"/>
  <c r="Z574"/>
  <c r="Z324" s="1"/>
  <c r="Z332" s="1"/>
  <c r="X579"/>
  <c r="X415" s="1"/>
  <c r="X427" s="1"/>
  <c r="L1115" i="2"/>
  <c r="V1115"/>
  <c r="Y18"/>
  <c r="Y64"/>
  <c r="Y348"/>
  <c r="Y569"/>
  <c r="Y624"/>
  <c r="Y395"/>
  <c r="Y285"/>
  <c r="Y561"/>
  <c r="Y515"/>
  <c r="Y175"/>
  <c r="Y405"/>
  <c r="Y460"/>
  <c r="Y10"/>
  <c r="Y340"/>
  <c r="Y451"/>
  <c r="Y506"/>
  <c r="Y129"/>
  <c r="Y65"/>
  <c r="Y120"/>
  <c r="Y19"/>
  <c r="Y74"/>
  <c r="Y616"/>
  <c r="Y570"/>
  <c r="Y625"/>
  <c r="Y396"/>
  <c r="Y230"/>
  <c r="Y294"/>
  <c r="Y349"/>
  <c r="Y184"/>
  <c r="Y239"/>
  <c r="X1108"/>
  <c r="W9"/>
  <c r="W119"/>
  <c r="W18"/>
  <c r="W560"/>
  <c r="W64"/>
  <c r="W339"/>
  <c r="W395"/>
  <c r="W615"/>
  <c r="W174"/>
  <c r="W348"/>
  <c r="W293"/>
  <c r="W624"/>
  <c r="W450"/>
  <c r="W229"/>
  <c r="W73"/>
  <c r="W505"/>
  <c r="W284"/>
  <c r="W569"/>
  <c r="W459"/>
  <c r="W404"/>
  <c r="W514"/>
  <c r="Z973"/>
  <c r="Z984" s="1"/>
  <c r="Z673"/>
  <c r="AA673" s="1"/>
  <c r="AB673" s="1"/>
  <c r="Z735"/>
  <c r="AA735" s="1"/>
  <c r="AB735" s="1"/>
  <c r="Z738"/>
  <c r="AA738" s="1"/>
  <c r="AB738" s="1"/>
  <c r="Z1047"/>
  <c r="AA1047" s="1"/>
  <c r="AB1047" s="1"/>
  <c r="Z1044"/>
  <c r="Z399" s="1"/>
  <c r="AA399" s="1"/>
  <c r="AB399" s="1"/>
  <c r="Z734"/>
  <c r="AA734" s="1"/>
  <c r="AB734" s="1"/>
  <c r="Z676"/>
  <c r="AA676" s="1"/>
  <c r="AB676" s="1"/>
  <c r="AA2"/>
  <c r="AB2" s="1"/>
  <c r="Z675"/>
  <c r="AA675" s="1"/>
  <c r="AB675" s="1"/>
  <c r="Z1051"/>
  <c r="AA1051" s="1"/>
  <c r="AB1051" s="1"/>
  <c r="Z1050"/>
  <c r="AA1050" s="1"/>
  <c r="AB1050" s="1"/>
  <c r="Z677"/>
  <c r="AA677" s="1"/>
  <c r="AB677" s="1"/>
  <c r="Z674"/>
  <c r="AA674" s="1"/>
  <c r="AB674" s="1"/>
  <c r="Z741"/>
  <c r="AA741" s="1"/>
  <c r="AB741" s="1"/>
  <c r="Z736"/>
  <c r="AA736" s="1"/>
  <c r="AB736" s="1"/>
  <c r="Z742"/>
  <c r="AA742" s="1"/>
  <c r="AB742" s="1"/>
  <c r="Z744"/>
  <c r="AA744" s="1"/>
  <c r="AB744" s="1"/>
  <c r="Z772"/>
  <c r="AA772" s="1"/>
  <c r="AB772" s="1"/>
  <c r="Z777"/>
  <c r="AA777" s="1"/>
  <c r="AB777" s="1"/>
  <c r="Z1152"/>
  <c r="AA1152" s="1"/>
  <c r="AB1152" s="1"/>
  <c r="Z771"/>
  <c r="Z932"/>
  <c r="Z773"/>
  <c r="AA773" s="1"/>
  <c r="AB773" s="1"/>
  <c r="Z775"/>
  <c r="AA775" s="1"/>
  <c r="AB775" s="1"/>
  <c r="Z774"/>
  <c r="AA774" s="1"/>
  <c r="AB774" s="1"/>
  <c r="Z1052"/>
  <c r="AA1052" s="1"/>
  <c r="AB1052" s="1"/>
  <c r="Z776"/>
  <c r="AA776" s="1"/>
  <c r="AB776" s="1"/>
  <c r="Z737"/>
  <c r="AA737" s="1"/>
  <c r="AB737" s="1"/>
  <c r="Z733"/>
  <c r="AA733" s="1"/>
  <c r="AB733" s="1"/>
  <c r="Z745"/>
  <c r="AA745" s="1"/>
  <c r="AB745" s="1"/>
  <c r="Z746"/>
  <c r="AA746" s="1"/>
  <c r="AB746" s="1"/>
  <c r="Z680"/>
  <c r="AA680" s="1"/>
  <c r="AB680" s="1"/>
  <c r="Z732"/>
  <c r="AA732" s="1"/>
  <c r="AB732" s="1"/>
  <c r="Z670"/>
  <c r="Z743"/>
  <c r="AA743" s="1"/>
  <c r="AB743" s="1"/>
  <c r="Z343"/>
  <c r="AA343" s="1"/>
  <c r="AB343" s="1"/>
  <c r="Z453"/>
  <c r="AA453" s="1"/>
  <c r="AB453" s="1"/>
  <c r="Z342"/>
  <c r="AA342" s="1"/>
  <c r="AB342" s="1"/>
  <c r="Z13"/>
  <c r="AA13" s="1"/>
  <c r="AB13" s="1"/>
  <c r="Z620"/>
  <c r="AA620" s="1"/>
  <c r="AB620" s="1"/>
  <c r="Z1106"/>
  <c r="Z1107" s="1"/>
  <c r="AA1107" s="1"/>
  <c r="AB1107" s="1"/>
  <c r="Z413"/>
  <c r="AA413" s="1"/>
  <c r="AB413" s="1"/>
  <c r="Z509"/>
  <c r="AA509" s="1"/>
  <c r="AB509" s="1"/>
  <c r="Z410"/>
  <c r="AA410" s="1"/>
  <c r="AB410" s="1"/>
  <c r="Z68"/>
  <c r="AA68" s="1"/>
  <c r="AB68" s="1"/>
  <c r="Z357"/>
  <c r="AA357" s="1"/>
  <c r="AB357" s="1"/>
  <c r="Z1120"/>
  <c r="Z1121" s="1"/>
  <c r="AA1121" s="1"/>
  <c r="AB1121" s="1"/>
  <c r="Z179"/>
  <c r="AA179" s="1"/>
  <c r="AB179" s="1"/>
  <c r="Z122"/>
  <c r="AA122" s="1"/>
  <c r="AB122" s="1"/>
  <c r="Z27"/>
  <c r="AA27" s="1"/>
  <c r="AB27" s="1"/>
  <c r="Z354"/>
  <c r="AA354" s="1"/>
  <c r="AB354" s="1"/>
  <c r="Z302"/>
  <c r="AA302" s="1"/>
  <c r="AB302" s="1"/>
  <c r="Z578"/>
  <c r="AA578" s="1"/>
  <c r="AB578" s="1"/>
  <c r="Z360"/>
  <c r="AA360" s="1"/>
  <c r="AB360" s="1"/>
  <c r="Z299"/>
  <c r="AA299" s="1"/>
  <c r="AB299" s="1"/>
  <c r="Z633"/>
  <c r="AA633" s="1"/>
  <c r="AB633" s="1"/>
  <c r="Z523"/>
  <c r="AA523" s="1"/>
  <c r="AB523" s="1"/>
  <c r="Z24"/>
  <c r="AA24" s="1"/>
  <c r="AB24" s="1"/>
  <c r="Z82"/>
  <c r="AA82" s="1"/>
  <c r="AB82" s="1"/>
  <c r="Z416"/>
  <c r="AA416" s="1"/>
  <c r="AB416" s="1"/>
  <c r="Z362"/>
  <c r="AA362" s="1"/>
  <c r="AB362" s="1"/>
  <c r="Z417"/>
  <c r="AA417" s="1"/>
  <c r="AB417" s="1"/>
  <c r="Z79"/>
  <c r="AA79" s="1"/>
  <c r="AB79" s="1"/>
  <c r="Z361"/>
  <c r="AA361" s="1"/>
  <c r="AB361" s="1"/>
  <c r="Z418"/>
  <c r="AA418" s="1"/>
  <c r="AB418" s="1"/>
  <c r="Z468"/>
  <c r="AA468" s="1"/>
  <c r="AB468" s="1"/>
  <c r="AA575"/>
  <c r="AB575" s="1"/>
  <c r="H1115"/>
  <c r="X609" i="1"/>
  <c r="X228"/>
  <c r="X241" s="1"/>
  <c r="Z603"/>
  <c r="Z128"/>
  <c r="Z137" s="1"/>
  <c r="O137" i="2"/>
  <c r="U137"/>
  <c r="W137"/>
  <c r="Z137"/>
  <c r="J137"/>
  <c r="N137"/>
  <c r="S137"/>
  <c r="T137"/>
  <c r="X137"/>
  <c r="Y137"/>
  <c r="R137"/>
  <c r="I137"/>
  <c r="M137"/>
  <c r="Q137"/>
  <c r="H137"/>
  <c r="L137"/>
  <c r="P137"/>
  <c r="V137"/>
  <c r="K137"/>
  <c r="G137"/>
  <c r="N553" i="1"/>
  <c r="N313"/>
  <c r="F183" i="2"/>
  <c r="L98" i="1"/>
  <c r="Y597"/>
  <c r="Y117"/>
  <c r="Y444"/>
  <c r="Y425"/>
  <c r="Y519"/>
  <c r="Y424"/>
  <c r="Y85"/>
  <c r="Y236"/>
  <c r="Y253"/>
  <c r="Y536"/>
  <c r="Y237"/>
  <c r="Y67"/>
  <c r="Y528"/>
  <c r="Y56"/>
  <c r="Y59"/>
  <c r="Y239"/>
  <c r="Y238"/>
  <c r="X610"/>
  <c r="X448"/>
  <c r="X450" s="1"/>
  <c r="X452" s="1"/>
  <c r="X245"/>
  <c r="X255" s="1"/>
  <c r="F308" i="2"/>
  <c r="AA30"/>
  <c r="AB30" s="1"/>
  <c r="X596" i="1"/>
  <c r="X54"/>
  <c r="X55"/>
  <c r="X9"/>
  <c r="X11"/>
  <c r="X87"/>
  <c r="X118"/>
  <c r="X52"/>
  <c r="X68"/>
  <c r="X13"/>
  <c r="X12"/>
  <c r="X10"/>
  <c r="X86"/>
  <c r="S309"/>
  <c r="S311" s="1"/>
  <c r="Q313"/>
  <c r="Q553"/>
  <c r="F189" i="2"/>
  <c r="N601" i="1"/>
  <c r="N504"/>
  <c r="F238" i="2"/>
  <c r="N101" i="1"/>
  <c r="AA348"/>
  <c r="AA534"/>
  <c r="AA269"/>
  <c r="AA165"/>
  <c r="AA39"/>
  <c r="AA327"/>
  <c r="AA83"/>
  <c r="AA41"/>
  <c r="AA379"/>
  <c r="AA339"/>
  <c r="AA174"/>
  <c r="AA282"/>
  <c r="AA456"/>
  <c r="AA199"/>
  <c r="AA459"/>
  <c r="AA176"/>
  <c r="AA360"/>
  <c r="AA36"/>
  <c r="AA372"/>
  <c r="AA235"/>
  <c r="AA133"/>
  <c r="AA268"/>
  <c r="AA183"/>
  <c r="AA43"/>
  <c r="AA155"/>
  <c r="AA394"/>
  <c r="AA279"/>
  <c r="AA469"/>
  <c r="AA37"/>
  <c r="AA471"/>
  <c r="AA135"/>
  <c r="AA470"/>
  <c r="AA350"/>
  <c r="AA438"/>
  <c r="AA233"/>
  <c r="AA129"/>
  <c r="AA153"/>
  <c r="AA134"/>
  <c r="AA144"/>
  <c r="AA357"/>
  <c r="AA378"/>
  <c r="AA326"/>
  <c r="AA40"/>
  <c r="AA455"/>
  <c r="AA163"/>
  <c r="AA270"/>
  <c r="AA130"/>
  <c r="AA516"/>
  <c r="AA184"/>
  <c r="AA266"/>
  <c r="AA275"/>
  <c r="AA349"/>
  <c r="AA467"/>
  <c r="AA185"/>
  <c r="AA351"/>
  <c r="AA19"/>
  <c r="AA164"/>
  <c r="AA468"/>
  <c r="AA200"/>
  <c r="AA281"/>
  <c r="AA175"/>
  <c r="AA27"/>
  <c r="AA328"/>
  <c r="AA371"/>
  <c r="AA472"/>
  <c r="AA422"/>
  <c r="AA393"/>
  <c r="AA464"/>
  <c r="AA44"/>
  <c r="AA347"/>
  <c r="AA229"/>
  <c r="AA416"/>
  <c r="AA418"/>
  <c r="AA248"/>
  <c r="AA465"/>
  <c r="AA57"/>
  <c r="AA162"/>
  <c r="AA58"/>
  <c r="AA186"/>
  <c r="AA276"/>
  <c r="AA115"/>
  <c r="AA143"/>
  <c r="AA325"/>
  <c r="AA370"/>
  <c r="AA457"/>
  <c r="AA381"/>
  <c r="AA23"/>
  <c r="AA267"/>
  <c r="AA142"/>
  <c r="AA66"/>
  <c r="AA278"/>
  <c r="AA458"/>
  <c r="AA201"/>
  <c r="AA373"/>
  <c r="AA330"/>
  <c r="AA338"/>
  <c r="AA369"/>
  <c r="AA474"/>
  <c r="AA473"/>
  <c r="AA250"/>
  <c r="AA141"/>
  <c r="AA336"/>
  <c r="AA247"/>
  <c r="AA421"/>
  <c r="AA417"/>
  <c r="AA251"/>
  <c r="AA442"/>
  <c r="AA234"/>
  <c r="AA437"/>
  <c r="AA33"/>
  <c r="AA154"/>
  <c r="AA97"/>
  <c r="AA38"/>
  <c r="AA419" s="1"/>
  <c r="AA441"/>
  <c r="AA514"/>
  <c r="AA359"/>
  <c r="AA252"/>
  <c r="AA403"/>
  <c r="AA358"/>
  <c r="AA285"/>
  <c r="AA586"/>
  <c r="AA337"/>
  <c r="AA65"/>
  <c r="AB2"/>
  <c r="AA131"/>
  <c r="AA515"/>
  <c r="AA329"/>
  <c r="AA230"/>
  <c r="AA132"/>
  <c r="AA156"/>
  <c r="AA42"/>
  <c r="AA423" s="1"/>
  <c r="AA526"/>
  <c r="AA420"/>
  <c r="AA283"/>
  <c r="AA280"/>
  <c r="AA152"/>
  <c r="AA284"/>
  <c r="AA585"/>
  <c r="AA587" s="1"/>
  <c r="AA392" s="1"/>
  <c r="AA396" s="1"/>
  <c r="AA173"/>
  <c r="AA277"/>
  <c r="AA380"/>
  <c r="AA466"/>
  <c r="AA406"/>
  <c r="AA443"/>
  <c r="AA214"/>
  <c r="AA402"/>
  <c r="AA439"/>
  <c r="AA246"/>
  <c r="AA231"/>
  <c r="U289"/>
  <c r="T350" i="2"/>
  <c r="T351" s="1"/>
  <c r="T617"/>
  <c r="T621" s="1"/>
  <c r="T507"/>
  <c r="T511" s="1"/>
  <c r="T130"/>
  <c r="T75"/>
  <c r="T76" s="1"/>
  <c r="T286"/>
  <c r="T290" s="1"/>
  <c r="T341"/>
  <c r="T345" s="1"/>
  <c r="T240"/>
  <c r="T11"/>
  <c r="T516"/>
  <c r="T517" s="1"/>
  <c r="T185"/>
  <c r="T231"/>
  <c r="T235" s="1"/>
  <c r="T406"/>
  <c r="T407" s="1"/>
  <c r="T66"/>
  <c r="T70" s="1"/>
  <c r="T452"/>
  <c r="T456" s="1"/>
  <c r="T626"/>
  <c r="T627" s="1"/>
  <c r="T176"/>
  <c r="T571"/>
  <c r="T572" s="1"/>
  <c r="T295"/>
  <c r="T296" s="1"/>
  <c r="T397"/>
  <c r="T401" s="1"/>
  <c r="T461"/>
  <c r="T462" s="1"/>
  <c r="T20"/>
  <c r="T21" s="1"/>
  <c r="T562"/>
  <c r="T566" s="1"/>
  <c r="Z1115"/>
  <c r="N1115"/>
  <c r="S1115"/>
  <c r="Q1115"/>
  <c r="U1115"/>
  <c r="P1115"/>
  <c r="O1115"/>
  <c r="K1115"/>
  <c r="F471"/>
  <c r="S551" i="1"/>
  <c r="K581" i="2"/>
  <c r="V581"/>
  <c r="Y581"/>
  <c r="U581"/>
  <c r="X581"/>
  <c r="R581"/>
  <c r="S581"/>
  <c r="T581"/>
  <c r="W581"/>
  <c r="Z581"/>
  <c r="Q581"/>
  <c r="L581"/>
  <c r="M581"/>
  <c r="N581"/>
  <c r="O581"/>
  <c r="P581"/>
  <c r="I581"/>
  <c r="J581"/>
  <c r="H581"/>
  <c r="G581"/>
  <c r="Z249" i="1"/>
  <c r="AA244" i="2"/>
  <c r="AB244" s="1"/>
  <c r="Z443" i="1"/>
  <c r="Z578"/>
  <c r="Z356" s="1"/>
  <c r="Z362" s="1"/>
  <c r="Z188"/>
  <c r="Y579"/>
  <c r="Y415" s="1"/>
  <c r="Y427" s="1"/>
  <c r="Z116"/>
  <c r="Z461"/>
  <c r="Z232"/>
  <c r="Z403"/>
  <c r="Z583"/>
  <c r="Z105" s="1"/>
  <c r="Z408"/>
  <c r="Z234"/>
  <c r="Z407"/>
  <c r="Z287"/>
  <c r="Z439"/>
  <c r="Z272"/>
  <c r="AA465" i="2"/>
  <c r="AB465" s="1"/>
  <c r="M1115"/>
  <c r="Y1115"/>
  <c r="W61" i="1"/>
  <c r="W614"/>
  <c r="W521"/>
  <c r="V289"/>
  <c r="V478"/>
  <c r="AA192" i="2"/>
  <c r="AB192" s="1"/>
  <c r="L31"/>
  <c r="M31"/>
  <c r="P31"/>
  <c r="Q31"/>
  <c r="T31"/>
  <c r="U31"/>
  <c r="O31"/>
  <c r="R31"/>
  <c r="X31"/>
  <c r="Y31"/>
  <c r="S31"/>
  <c r="W31"/>
  <c r="Z31"/>
  <c r="N31"/>
  <c r="V31"/>
  <c r="I31"/>
  <c r="H31"/>
  <c r="J31"/>
  <c r="K31"/>
  <c r="G31"/>
  <c r="I617"/>
  <c r="I621" s="1"/>
  <c r="I185"/>
  <c r="I507"/>
  <c r="I511" s="1"/>
  <c r="I75"/>
  <c r="I76" s="1"/>
  <c r="I461"/>
  <c r="I462" s="1"/>
  <c r="I341"/>
  <c r="I345" s="1"/>
  <c r="I397"/>
  <c r="I401" s="1"/>
  <c r="I66"/>
  <c r="I70" s="1"/>
  <c r="I562"/>
  <c r="I566" s="1"/>
  <c r="I231"/>
  <c r="I235" s="1"/>
  <c r="I571"/>
  <c r="I572" s="1"/>
  <c r="I516"/>
  <c r="I517" s="1"/>
  <c r="I130"/>
  <c r="I176"/>
  <c r="I350"/>
  <c r="I351" s="1"/>
  <c r="I20"/>
  <c r="I21" s="1"/>
  <c r="I11"/>
  <c r="I286"/>
  <c r="I290" s="1"/>
  <c r="I626"/>
  <c r="I627" s="1"/>
  <c r="I452"/>
  <c r="I456" s="1"/>
  <c r="I295"/>
  <c r="I296" s="1"/>
  <c r="G29" i="16" s="1"/>
  <c r="I406" i="2"/>
  <c r="I407" s="1"/>
  <c r="I240"/>
  <c r="J562"/>
  <c r="J566" s="1"/>
  <c r="J406"/>
  <c r="J407" s="1"/>
  <c r="J617"/>
  <c r="J621" s="1"/>
  <c r="J341"/>
  <c r="J345" s="1"/>
  <c r="J516"/>
  <c r="J517" s="1"/>
  <c r="J75"/>
  <c r="J76" s="1"/>
  <c r="J452"/>
  <c r="J456" s="1"/>
  <c r="J350"/>
  <c r="J351" s="1"/>
  <c r="J286"/>
  <c r="J290" s="1"/>
  <c r="J626"/>
  <c r="J627" s="1"/>
  <c r="J66"/>
  <c r="J70" s="1"/>
  <c r="J176"/>
  <c r="J11"/>
  <c r="J571"/>
  <c r="J572" s="1"/>
  <c r="J231"/>
  <c r="J235" s="1"/>
  <c r="J130"/>
  <c r="J185"/>
  <c r="J507"/>
  <c r="J511" s="1"/>
  <c r="J240"/>
  <c r="J20"/>
  <c r="J21" s="1"/>
  <c r="J295"/>
  <c r="J296" s="1"/>
  <c r="G29" i="17" s="1"/>
  <c r="J461" i="2"/>
  <c r="J462" s="1"/>
  <c r="J397"/>
  <c r="J401" s="1"/>
  <c r="R507"/>
  <c r="R511" s="1"/>
  <c r="R240"/>
  <c r="R176"/>
  <c r="R452"/>
  <c r="R456" s="1"/>
  <c r="R11"/>
  <c r="R617"/>
  <c r="R621" s="1"/>
  <c r="R20"/>
  <c r="R21" s="1"/>
  <c r="R286"/>
  <c r="R290" s="1"/>
  <c r="R66"/>
  <c r="R70" s="1"/>
  <c r="R350"/>
  <c r="R351" s="1"/>
  <c r="R75"/>
  <c r="R76" s="1"/>
  <c r="R231"/>
  <c r="R235" s="1"/>
  <c r="R341"/>
  <c r="R345" s="1"/>
  <c r="R397"/>
  <c r="R401" s="1"/>
  <c r="R516"/>
  <c r="R517" s="1"/>
  <c r="R185"/>
  <c r="R562"/>
  <c r="R566" s="1"/>
  <c r="R406"/>
  <c r="R407" s="1"/>
  <c r="R571"/>
  <c r="R572" s="1"/>
  <c r="R626"/>
  <c r="R627" s="1"/>
  <c r="R461"/>
  <c r="R462" s="1"/>
  <c r="R295"/>
  <c r="R296" s="1"/>
  <c r="R130"/>
  <c r="F526"/>
  <c r="W85"/>
  <c r="X85"/>
  <c r="P85"/>
  <c r="M85"/>
  <c r="Q85"/>
  <c r="T85"/>
  <c r="U85"/>
  <c r="V85"/>
  <c r="L85"/>
  <c r="O85"/>
  <c r="R85"/>
  <c r="Y85"/>
  <c r="Z85"/>
  <c r="N85"/>
  <c r="S85"/>
  <c r="H85"/>
  <c r="I85"/>
  <c r="J85"/>
  <c r="G85"/>
  <c r="K85"/>
  <c r="W257" i="1"/>
  <c r="W259" s="1"/>
  <c r="X89"/>
  <c r="S500"/>
  <c r="AA305" i="2"/>
  <c r="AB305" s="1"/>
  <c r="P247"/>
  <c r="I247"/>
  <c r="M247"/>
  <c r="S247"/>
  <c r="V247"/>
  <c r="H247"/>
  <c r="L247"/>
  <c r="T247"/>
  <c r="U247"/>
  <c r="X247"/>
  <c r="O247"/>
  <c r="Z247"/>
  <c r="J247"/>
  <c r="N247"/>
  <c r="Q247"/>
  <c r="R247"/>
  <c r="W247"/>
  <c r="Y247"/>
  <c r="G247"/>
  <c r="K247"/>
  <c r="M306"/>
  <c r="L306"/>
  <c r="O306"/>
  <c r="X306"/>
  <c r="Z306"/>
  <c r="N306"/>
  <c r="S306"/>
  <c r="U306"/>
  <c r="V306"/>
  <c r="Y306"/>
  <c r="Q306"/>
  <c r="R306"/>
  <c r="P306"/>
  <c r="T306"/>
  <c r="W306"/>
  <c r="I306"/>
  <c r="J306"/>
  <c r="H306"/>
  <c r="K306"/>
  <c r="G306"/>
  <c r="Y604" i="1"/>
  <c r="Y140"/>
  <c r="Y146" s="1"/>
  <c r="Y605"/>
  <c r="Y364"/>
  <c r="Y151"/>
  <c r="Y158" s="1"/>
  <c r="M32" i="2"/>
  <c r="J32"/>
  <c r="N32"/>
  <c r="O32"/>
  <c r="P32"/>
  <c r="Y32"/>
  <c r="R32"/>
  <c r="X32"/>
  <c r="V32"/>
  <c r="W32"/>
  <c r="Z32"/>
  <c r="G32"/>
  <c r="I32"/>
  <c r="H32"/>
  <c r="Q32"/>
  <c r="S32"/>
  <c r="K32"/>
  <c r="L32"/>
  <c r="T32"/>
  <c r="U32"/>
  <c r="U91" i="1"/>
  <c r="F87" i="2" s="1"/>
  <c r="U299" i="1"/>
  <c r="U303"/>
  <c r="U543"/>
  <c r="F528" i="2" s="1"/>
  <c r="U541" i="1"/>
  <c r="U494"/>
  <c r="U302"/>
  <c r="U547"/>
  <c r="F638" i="2" s="1"/>
  <c r="U549" i="1"/>
  <c r="U491"/>
  <c r="U545"/>
  <c r="F583" i="2" s="1"/>
  <c r="AA363"/>
  <c r="AB363" s="1"/>
  <c r="Y613" i="1"/>
  <c r="Y48"/>
  <c r="Y514"/>
  <c r="Y515"/>
  <c r="Y516"/>
  <c r="Y607"/>
  <c r="Y385"/>
  <c r="Y172"/>
  <c r="Y178" s="1"/>
  <c r="Y190" s="1"/>
  <c r="T91"/>
  <c r="F86" i="2" s="1"/>
  <c r="T543" i="1"/>
  <c r="F527" i="2" s="1"/>
  <c r="T491" i="1"/>
  <c r="T541"/>
  <c r="T545"/>
  <c r="F582" i="2" s="1"/>
  <c r="T549" i="1"/>
  <c r="T547"/>
  <c r="F637" i="2" s="1"/>
  <c r="T302" i="1"/>
  <c r="T303"/>
  <c r="T299"/>
  <c r="T494"/>
  <c r="L66" i="2"/>
  <c r="L70" s="1"/>
  <c r="L397"/>
  <c r="L401" s="1"/>
  <c r="L75"/>
  <c r="L76" s="1"/>
  <c r="L562"/>
  <c r="L566" s="1"/>
  <c r="L626"/>
  <c r="L627" s="1"/>
  <c r="L20"/>
  <c r="L21" s="1"/>
  <c r="L406"/>
  <c r="L407" s="1"/>
  <c r="L11"/>
  <c r="L286"/>
  <c r="L290" s="1"/>
  <c r="L185"/>
  <c r="L452"/>
  <c r="L456" s="1"/>
  <c r="L240"/>
  <c r="L516"/>
  <c r="L517" s="1"/>
  <c r="L231"/>
  <c r="L235" s="1"/>
  <c r="L461"/>
  <c r="L462" s="1"/>
  <c r="L176"/>
  <c r="L341"/>
  <c r="L345" s="1"/>
  <c r="L350"/>
  <c r="L351" s="1"/>
  <c r="L130"/>
  <c r="L295"/>
  <c r="L296" s="1"/>
  <c r="G29" i="19" s="1"/>
  <c r="L571" i="2"/>
  <c r="L572" s="1"/>
  <c r="L507"/>
  <c r="L511" s="1"/>
  <c r="L617"/>
  <c r="L621" s="1"/>
  <c r="V571"/>
  <c r="V572" s="1"/>
  <c r="V231"/>
  <c r="V235" s="1"/>
  <c r="V20"/>
  <c r="V21" s="1"/>
  <c r="V75"/>
  <c r="V76" s="1"/>
  <c r="V397"/>
  <c r="V401" s="1"/>
  <c r="V507"/>
  <c r="V511" s="1"/>
  <c r="V341"/>
  <c r="V345" s="1"/>
  <c r="V240"/>
  <c r="V295"/>
  <c r="V296" s="1"/>
  <c r="V176"/>
  <c r="V180" s="1"/>
  <c r="V286"/>
  <c r="V290" s="1"/>
  <c r="V562"/>
  <c r="V566" s="1"/>
  <c r="V66"/>
  <c r="V70" s="1"/>
  <c r="V626"/>
  <c r="V627" s="1"/>
  <c r="V452"/>
  <c r="V456" s="1"/>
  <c r="V461"/>
  <c r="V462" s="1"/>
  <c r="V516"/>
  <c r="V517" s="1"/>
  <c r="V350"/>
  <c r="V351" s="1"/>
  <c r="V11"/>
  <c r="V185"/>
  <c r="V406"/>
  <c r="V407" s="1"/>
  <c r="V617"/>
  <c r="V621" s="1"/>
  <c r="V130"/>
  <c r="H341"/>
  <c r="H345" s="1"/>
  <c r="H406"/>
  <c r="H407" s="1"/>
  <c r="H397"/>
  <c r="H401" s="1"/>
  <c r="H176"/>
  <c r="H461"/>
  <c r="H462" s="1"/>
  <c r="H350"/>
  <c r="H351" s="1"/>
  <c r="H66"/>
  <c r="H70" s="1"/>
  <c r="H75"/>
  <c r="H76" s="1"/>
  <c r="H452"/>
  <c r="H456" s="1"/>
  <c r="H185"/>
  <c r="H20"/>
  <c r="H21" s="1"/>
  <c r="H516"/>
  <c r="H517" s="1"/>
  <c r="H562"/>
  <c r="H566" s="1"/>
  <c r="H507"/>
  <c r="H511" s="1"/>
  <c r="H571"/>
  <c r="H572" s="1"/>
  <c r="H11"/>
  <c r="H240"/>
  <c r="H295"/>
  <c r="H296" s="1"/>
  <c r="G29" i="15" s="1"/>
  <c r="H286" i="2"/>
  <c r="H290" s="1"/>
  <c r="H617"/>
  <c r="H621" s="1"/>
  <c r="H626"/>
  <c r="H627" s="1"/>
  <c r="H231"/>
  <c r="H235" s="1"/>
  <c r="H130"/>
  <c r="Z440" i="1"/>
  <c r="Z577"/>
  <c r="Z346" s="1"/>
  <c r="Z353" s="1"/>
  <c r="Z576"/>
  <c r="Z335" s="1"/>
  <c r="Z341" s="1"/>
  <c r="W205"/>
  <c r="W261" s="1"/>
  <c r="Z252"/>
  <c r="X203"/>
  <c r="X70"/>
  <c r="X78" s="1"/>
  <c r="T112"/>
  <c r="X192"/>
  <c r="W452"/>
  <c r="AA419" i="2"/>
  <c r="AB419" s="1"/>
  <c r="X223" i="1"/>
  <c r="F121" i="2"/>
  <c r="V121" s="1"/>
  <c r="W612" i="1"/>
  <c r="W529"/>
  <c r="W531" s="1"/>
  <c r="F364" i="2" s="1"/>
  <c r="W498" i="1"/>
  <c r="W306"/>
  <c r="W520"/>
  <c r="W523" s="1"/>
  <c r="W537"/>
  <c r="W539" s="1"/>
  <c r="F420" i="2" s="1"/>
  <c r="W497" i="1"/>
  <c r="W307"/>
  <c r="T289"/>
  <c r="Q602"/>
  <c r="Q102"/>
  <c r="Q104" s="1"/>
  <c r="V72"/>
  <c r="V77"/>
  <c r="V80" s="1"/>
  <c r="V600"/>
  <c r="V108"/>
  <c r="V95"/>
  <c r="V109"/>
  <c r="V96"/>
  <c r="F33" i="2"/>
  <c r="V107" i="1"/>
  <c r="V110"/>
  <c r="Y606"/>
  <c r="Y161"/>
  <c r="Y167" s="1"/>
  <c r="Y195"/>
  <c r="Y392"/>
  <c r="Y396" s="1"/>
  <c r="Y198"/>
  <c r="Y196"/>
  <c r="Y197"/>
  <c r="Z307" i="2"/>
  <c r="P307"/>
  <c r="X307"/>
  <c r="Y307"/>
  <c r="O307"/>
  <c r="V307"/>
  <c r="J307"/>
  <c r="H307"/>
  <c r="I307"/>
  <c r="N307"/>
  <c r="M307"/>
  <c r="W307"/>
  <c r="L307"/>
  <c r="R307"/>
  <c r="U307"/>
  <c r="T307"/>
  <c r="Q307"/>
  <c r="K307"/>
  <c r="G307"/>
  <c r="S307"/>
  <c r="Z598" i="1"/>
  <c r="Y343"/>
  <c r="Y387" s="1"/>
  <c r="Y603"/>
  <c r="Y128"/>
  <c r="Y137" s="1"/>
  <c r="Y148" s="1"/>
  <c r="X231" i="2"/>
  <c r="X452"/>
  <c r="X406"/>
  <c r="X66"/>
  <c r="X286"/>
  <c r="X75"/>
  <c r="X461"/>
  <c r="X130"/>
  <c r="X571"/>
  <c r="X617"/>
  <c r="X11"/>
  <c r="X626"/>
  <c r="X341"/>
  <c r="X350"/>
  <c r="X295"/>
  <c r="X185"/>
  <c r="X240"/>
  <c r="X20"/>
  <c r="X516"/>
  <c r="X562"/>
  <c r="X176"/>
  <c r="X507"/>
  <c r="X397"/>
  <c r="G1114"/>
  <c r="AA1113"/>
  <c r="AB1113" s="1"/>
  <c r="F636"/>
  <c r="Z203" i="1"/>
  <c r="Y580"/>
  <c r="Y436" s="1"/>
  <c r="Y446" s="1"/>
  <c r="AA520" i="2"/>
  <c r="AB520" s="1"/>
  <c r="Z420" i="1"/>
  <c r="Z233"/>
  <c r="Z517"/>
  <c r="Z84"/>
  <c r="Z405"/>
  <c r="Z412" s="1"/>
  <c r="Z375"/>
  <c r="Z46"/>
  <c r="U500"/>
  <c r="U502" s="1"/>
  <c r="AA630" i="2"/>
  <c r="AB630" s="1"/>
  <c r="X120" i="1"/>
  <c r="Y412"/>
  <c r="W1115" i="2"/>
  <c r="X205" i="1" l="1"/>
  <c r="Z1108" i="2"/>
  <c r="Z129" s="1"/>
  <c r="Z124"/>
  <c r="AA124" s="1"/>
  <c r="AB124" s="1"/>
  <c r="Z177"/>
  <c r="AA177" s="1"/>
  <c r="AB177" s="1"/>
  <c r="Z565"/>
  <c r="AA565" s="1"/>
  <c r="AB565" s="1"/>
  <c r="Z14"/>
  <c r="AA14" s="1"/>
  <c r="AB14" s="1"/>
  <c r="Z563"/>
  <c r="AA563" s="1"/>
  <c r="AB563" s="1"/>
  <c r="Z67"/>
  <c r="AA67" s="1"/>
  <c r="AB67" s="1"/>
  <c r="Z12"/>
  <c r="AA12" s="1"/>
  <c r="AB12" s="1"/>
  <c r="Z239"/>
  <c r="Z454"/>
  <c r="AA454" s="1"/>
  <c r="AB454" s="1"/>
  <c r="Z232"/>
  <c r="AA232" s="1"/>
  <c r="AB232" s="1"/>
  <c r="Z510"/>
  <c r="AA510" s="1"/>
  <c r="AB510" s="1"/>
  <c r="Z289"/>
  <c r="AA289" s="1"/>
  <c r="AB289" s="1"/>
  <c r="Z508"/>
  <c r="AA508" s="1"/>
  <c r="AB508" s="1"/>
  <c r="Z344"/>
  <c r="AA344" s="1"/>
  <c r="AB344" s="1"/>
  <c r="Z287"/>
  <c r="AA287" s="1"/>
  <c r="AB287" s="1"/>
  <c r="Z400"/>
  <c r="AA400" s="1"/>
  <c r="AB400" s="1"/>
  <c r="Z184"/>
  <c r="Z564"/>
  <c r="AA564" s="1"/>
  <c r="AB564" s="1"/>
  <c r="Z175"/>
  <c r="Z234"/>
  <c r="AA234" s="1"/>
  <c r="AB234" s="1"/>
  <c r="Z619"/>
  <c r="AA619" s="1"/>
  <c r="AB619" s="1"/>
  <c r="Z455"/>
  <c r="AA455" s="1"/>
  <c r="AB455" s="1"/>
  <c r="Z69"/>
  <c r="AA69" s="1"/>
  <c r="AB69" s="1"/>
  <c r="Z288"/>
  <c r="AA288" s="1"/>
  <c r="AB288" s="1"/>
  <c r="Z398"/>
  <c r="AA398" s="1"/>
  <c r="AB398" s="1"/>
  <c r="Z618"/>
  <c r="AA618" s="1"/>
  <c r="AB618" s="1"/>
  <c r="Z10"/>
  <c r="Z396"/>
  <c r="Z625"/>
  <c r="Z460"/>
  <c r="Z616"/>
  <c r="Z349"/>
  <c r="Z19"/>
  <c r="Z405"/>
  <c r="AA198" i="1"/>
  <c r="AA375"/>
  <c r="AA172" s="1"/>
  <c r="AA178" s="1"/>
  <c r="AA577"/>
  <c r="AA346" s="1"/>
  <c r="AA353" s="1"/>
  <c r="AA151" s="1"/>
  <c r="AA158" s="1"/>
  <c r="T309"/>
  <c r="T311" s="1"/>
  <c r="U309"/>
  <c r="U311" s="1"/>
  <c r="Z74" i="2"/>
  <c r="Z294"/>
  <c r="Z515"/>
  <c r="X121"/>
  <c r="Z120"/>
  <c r="AA1106"/>
  <c r="AB1106" s="1"/>
  <c r="Z1122"/>
  <c r="Z506"/>
  <c r="Z561"/>
  <c r="Z950"/>
  <c r="AA771"/>
  <c r="AB771" s="1"/>
  <c r="Z671"/>
  <c r="AA671" s="1"/>
  <c r="AB671" s="1"/>
  <c r="AA1044"/>
  <c r="AB1044" s="1"/>
  <c r="Z178"/>
  <c r="AA178" s="1"/>
  <c r="AB178" s="1"/>
  <c r="Z233"/>
  <c r="AA233" s="1"/>
  <c r="AB233" s="1"/>
  <c r="X19"/>
  <c r="X10"/>
  <c r="X340"/>
  <c r="X345" s="1"/>
  <c r="X74"/>
  <c r="AA1108"/>
  <c r="AB1108" s="1"/>
  <c r="X65"/>
  <c r="X561"/>
  <c r="X285"/>
  <c r="X290" s="1"/>
  <c r="X294"/>
  <c r="X570"/>
  <c r="X572" s="1"/>
  <c r="X460"/>
  <c r="AA460" s="1"/>
  <c r="AB460" s="1"/>
  <c r="X239"/>
  <c r="AA239" s="1"/>
  <c r="AB239" s="1"/>
  <c r="X616"/>
  <c r="AA616" s="1"/>
  <c r="AB616" s="1"/>
  <c r="X230"/>
  <c r="X235" s="1"/>
  <c r="X175"/>
  <c r="X120"/>
  <c r="X396"/>
  <c r="X625"/>
  <c r="X451"/>
  <c r="X456" s="1"/>
  <c r="X405"/>
  <c r="AA405" s="1"/>
  <c r="AB405" s="1"/>
  <c r="X349"/>
  <c r="X506"/>
  <c r="X515"/>
  <c r="AA515" s="1"/>
  <c r="AB515" s="1"/>
  <c r="X184"/>
  <c r="X129"/>
  <c r="AA129" s="1"/>
  <c r="AB129" s="1"/>
  <c r="X76"/>
  <c r="Z785"/>
  <c r="AA785" s="1"/>
  <c r="AB785" s="1"/>
  <c r="AA670"/>
  <c r="AB670" s="1"/>
  <c r="X566"/>
  <c r="X296"/>
  <c r="Z285"/>
  <c r="Z230"/>
  <c r="Z570"/>
  <c r="AA1120"/>
  <c r="AB1120" s="1"/>
  <c r="AA137"/>
  <c r="AB137" s="1"/>
  <c r="AA247"/>
  <c r="AB247" s="1"/>
  <c r="U313" i="1"/>
  <c r="F197" i="2"/>
  <c r="Z608" i="1"/>
  <c r="Z215"/>
  <c r="Z208"/>
  <c r="Z216"/>
  <c r="Z217"/>
  <c r="Z209"/>
  <c r="Z211"/>
  <c r="Z218"/>
  <c r="Z219"/>
  <c r="Z212"/>
  <c r="Z210"/>
  <c r="Z221"/>
  <c r="Y608"/>
  <c r="Y216"/>
  <c r="Y208"/>
  <c r="Y215"/>
  <c r="Y209"/>
  <c r="Y211"/>
  <c r="Y221"/>
  <c r="Y219"/>
  <c r="Y218"/>
  <c r="Y217"/>
  <c r="Y212"/>
  <c r="Y210"/>
  <c r="AA307" i="2"/>
  <c r="AB307" s="1"/>
  <c r="J33"/>
  <c r="I33"/>
  <c r="M33"/>
  <c r="H33"/>
  <c r="K33"/>
  <c r="G33"/>
  <c r="L33"/>
  <c r="N33"/>
  <c r="R33"/>
  <c r="V33"/>
  <c r="X33"/>
  <c r="Q33"/>
  <c r="S33"/>
  <c r="T33"/>
  <c r="W33"/>
  <c r="Z33"/>
  <c r="O33"/>
  <c r="Y33"/>
  <c r="P33"/>
  <c r="U33"/>
  <c r="L787"/>
  <c r="L794"/>
  <c r="L782"/>
  <c r="E30" i="19"/>
  <c r="L582" i="2"/>
  <c r="M582"/>
  <c r="U582"/>
  <c r="N582"/>
  <c r="O582"/>
  <c r="P582"/>
  <c r="S582"/>
  <c r="T582"/>
  <c r="V582"/>
  <c r="W582"/>
  <c r="Y582"/>
  <c r="Z582"/>
  <c r="Q582"/>
  <c r="R582"/>
  <c r="X582"/>
  <c r="J582"/>
  <c r="I582"/>
  <c r="H582"/>
  <c r="G582"/>
  <c r="K582"/>
  <c r="Y596" i="1"/>
  <c r="Y52"/>
  <c r="Y11"/>
  <c r="Y87"/>
  <c r="Y68"/>
  <c r="Y9"/>
  <c r="Y118"/>
  <c r="Y10"/>
  <c r="Y55"/>
  <c r="Y54"/>
  <c r="Y12"/>
  <c r="Y13"/>
  <c r="Y86"/>
  <c r="O583" i="2"/>
  <c r="V583"/>
  <c r="P583"/>
  <c r="X583"/>
  <c r="Y583"/>
  <c r="Z583"/>
  <c r="M583"/>
  <c r="H583"/>
  <c r="J583"/>
  <c r="I583"/>
  <c r="N583"/>
  <c r="K583"/>
  <c r="W583"/>
  <c r="T583"/>
  <c r="R583"/>
  <c r="L583"/>
  <c r="Q583"/>
  <c r="U583"/>
  <c r="G583"/>
  <c r="S583"/>
  <c r="S502" i="1"/>
  <c r="R782" i="2"/>
  <c r="R794"/>
  <c r="R787"/>
  <c r="R180"/>
  <c r="E29" i="16"/>
  <c r="I180" i="2"/>
  <c r="E28" i="16"/>
  <c r="E30"/>
  <c r="Z606" i="1"/>
  <c r="Z161"/>
  <c r="Z167" s="1"/>
  <c r="P471" i="2"/>
  <c r="O471"/>
  <c r="W471"/>
  <c r="N471"/>
  <c r="Q471"/>
  <c r="S471"/>
  <c r="T471"/>
  <c r="U471"/>
  <c r="Y471"/>
  <c r="M471"/>
  <c r="R471"/>
  <c r="L471"/>
  <c r="V471"/>
  <c r="X471"/>
  <c r="Z471"/>
  <c r="H471"/>
  <c r="I471"/>
  <c r="J471"/>
  <c r="K471"/>
  <c r="G471"/>
  <c r="P66"/>
  <c r="P70" s="1"/>
  <c r="P452"/>
  <c r="P456" s="1"/>
  <c r="P11"/>
  <c r="P176"/>
  <c r="P397"/>
  <c r="P401" s="1"/>
  <c r="P240"/>
  <c r="P121"/>
  <c r="P461"/>
  <c r="P462" s="1"/>
  <c r="P516"/>
  <c r="P517" s="1"/>
  <c r="P75"/>
  <c r="P76" s="1"/>
  <c r="P20"/>
  <c r="P21" s="1"/>
  <c r="P571"/>
  <c r="P572" s="1"/>
  <c r="P350"/>
  <c r="P351" s="1"/>
  <c r="P507"/>
  <c r="P511" s="1"/>
  <c r="P130"/>
  <c r="P185"/>
  <c r="P295"/>
  <c r="P296" s="1"/>
  <c r="G29" i="23" s="1"/>
  <c r="P286" i="2"/>
  <c r="P290" s="1"/>
  <c r="P617"/>
  <c r="P621" s="1"/>
  <c r="P562"/>
  <c r="P566" s="1"/>
  <c r="P341"/>
  <c r="P345" s="1"/>
  <c r="P231"/>
  <c r="P235" s="1"/>
  <c r="P406"/>
  <c r="P407" s="1"/>
  <c r="P626"/>
  <c r="P627" s="1"/>
  <c r="N341"/>
  <c r="N345" s="1"/>
  <c r="N66"/>
  <c r="N70" s="1"/>
  <c r="N295"/>
  <c r="N296" s="1"/>
  <c r="G29" i="21" s="1"/>
  <c r="N507" i="2"/>
  <c r="N511" s="1"/>
  <c r="N617"/>
  <c r="N621" s="1"/>
  <c r="N626"/>
  <c r="N627" s="1"/>
  <c r="N11"/>
  <c r="N406"/>
  <c r="N407" s="1"/>
  <c r="N121"/>
  <c r="N185"/>
  <c r="N397"/>
  <c r="N401" s="1"/>
  <c r="N75"/>
  <c r="N76" s="1"/>
  <c r="N350"/>
  <c r="N351" s="1"/>
  <c r="N562"/>
  <c r="N566" s="1"/>
  <c r="N231"/>
  <c r="N235" s="1"/>
  <c r="N286"/>
  <c r="N290" s="1"/>
  <c r="N571"/>
  <c r="N572" s="1"/>
  <c r="N20"/>
  <c r="N21" s="1"/>
  <c r="N461"/>
  <c r="N462" s="1"/>
  <c r="N176"/>
  <c r="N516"/>
  <c r="N517" s="1"/>
  <c r="N452"/>
  <c r="N456" s="1"/>
  <c r="N240"/>
  <c r="N130"/>
  <c r="T180"/>
  <c r="T1160"/>
  <c r="T15"/>
  <c r="AA598" i="1"/>
  <c r="N104"/>
  <c r="R189" i="2"/>
  <c r="S189"/>
  <c r="T189"/>
  <c r="U189"/>
  <c r="V189"/>
  <c r="Z189"/>
  <c r="X189"/>
  <c r="L189"/>
  <c r="O189"/>
  <c r="P189"/>
  <c r="Y189"/>
  <c r="N189"/>
  <c r="M189"/>
  <c r="Q189"/>
  <c r="W189"/>
  <c r="J189"/>
  <c r="I189"/>
  <c r="H189"/>
  <c r="G189"/>
  <c r="K189"/>
  <c r="S313" i="1"/>
  <c r="S553"/>
  <c r="F195" i="2"/>
  <c r="G308"/>
  <c r="K308"/>
  <c r="L308"/>
  <c r="J308"/>
  <c r="M308"/>
  <c r="O308"/>
  <c r="P308"/>
  <c r="Q308"/>
  <c r="W308"/>
  <c r="N308"/>
  <c r="R308"/>
  <c r="V308"/>
  <c r="X308"/>
  <c r="T308"/>
  <c r="Y308"/>
  <c r="S308"/>
  <c r="U308"/>
  <c r="Z308"/>
  <c r="H308"/>
  <c r="I308"/>
  <c r="L121"/>
  <c r="AA32"/>
  <c r="AB32" s="1"/>
  <c r="Y169" i="1"/>
  <c r="Y192" s="1"/>
  <c r="T121" i="2"/>
  <c r="AA405" i="1"/>
  <c r="AA535"/>
  <c r="AA84"/>
  <c r="AA383"/>
  <c r="AA527"/>
  <c r="AA46"/>
  <c r="AA48" s="1"/>
  <c r="Y120"/>
  <c r="X257"/>
  <c r="X259" s="1"/>
  <c r="Z607"/>
  <c r="Z385"/>
  <c r="Z172"/>
  <c r="Z178" s="1"/>
  <c r="Z190" s="1"/>
  <c r="Y448"/>
  <c r="Y450" s="1"/>
  <c r="Y452" s="1"/>
  <c r="Y610"/>
  <c r="Y245"/>
  <c r="Y255" s="1"/>
  <c r="N636" i="2"/>
  <c r="R636"/>
  <c r="S636"/>
  <c r="V636"/>
  <c r="W636"/>
  <c r="M636"/>
  <c r="P636"/>
  <c r="Q636"/>
  <c r="X636"/>
  <c r="L636"/>
  <c r="T636"/>
  <c r="U636"/>
  <c r="Y636"/>
  <c r="O636"/>
  <c r="Z636"/>
  <c r="H636"/>
  <c r="I636"/>
  <c r="J636"/>
  <c r="G636"/>
  <c r="K636"/>
  <c r="G1115"/>
  <c r="AA1114"/>
  <c r="AB1114" s="1"/>
  <c r="T602" i="1"/>
  <c r="T102"/>
  <c r="F309" i="2"/>
  <c r="Z605" i="1"/>
  <c r="Z364"/>
  <c r="Z151"/>
  <c r="Z158" s="1"/>
  <c r="Z169" s="1"/>
  <c r="L527" i="2"/>
  <c r="M527"/>
  <c r="Q527"/>
  <c r="S527"/>
  <c r="V527"/>
  <c r="X527"/>
  <c r="T527"/>
  <c r="Z527"/>
  <c r="N527"/>
  <c r="R527"/>
  <c r="O527"/>
  <c r="P527"/>
  <c r="U527"/>
  <c r="W527"/>
  <c r="Y527"/>
  <c r="I527"/>
  <c r="H527"/>
  <c r="J527"/>
  <c r="K527"/>
  <c r="G527"/>
  <c r="O638"/>
  <c r="V638"/>
  <c r="Y638"/>
  <c r="Z638"/>
  <c r="P638"/>
  <c r="X638"/>
  <c r="I638"/>
  <c r="M638"/>
  <c r="N638"/>
  <c r="H638"/>
  <c r="J638"/>
  <c r="K638"/>
  <c r="W638"/>
  <c r="T638"/>
  <c r="L638"/>
  <c r="Q638"/>
  <c r="U638"/>
  <c r="R638"/>
  <c r="S638"/>
  <c r="G638"/>
  <c r="P528"/>
  <c r="O528"/>
  <c r="Y528"/>
  <c r="V528"/>
  <c r="Z528"/>
  <c r="X528"/>
  <c r="N528"/>
  <c r="M528"/>
  <c r="H528"/>
  <c r="I528"/>
  <c r="J528"/>
  <c r="L528"/>
  <c r="Q528"/>
  <c r="K528"/>
  <c r="U528"/>
  <c r="W528"/>
  <c r="T528"/>
  <c r="R528"/>
  <c r="G528"/>
  <c r="S528"/>
  <c r="J87"/>
  <c r="I87"/>
  <c r="M87"/>
  <c r="Y87"/>
  <c r="Z87"/>
  <c r="P87"/>
  <c r="V87"/>
  <c r="N87"/>
  <c r="R87"/>
  <c r="W87"/>
  <c r="X87"/>
  <c r="O87"/>
  <c r="G87"/>
  <c r="K87"/>
  <c r="Q87"/>
  <c r="H87"/>
  <c r="S87"/>
  <c r="T87"/>
  <c r="L87"/>
  <c r="U87"/>
  <c r="E30" i="17"/>
  <c r="E28"/>
  <c r="J180" i="2"/>
  <c r="V602" i="1"/>
  <c r="V102"/>
  <c r="W72"/>
  <c r="W600"/>
  <c r="W77"/>
  <c r="W80" s="1"/>
  <c r="W96"/>
  <c r="W109"/>
  <c r="W108"/>
  <c r="F34" i="2"/>
  <c r="F35" s="1"/>
  <c r="W95" i="1"/>
  <c r="W110"/>
  <c r="W107"/>
  <c r="W112" s="1"/>
  <c r="O461" i="2"/>
  <c r="O462" s="1"/>
  <c r="O350"/>
  <c r="O351" s="1"/>
  <c r="O406"/>
  <c r="O407" s="1"/>
  <c r="O341"/>
  <c r="O345" s="1"/>
  <c r="O231"/>
  <c r="O235" s="1"/>
  <c r="O617"/>
  <c r="O621" s="1"/>
  <c r="O626"/>
  <c r="O627" s="1"/>
  <c r="O66"/>
  <c r="O70" s="1"/>
  <c r="O286"/>
  <c r="O290" s="1"/>
  <c r="O20"/>
  <c r="O21" s="1"/>
  <c r="O452"/>
  <c r="O456" s="1"/>
  <c r="O516"/>
  <c r="O517" s="1"/>
  <c r="O397"/>
  <c r="O401" s="1"/>
  <c r="O507"/>
  <c r="O511" s="1"/>
  <c r="O75"/>
  <c r="O76" s="1"/>
  <c r="O240"/>
  <c r="O176"/>
  <c r="O180" s="1"/>
  <c r="O121"/>
  <c r="O295"/>
  <c r="O296" s="1"/>
  <c r="O11"/>
  <c r="O571"/>
  <c r="O572" s="1"/>
  <c r="O562"/>
  <c r="O566" s="1"/>
  <c r="O185"/>
  <c r="O130"/>
  <c r="S66"/>
  <c r="S70" s="1"/>
  <c r="S562"/>
  <c r="S566" s="1"/>
  <c r="S121"/>
  <c r="S176"/>
  <c r="S571"/>
  <c r="S572" s="1"/>
  <c r="S295"/>
  <c r="S296" s="1"/>
  <c r="S286"/>
  <c r="S290" s="1"/>
  <c r="S397"/>
  <c r="S401" s="1"/>
  <c r="S240"/>
  <c r="S231"/>
  <c r="S235" s="1"/>
  <c r="S406"/>
  <c r="S407" s="1"/>
  <c r="S20"/>
  <c r="S21" s="1"/>
  <c r="S507"/>
  <c r="S511" s="1"/>
  <c r="S75"/>
  <c r="S76" s="1"/>
  <c r="S11"/>
  <c r="S461"/>
  <c r="S462" s="1"/>
  <c r="S452"/>
  <c r="S456" s="1"/>
  <c r="S516"/>
  <c r="S517" s="1"/>
  <c r="S626"/>
  <c r="S627" s="1"/>
  <c r="S350"/>
  <c r="S351" s="1"/>
  <c r="S617"/>
  <c r="S621" s="1"/>
  <c r="S341"/>
  <c r="S345" s="1"/>
  <c r="S185"/>
  <c r="S130"/>
  <c r="T794"/>
  <c r="T787"/>
  <c r="T782"/>
  <c r="X478" i="1"/>
  <c r="L122"/>
  <c r="Y203"/>
  <c r="V112"/>
  <c r="G30" i="15"/>
  <c r="G30" i="19"/>
  <c r="G30" i="17"/>
  <c r="G30" i="16"/>
  <c r="AA31" i="2"/>
  <c r="AB31" s="1"/>
  <c r="AA197" i="1"/>
  <c r="AA220"/>
  <c r="AA404"/>
  <c r="AA407"/>
  <c r="AA409"/>
  <c r="AA272"/>
  <c r="AA196"/>
  <c r="AA408"/>
  <c r="AA188"/>
  <c r="AA190" s="1"/>
  <c r="Y89"/>
  <c r="U504"/>
  <c r="U601"/>
  <c r="U101"/>
  <c r="F252" i="2"/>
  <c r="Z597" i="1"/>
  <c r="Z67"/>
  <c r="Z236"/>
  <c r="Z528"/>
  <c r="Z238"/>
  <c r="Z536"/>
  <c r="Z117"/>
  <c r="Z239"/>
  <c r="Z237"/>
  <c r="Z519"/>
  <c r="Z425"/>
  <c r="Z424"/>
  <c r="Z85"/>
  <c r="Z56"/>
  <c r="Z59"/>
  <c r="Z253"/>
  <c r="Z444"/>
  <c r="Z580" s="1"/>
  <c r="Z436" s="1"/>
  <c r="Z446" s="1"/>
  <c r="V91"/>
  <c r="F88" i="2" s="1"/>
  <c r="V494" i="1"/>
  <c r="V491"/>
  <c r="V543"/>
  <c r="F529" i="2" s="1"/>
  <c r="V299" i="1"/>
  <c r="V547"/>
  <c r="F639" i="2" s="1"/>
  <c r="V545" i="1"/>
  <c r="F584" i="2" s="1"/>
  <c r="V549" i="1"/>
  <c r="V541"/>
  <c r="V303"/>
  <c r="V302"/>
  <c r="T313"/>
  <c r="F196" i="2"/>
  <c r="K420"/>
  <c r="K421" s="1"/>
  <c r="M420"/>
  <c r="M421" s="1"/>
  <c r="I420"/>
  <c r="I421" s="1"/>
  <c r="Q420"/>
  <c r="Q421" s="1"/>
  <c r="V420"/>
  <c r="V421" s="1"/>
  <c r="Y420"/>
  <c r="Y421" s="1"/>
  <c r="P420"/>
  <c r="P421" s="1"/>
  <c r="R420"/>
  <c r="R421" s="1"/>
  <c r="X420"/>
  <c r="X421" s="1"/>
  <c r="O420"/>
  <c r="O421" s="1"/>
  <c r="Z420"/>
  <c r="Z421" s="1"/>
  <c r="U420"/>
  <c r="U421" s="1"/>
  <c r="J420"/>
  <c r="J421" s="1"/>
  <c r="T420"/>
  <c r="T421" s="1"/>
  <c r="N420"/>
  <c r="N421" s="1"/>
  <c r="H420"/>
  <c r="H421" s="1"/>
  <c r="S420"/>
  <c r="S421" s="1"/>
  <c r="W420"/>
  <c r="W421" s="1"/>
  <c r="L420"/>
  <c r="L421" s="1"/>
  <c r="G420"/>
  <c r="F421"/>
  <c r="I364"/>
  <c r="K364"/>
  <c r="M364"/>
  <c r="M365" s="1"/>
  <c r="P364"/>
  <c r="Z364"/>
  <c r="Z365" s="1"/>
  <c r="Q364"/>
  <c r="Q365" s="1"/>
  <c r="V364"/>
  <c r="V365" s="1"/>
  <c r="X364"/>
  <c r="X365" s="1"/>
  <c r="O364"/>
  <c r="O365" s="1"/>
  <c r="R364"/>
  <c r="R365" s="1"/>
  <c r="Y364"/>
  <c r="Y365" s="1"/>
  <c r="H364"/>
  <c r="U364"/>
  <c r="U365" s="1"/>
  <c r="T364"/>
  <c r="T365" s="1"/>
  <c r="N364"/>
  <c r="J364"/>
  <c r="J365" s="1"/>
  <c r="G364"/>
  <c r="L364"/>
  <c r="W364"/>
  <c r="W365" s="1"/>
  <c r="S364"/>
  <c r="S365" s="1"/>
  <c r="F365"/>
  <c r="Z604" i="1"/>
  <c r="Z140"/>
  <c r="Z146" s="1"/>
  <c r="Z148" s="1"/>
  <c r="Z192" s="1"/>
  <c r="Z205" s="1"/>
  <c r="E29" i="15"/>
  <c r="H794" i="2"/>
  <c r="H782"/>
  <c r="H787"/>
  <c r="E30" i="15"/>
  <c r="V1160" i="2"/>
  <c r="V15"/>
  <c r="V787"/>
  <c r="V794"/>
  <c r="V782"/>
  <c r="L180"/>
  <c r="E28" i="19"/>
  <c r="L1160" i="2"/>
  <c r="L15"/>
  <c r="M637"/>
  <c r="L637"/>
  <c r="N637"/>
  <c r="O637"/>
  <c r="Q637"/>
  <c r="S637"/>
  <c r="T637"/>
  <c r="Z637"/>
  <c r="U637"/>
  <c r="Y637"/>
  <c r="P637"/>
  <c r="R637"/>
  <c r="W637"/>
  <c r="V637"/>
  <c r="X637"/>
  <c r="H637"/>
  <c r="J637"/>
  <c r="I637"/>
  <c r="G637"/>
  <c r="K637"/>
  <c r="F473"/>
  <c r="U551" i="1"/>
  <c r="U553" s="1"/>
  <c r="P526" i="2"/>
  <c r="M526"/>
  <c r="S526"/>
  <c r="X526"/>
  <c r="Z526"/>
  <c r="L526"/>
  <c r="R526"/>
  <c r="V526"/>
  <c r="O526"/>
  <c r="Q526"/>
  <c r="U526"/>
  <c r="W526"/>
  <c r="N526"/>
  <c r="T526"/>
  <c r="Y526"/>
  <c r="H526"/>
  <c r="I526"/>
  <c r="J526"/>
  <c r="K526"/>
  <c r="G526"/>
  <c r="R1160"/>
  <c r="R15"/>
  <c r="J794"/>
  <c r="J787"/>
  <c r="J782"/>
  <c r="J1160"/>
  <c r="J15"/>
  <c r="E29" i="17"/>
  <c r="I782" i="2"/>
  <c r="I787"/>
  <c r="I794"/>
  <c r="M240"/>
  <c r="M461"/>
  <c r="M462" s="1"/>
  <c r="M20"/>
  <c r="M21" s="1"/>
  <c r="M11"/>
  <c r="M507"/>
  <c r="M511" s="1"/>
  <c r="M185"/>
  <c r="M626"/>
  <c r="M627" s="1"/>
  <c r="M617"/>
  <c r="M621" s="1"/>
  <c r="M286"/>
  <c r="M290" s="1"/>
  <c r="M397"/>
  <c r="M401" s="1"/>
  <c r="M121"/>
  <c r="M75"/>
  <c r="M76" s="1"/>
  <c r="M295"/>
  <c r="M296" s="1"/>
  <c r="G29" i="20" s="1"/>
  <c r="M350" i="2"/>
  <c r="M351" s="1"/>
  <c r="M452"/>
  <c r="M456" s="1"/>
  <c r="M406"/>
  <c r="M407" s="1"/>
  <c r="M66"/>
  <c r="M70" s="1"/>
  <c r="M176"/>
  <c r="M231"/>
  <c r="M235" s="1"/>
  <c r="M130"/>
  <c r="M571"/>
  <c r="M572" s="1"/>
  <c r="M516"/>
  <c r="M517" s="1"/>
  <c r="M562"/>
  <c r="M566" s="1"/>
  <c r="M341"/>
  <c r="M345" s="1"/>
  <c r="Y609" i="1"/>
  <c r="Y228"/>
  <c r="Y241" s="1"/>
  <c r="Y257" s="1"/>
  <c r="AA581" i="2"/>
  <c r="AB581" s="1"/>
  <c r="K286"/>
  <c r="K240"/>
  <c r="K295"/>
  <c r="K20"/>
  <c r="K626"/>
  <c r="K341"/>
  <c r="K562"/>
  <c r="K516"/>
  <c r="K185"/>
  <c r="K397"/>
  <c r="K461"/>
  <c r="K452"/>
  <c r="K121"/>
  <c r="K130"/>
  <c r="K231"/>
  <c r="K617"/>
  <c r="K571"/>
  <c r="K11"/>
  <c r="K507"/>
  <c r="K176"/>
  <c r="K66"/>
  <c r="K406"/>
  <c r="K75"/>
  <c r="K350"/>
  <c r="Q406"/>
  <c r="Q407" s="1"/>
  <c r="Q350"/>
  <c r="Q351" s="1"/>
  <c r="Q507"/>
  <c r="Q511" s="1"/>
  <c r="Q452"/>
  <c r="Q456" s="1"/>
  <c r="Q295"/>
  <c r="Q296" s="1"/>
  <c r="Q397"/>
  <c r="Q401" s="1"/>
  <c r="Q11"/>
  <c r="Q176"/>
  <c r="Q562"/>
  <c r="Q566" s="1"/>
  <c r="Q626"/>
  <c r="Q627" s="1"/>
  <c r="Q66"/>
  <c r="Q70" s="1"/>
  <c r="Q75"/>
  <c r="Q76" s="1"/>
  <c r="Q185"/>
  <c r="Q571"/>
  <c r="Q572" s="1"/>
  <c r="Q461"/>
  <c r="Q462" s="1"/>
  <c r="Q341"/>
  <c r="Q345" s="1"/>
  <c r="Q20"/>
  <c r="Q21" s="1"/>
  <c r="Q240"/>
  <c r="Q231"/>
  <c r="Q235" s="1"/>
  <c r="Q617"/>
  <c r="Q621" s="1"/>
  <c r="Q516"/>
  <c r="Q517" s="1"/>
  <c r="Q121"/>
  <c r="Q286"/>
  <c r="Q290" s="1"/>
  <c r="Q130"/>
  <c r="AB43" i="1"/>
  <c r="AB357"/>
  <c r="AB422"/>
  <c r="AB586"/>
  <c r="AB276"/>
  <c r="AB38"/>
  <c r="AB232" s="1"/>
  <c r="AB349"/>
  <c r="AB283"/>
  <c r="AB134"/>
  <c r="AB465"/>
  <c r="AB464"/>
  <c r="AB39"/>
  <c r="AB250" s="1"/>
  <c r="AB27"/>
  <c r="AB348"/>
  <c r="AB42"/>
  <c r="AB235"/>
  <c r="AB473"/>
  <c r="AB369"/>
  <c r="AB115"/>
  <c r="AB351"/>
  <c r="AB133"/>
  <c r="AB370"/>
  <c r="AB379"/>
  <c r="AB36"/>
  <c r="AB280"/>
  <c r="AB144"/>
  <c r="AB200"/>
  <c r="AB175"/>
  <c r="AB279"/>
  <c r="AB358"/>
  <c r="AB359"/>
  <c r="AB57"/>
  <c r="AB152"/>
  <c r="AB163"/>
  <c r="AB350"/>
  <c r="AB277"/>
  <c r="AB185"/>
  <c r="AB336"/>
  <c r="AB173"/>
  <c r="AB66"/>
  <c r="AB153"/>
  <c r="AB471"/>
  <c r="AB275"/>
  <c r="AB33"/>
  <c r="AB598" s="1"/>
  <c r="AB44"/>
  <c r="AB469"/>
  <c r="AB282"/>
  <c r="AB325"/>
  <c r="AB381"/>
  <c r="AB58"/>
  <c r="AB328"/>
  <c r="AB164"/>
  <c r="AB394"/>
  <c r="AB184"/>
  <c r="AB373"/>
  <c r="AB372"/>
  <c r="AB442"/>
  <c r="AB406"/>
  <c r="AB155"/>
  <c r="AB269"/>
  <c r="AB266"/>
  <c r="AB199"/>
  <c r="AB141"/>
  <c r="AB130"/>
  <c r="AB165"/>
  <c r="AB129"/>
  <c r="AB267"/>
  <c r="AB457"/>
  <c r="AB326"/>
  <c r="AB347"/>
  <c r="AB83"/>
  <c r="AC2"/>
  <c r="AB162"/>
  <c r="AB281"/>
  <c r="AB466"/>
  <c r="AB474"/>
  <c r="AB360"/>
  <c r="AB23"/>
  <c r="AB284"/>
  <c r="AB132"/>
  <c r="AB585"/>
  <c r="AB278"/>
  <c r="AB337"/>
  <c r="AB327"/>
  <c r="AB339"/>
  <c r="AB534"/>
  <c r="AB41"/>
  <c r="AB234" s="1"/>
  <c r="AB65"/>
  <c r="AB131"/>
  <c r="AB419"/>
  <c r="AB443"/>
  <c r="AB97"/>
  <c r="AB233"/>
  <c r="AB154"/>
  <c r="AB37"/>
  <c r="AB248" s="1"/>
  <c r="AB268"/>
  <c r="AB143"/>
  <c r="AB440"/>
  <c r="AB174"/>
  <c r="AB156"/>
  <c r="AB201"/>
  <c r="AB470"/>
  <c r="AB40"/>
  <c r="AB441"/>
  <c r="AB135"/>
  <c r="AB338"/>
  <c r="AB423"/>
  <c r="AB183"/>
  <c r="AB188" s="1"/>
  <c r="AB468"/>
  <c r="AB186"/>
  <c r="AB270"/>
  <c r="AB467"/>
  <c r="AB459"/>
  <c r="AB176"/>
  <c r="AB285"/>
  <c r="AB371"/>
  <c r="AB142"/>
  <c r="AB378"/>
  <c r="AB330"/>
  <c r="AB455"/>
  <c r="AB458"/>
  <c r="AB456"/>
  <c r="AB214"/>
  <c r="AB251"/>
  <c r="AB408"/>
  <c r="AB247"/>
  <c r="AB329"/>
  <c r="AB421"/>
  <c r="AB393"/>
  <c r="AB420"/>
  <c r="AB213"/>
  <c r="AB380"/>
  <c r="AB472"/>
  <c r="AB437"/>
  <c r="AB19"/>
  <c r="AB526"/>
  <c r="AB252"/>
  <c r="AA385"/>
  <c r="AA607"/>
  <c r="AA605"/>
  <c r="Q599"/>
  <c r="Q94"/>
  <c r="Q98" s="1"/>
  <c r="Q122" s="1"/>
  <c r="F134" i="2" s="1"/>
  <c r="X612" i="1"/>
  <c r="X537"/>
  <c r="X539" s="1"/>
  <c r="F424" i="2" s="1"/>
  <c r="X306" i="1"/>
  <c r="X498"/>
  <c r="X497"/>
  <c r="X307"/>
  <c r="X529"/>
  <c r="X531" s="1"/>
  <c r="F368" i="2" s="1"/>
  <c r="X520" i="1"/>
  <c r="N599"/>
  <c r="N94"/>
  <c r="X261"/>
  <c r="T500"/>
  <c r="T502" s="1"/>
  <c r="AA574"/>
  <c r="AA324" s="1"/>
  <c r="AA332" s="1"/>
  <c r="AA195"/>
  <c r="AA213"/>
  <c r="AA287"/>
  <c r="AA440"/>
  <c r="X15"/>
  <c r="Y70"/>
  <c r="Y78" s="1"/>
  <c r="W397" i="2"/>
  <c r="W401" s="1"/>
  <c r="W20"/>
  <c r="W21" s="1"/>
  <c r="W350"/>
  <c r="W351" s="1"/>
  <c r="W516"/>
  <c r="W517" s="1"/>
  <c r="W11"/>
  <c r="W562"/>
  <c r="W566" s="1"/>
  <c r="W130"/>
  <c r="W406"/>
  <c r="W407" s="1"/>
  <c r="W571"/>
  <c r="W572" s="1"/>
  <c r="W121"/>
  <c r="W286"/>
  <c r="W290" s="1"/>
  <c r="W185"/>
  <c r="W231"/>
  <c r="W235" s="1"/>
  <c r="W75"/>
  <c r="W76" s="1"/>
  <c r="W295"/>
  <c r="W296" s="1"/>
  <c r="W626"/>
  <c r="W627" s="1"/>
  <c r="W66"/>
  <c r="W70" s="1"/>
  <c r="W341"/>
  <c r="W345" s="1"/>
  <c r="W452"/>
  <c r="W456" s="1"/>
  <c r="W176"/>
  <c r="W180" s="1"/>
  <c r="W461"/>
  <c r="W462" s="1"/>
  <c r="W617"/>
  <c r="W621" s="1"/>
  <c r="W240"/>
  <c r="W507"/>
  <c r="W511" s="1"/>
  <c r="X1160"/>
  <c r="X15"/>
  <c r="W478" i="1"/>
  <c r="W289"/>
  <c r="H1160" i="2"/>
  <c r="H15"/>
  <c r="E28" i="15"/>
  <c r="H180" i="2"/>
  <c r="E29" i="19"/>
  <c r="F472" i="2"/>
  <c r="T551" i="1"/>
  <c r="T553" s="1"/>
  <c r="L86" i="2"/>
  <c r="M86"/>
  <c r="U86"/>
  <c r="P86"/>
  <c r="R86"/>
  <c r="Z86"/>
  <c r="N86"/>
  <c r="S86"/>
  <c r="V86"/>
  <c r="X86"/>
  <c r="O86"/>
  <c r="Q86"/>
  <c r="T86"/>
  <c r="W86"/>
  <c r="Y86"/>
  <c r="I86"/>
  <c r="J86"/>
  <c r="H86"/>
  <c r="K86"/>
  <c r="G86"/>
  <c r="AA306"/>
  <c r="AB306" s="1"/>
  <c r="AA85"/>
  <c r="AB85" s="1"/>
  <c r="I1160"/>
  <c r="I15"/>
  <c r="V611" i="1"/>
  <c r="V298"/>
  <c r="V301"/>
  <c r="V493"/>
  <c r="V304"/>
  <c r="V490"/>
  <c r="V488"/>
  <c r="V495"/>
  <c r="V487"/>
  <c r="V296"/>
  <c r="V305"/>
  <c r="V489"/>
  <c r="V297"/>
  <c r="V492"/>
  <c r="V496"/>
  <c r="V300"/>
  <c r="V295"/>
  <c r="Y11" i="2"/>
  <c r="Y240"/>
  <c r="Y461"/>
  <c r="Y462" s="1"/>
  <c r="Y130"/>
  <c r="Y295"/>
  <c r="Y296" s="1"/>
  <c r="Y507"/>
  <c r="Y511" s="1"/>
  <c r="Y185"/>
  <c r="Y231"/>
  <c r="Y235" s="1"/>
  <c r="Y562"/>
  <c r="Y566" s="1"/>
  <c r="Y176"/>
  <c r="Y180" s="1"/>
  <c r="Y452"/>
  <c r="Y456" s="1"/>
  <c r="Y406"/>
  <c r="Y407" s="1"/>
  <c r="Y626"/>
  <c r="Y627" s="1"/>
  <c r="Y341"/>
  <c r="Y345" s="1"/>
  <c r="Y350"/>
  <c r="Y351" s="1"/>
  <c r="Y20"/>
  <c r="Y21" s="1"/>
  <c r="Y397"/>
  <c r="Y401" s="1"/>
  <c r="Y617"/>
  <c r="Y621" s="1"/>
  <c r="Y75"/>
  <c r="Y76" s="1"/>
  <c r="Y121"/>
  <c r="Y286"/>
  <c r="Y290" s="1"/>
  <c r="Y516"/>
  <c r="Y517" s="1"/>
  <c r="Y66"/>
  <c r="Y70" s="1"/>
  <c r="Y571"/>
  <c r="Y572" s="1"/>
  <c r="U562"/>
  <c r="U566" s="1"/>
  <c r="U406"/>
  <c r="U407" s="1"/>
  <c r="U240"/>
  <c r="U66"/>
  <c r="U70" s="1"/>
  <c r="U295"/>
  <c r="U296" s="1"/>
  <c r="U617"/>
  <c r="U621" s="1"/>
  <c r="U121"/>
  <c r="U341"/>
  <c r="U345" s="1"/>
  <c r="U452"/>
  <c r="U456" s="1"/>
  <c r="U130"/>
  <c r="U231"/>
  <c r="U235" s="1"/>
  <c r="U286"/>
  <c r="U290" s="1"/>
  <c r="U516"/>
  <c r="U517" s="1"/>
  <c r="U626"/>
  <c r="U627" s="1"/>
  <c r="U11"/>
  <c r="U461"/>
  <c r="U462" s="1"/>
  <c r="U571"/>
  <c r="U572" s="1"/>
  <c r="U397"/>
  <c r="U401" s="1"/>
  <c r="U75"/>
  <c r="U76" s="1"/>
  <c r="U20"/>
  <c r="U21" s="1"/>
  <c r="U176"/>
  <c r="U350"/>
  <c r="U351" s="1"/>
  <c r="U185"/>
  <c r="U507"/>
  <c r="U511" s="1"/>
  <c r="Z130"/>
  <c r="Z571"/>
  <c r="Z295"/>
  <c r="Z341"/>
  <c r="Z507"/>
  <c r="Z617"/>
  <c r="Z626"/>
  <c r="Z231"/>
  <c r="Z406"/>
  <c r="Z66"/>
  <c r="Z286"/>
  <c r="Z75"/>
  <c r="Z562"/>
  <c r="Z185"/>
  <c r="Z350"/>
  <c r="Z20"/>
  <c r="Z452"/>
  <c r="Z176"/>
  <c r="Z11"/>
  <c r="Z397"/>
  <c r="Z240"/>
  <c r="Z461"/>
  <c r="Z516"/>
  <c r="Z121"/>
  <c r="U602" i="1"/>
  <c r="U102"/>
  <c r="F241" i="2"/>
  <c r="U238"/>
  <c r="I238"/>
  <c r="I241" s="1"/>
  <c r="H238"/>
  <c r="H241" s="1"/>
  <c r="M238"/>
  <c r="M241" s="1"/>
  <c r="R238"/>
  <c r="R241" s="1"/>
  <c r="N238"/>
  <c r="N241" s="1"/>
  <c r="P238"/>
  <c r="P241" s="1"/>
  <c r="Q238"/>
  <c r="Q241" s="1"/>
  <c r="T238"/>
  <c r="T241" s="1"/>
  <c r="K238"/>
  <c r="S238"/>
  <c r="S241" s="1"/>
  <c r="O238"/>
  <c r="O241" s="1"/>
  <c r="V238"/>
  <c r="V241" s="1"/>
  <c r="J238"/>
  <c r="J241" s="1"/>
  <c r="Y238"/>
  <c r="Y241" s="1"/>
  <c r="G238"/>
  <c r="Z238"/>
  <c r="X238"/>
  <c r="X241" s="1"/>
  <c r="W238"/>
  <c r="L238"/>
  <c r="L241" s="1"/>
  <c r="F186"/>
  <c r="U183"/>
  <c r="W183"/>
  <c r="J183"/>
  <c r="Y183"/>
  <c r="G183"/>
  <c r="P183"/>
  <c r="Q183"/>
  <c r="X183"/>
  <c r="X186" s="1"/>
  <c r="I183"/>
  <c r="S183"/>
  <c r="R183"/>
  <c r="Z183"/>
  <c r="T183"/>
  <c r="L183"/>
  <c r="K183"/>
  <c r="M183"/>
  <c r="O183"/>
  <c r="V183"/>
  <c r="V186" s="1"/>
  <c r="N183"/>
  <c r="H183"/>
  <c r="Z48" i="1"/>
  <c r="H121" i="2"/>
  <c r="R121"/>
  <c r="J121"/>
  <c r="I121"/>
  <c r="AA517" i="1"/>
  <c r="AA249"/>
  <c r="AA576"/>
  <c r="AA335" s="1"/>
  <c r="AA341" s="1"/>
  <c r="AA232"/>
  <c r="AA410"/>
  <c r="AA476"/>
  <c r="AA461"/>
  <c r="AA578"/>
  <c r="AA356" s="1"/>
  <c r="AA362" s="1"/>
  <c r="AA364" s="1"/>
  <c r="AA518"/>
  <c r="AA583"/>
  <c r="AA105" s="1"/>
  <c r="AA116"/>
  <c r="Z343"/>
  <c r="Z387" s="1"/>
  <c r="AA625" i="2" l="1"/>
  <c r="AB625" s="1"/>
  <c r="K241"/>
  <c r="AA184"/>
  <c r="AB184" s="1"/>
  <c r="X462"/>
  <c r="AA294"/>
  <c r="AB294" s="1"/>
  <c r="AA19"/>
  <c r="AB19" s="1"/>
  <c r="Z451"/>
  <c r="AA451" s="1"/>
  <c r="AB451" s="1"/>
  <c r="Z340"/>
  <c r="AA340" s="1"/>
  <c r="AB340" s="1"/>
  <c r="Z65"/>
  <c r="AA65" s="1"/>
  <c r="AB65" s="1"/>
  <c r="X21"/>
  <c r="AA506"/>
  <c r="AB506" s="1"/>
  <c r="AA10"/>
  <c r="AB10" s="1"/>
  <c r="AA175"/>
  <c r="AB175" s="1"/>
  <c r="AA349"/>
  <c r="AB349" s="1"/>
  <c r="AA396"/>
  <c r="AB396" s="1"/>
  <c r="W186"/>
  <c r="AA561"/>
  <c r="AB561" s="1"/>
  <c r="AA120"/>
  <c r="AB120" s="1"/>
  <c r="AA74"/>
  <c r="AB74" s="1"/>
  <c r="Z186"/>
  <c r="Y186"/>
  <c r="AA412" i="1"/>
  <c r="AB461"/>
  <c r="AB418"/>
  <c r="Y15"/>
  <c r="AB577"/>
  <c r="AB346" s="1"/>
  <c r="AB353" s="1"/>
  <c r="AB574"/>
  <c r="AB324" s="1"/>
  <c r="AB332" s="1"/>
  <c r="AB46"/>
  <c r="Z579"/>
  <c r="Z415" s="1"/>
  <c r="Z427" s="1"/>
  <c r="Y205"/>
  <c r="X351" i="2"/>
  <c r="X407"/>
  <c r="X511"/>
  <c r="X517"/>
  <c r="D35" i="19"/>
  <c r="G35" s="1"/>
  <c r="K35" s="1"/>
  <c r="L35" s="1"/>
  <c r="AA230" i="2"/>
  <c r="AB230" s="1"/>
  <c r="AA570"/>
  <c r="AB570" s="1"/>
  <c r="X627"/>
  <c r="X180"/>
  <c r="AA1122"/>
  <c r="AB1122" s="1"/>
  <c r="Z284"/>
  <c r="AA284" s="1"/>
  <c r="AB284" s="1"/>
  <c r="Z339"/>
  <c r="AA339" s="1"/>
  <c r="AB339" s="1"/>
  <c r="Z119"/>
  <c r="AA119" s="1"/>
  <c r="AB119" s="1"/>
  <c r="Z293"/>
  <c r="AA293" s="1"/>
  <c r="AB293" s="1"/>
  <c r="Z395"/>
  <c r="AA395" s="1"/>
  <c r="AB395" s="1"/>
  <c r="Z624"/>
  <c r="AA624" s="1"/>
  <c r="AB624" s="1"/>
  <c r="Z450"/>
  <c r="AA450" s="1"/>
  <c r="AB450" s="1"/>
  <c r="Z505"/>
  <c r="AA505" s="1"/>
  <c r="AB505" s="1"/>
  <c r="Z615"/>
  <c r="AA615" s="1"/>
  <c r="AB615" s="1"/>
  <c r="Z9"/>
  <c r="AA9" s="1"/>
  <c r="AB9" s="1"/>
  <c r="Z569"/>
  <c r="AA569" s="1"/>
  <c r="AB569" s="1"/>
  <c r="Z18"/>
  <c r="AA18" s="1"/>
  <c r="AB18" s="1"/>
  <c r="Z560"/>
  <c r="AA560" s="1"/>
  <c r="AB560" s="1"/>
  <c r="Z174"/>
  <c r="AA174" s="1"/>
  <c r="AB174" s="1"/>
  <c r="Z514"/>
  <c r="AA514" s="1"/>
  <c r="AB514" s="1"/>
  <c r="Z73"/>
  <c r="AA73" s="1"/>
  <c r="AB73" s="1"/>
  <c r="Z404"/>
  <c r="AA404" s="1"/>
  <c r="AB404" s="1"/>
  <c r="Z229"/>
  <c r="AA229" s="1"/>
  <c r="AB229" s="1"/>
  <c r="Z459"/>
  <c r="AA459" s="1"/>
  <c r="AB459" s="1"/>
  <c r="Z64"/>
  <c r="AA64" s="1"/>
  <c r="AB64" s="1"/>
  <c r="Z348"/>
  <c r="AA348" s="1"/>
  <c r="AB348" s="1"/>
  <c r="Z290"/>
  <c r="Z627"/>
  <c r="Z296"/>
  <c r="X70"/>
  <c r="X621"/>
  <c r="Z401"/>
  <c r="Z21"/>
  <c r="Z235"/>
  <c r="Z345"/>
  <c r="AA285"/>
  <c r="AB285" s="1"/>
  <c r="X401"/>
  <c r="AA86"/>
  <c r="AB86" s="1"/>
  <c r="D35" i="15"/>
  <c r="G35" s="1"/>
  <c r="K35" s="1"/>
  <c r="L35" s="1"/>
  <c r="D35" i="16"/>
  <c r="G35" s="1"/>
  <c r="K35" s="1"/>
  <c r="L35" s="1"/>
  <c r="D35" i="17"/>
  <c r="G35" s="1"/>
  <c r="K35" s="1"/>
  <c r="L35" s="1"/>
  <c r="AA637" i="2"/>
  <c r="AB637" s="1"/>
  <c r="AA596" i="1"/>
  <c r="AA12"/>
  <c r="AA11"/>
  <c r="AA10"/>
  <c r="AA68"/>
  <c r="AA54"/>
  <c r="AA52"/>
  <c r="AA118"/>
  <c r="AA86"/>
  <c r="AA13"/>
  <c r="AA55"/>
  <c r="AA87"/>
  <c r="AA9"/>
  <c r="Z609"/>
  <c r="Z228"/>
  <c r="Z241" s="1"/>
  <c r="AB605"/>
  <c r="AB151"/>
  <c r="AB158" s="1"/>
  <c r="AA608"/>
  <c r="AA211"/>
  <c r="AA218"/>
  <c r="AA219"/>
  <c r="AA208"/>
  <c r="AA217"/>
  <c r="AA215"/>
  <c r="AA216"/>
  <c r="AA209"/>
  <c r="AA212"/>
  <c r="AA210"/>
  <c r="AA221"/>
  <c r="E14" i="15"/>
  <c r="Y1160" i="2"/>
  <c r="Y15"/>
  <c r="N365"/>
  <c r="AA420"/>
  <c r="AB420" s="1"/>
  <c r="G421"/>
  <c r="AA421" s="1"/>
  <c r="AB421" s="1"/>
  <c r="L196"/>
  <c r="S196"/>
  <c r="T196"/>
  <c r="Y196"/>
  <c r="Z196"/>
  <c r="Q196"/>
  <c r="R196"/>
  <c r="V196"/>
  <c r="W196"/>
  <c r="M196"/>
  <c r="N196"/>
  <c r="O196"/>
  <c r="P196"/>
  <c r="U196"/>
  <c r="X196"/>
  <c r="H196"/>
  <c r="I196"/>
  <c r="J196"/>
  <c r="K196"/>
  <c r="G196"/>
  <c r="K639"/>
  <c r="H639"/>
  <c r="M639"/>
  <c r="I639"/>
  <c r="J639"/>
  <c r="G639"/>
  <c r="L639"/>
  <c r="N639"/>
  <c r="R639"/>
  <c r="T639"/>
  <c r="U639"/>
  <c r="V639"/>
  <c r="X639"/>
  <c r="Y639"/>
  <c r="P639"/>
  <c r="S639"/>
  <c r="O639"/>
  <c r="Q639"/>
  <c r="W639"/>
  <c r="Z639"/>
  <c r="V252"/>
  <c r="X252"/>
  <c r="O252"/>
  <c r="P252"/>
  <c r="Z252"/>
  <c r="Y252"/>
  <c r="M252"/>
  <c r="N252"/>
  <c r="J252"/>
  <c r="H252"/>
  <c r="I252"/>
  <c r="W252"/>
  <c r="K252"/>
  <c r="L252"/>
  <c r="R252"/>
  <c r="T252"/>
  <c r="Q252"/>
  <c r="U252"/>
  <c r="G252"/>
  <c r="S252"/>
  <c r="F123"/>
  <c r="O787"/>
  <c r="O794"/>
  <c r="O782"/>
  <c r="G185"/>
  <c r="G571"/>
  <c r="G572" s="1"/>
  <c r="G240"/>
  <c r="G66"/>
  <c r="G70" s="1"/>
  <c r="G286"/>
  <c r="G290" s="1"/>
  <c r="G341"/>
  <c r="G345" s="1"/>
  <c r="G350"/>
  <c r="G351" s="1"/>
  <c r="G452"/>
  <c r="G456" s="1"/>
  <c r="G176"/>
  <c r="G20"/>
  <c r="G21" s="1"/>
  <c r="G11"/>
  <c r="G75"/>
  <c r="G76" s="1"/>
  <c r="G626"/>
  <c r="G627" s="1"/>
  <c r="G121"/>
  <c r="G397"/>
  <c r="G401" s="1"/>
  <c r="G617"/>
  <c r="G621" s="1"/>
  <c r="G562"/>
  <c r="G566" s="1"/>
  <c r="G231"/>
  <c r="G235" s="1"/>
  <c r="G507"/>
  <c r="G511" s="1"/>
  <c r="G516"/>
  <c r="G517" s="1"/>
  <c r="G406"/>
  <c r="G407" s="1"/>
  <c r="G461"/>
  <c r="G462" s="1"/>
  <c r="G295"/>
  <c r="G296" s="1"/>
  <c r="G130"/>
  <c r="AA1115"/>
  <c r="AB1115" s="1"/>
  <c r="Y478" i="1"/>
  <c r="E14" i="19"/>
  <c r="E30" i="21"/>
  <c r="N1160" i="2"/>
  <c r="N15"/>
  <c r="P787"/>
  <c r="P794"/>
  <c r="P782"/>
  <c r="E14" i="23"/>
  <c r="P1160" i="2"/>
  <c r="P15"/>
  <c r="X197"/>
  <c r="Y197"/>
  <c r="P197"/>
  <c r="Z197"/>
  <c r="O197"/>
  <c r="V197"/>
  <c r="N197"/>
  <c r="H197"/>
  <c r="J197"/>
  <c r="I197"/>
  <c r="M197"/>
  <c r="L197"/>
  <c r="T197"/>
  <c r="W197"/>
  <c r="R197"/>
  <c r="Q197"/>
  <c r="K197"/>
  <c r="U197"/>
  <c r="G197"/>
  <c r="S197"/>
  <c r="AA582"/>
  <c r="AB582" s="1"/>
  <c r="E14" i="17"/>
  <c r="AB603" i="1"/>
  <c r="K407" i="2"/>
  <c r="K1160"/>
  <c r="K15"/>
  <c r="AA397"/>
  <c r="AB397" s="1"/>
  <c r="K401"/>
  <c r="AA341"/>
  <c r="AB341" s="1"/>
  <c r="K345"/>
  <c r="E28" i="20"/>
  <c r="M180" i="2"/>
  <c r="E30" i="20"/>
  <c r="J696" i="2"/>
  <c r="D32" i="17" s="1"/>
  <c r="E32" s="1"/>
  <c r="K32" s="1"/>
  <c r="L32" s="1"/>
  <c r="J768" i="2"/>
  <c r="R747"/>
  <c r="R818"/>
  <c r="R790"/>
  <c r="R791"/>
  <c r="R795"/>
  <c r="L768"/>
  <c r="L696"/>
  <c r="D32" i="19" s="1"/>
  <c r="E32" s="1"/>
  <c r="K32" s="1"/>
  <c r="L32" s="1"/>
  <c r="V768" i="2"/>
  <c r="V696"/>
  <c r="AA604" i="1"/>
  <c r="AA140"/>
  <c r="AA146" s="1"/>
  <c r="E14" i="16"/>
  <c r="O186" i="2"/>
  <c r="T186"/>
  <c r="I186"/>
  <c r="G28" i="16" s="1"/>
  <c r="G186" i="2"/>
  <c r="AA183"/>
  <c r="AB183" s="1"/>
  <c r="U186"/>
  <c r="W602" i="1"/>
  <c r="W102"/>
  <c r="X696" i="2"/>
  <c r="X768"/>
  <c r="N98" i="1"/>
  <c r="H424" i="2"/>
  <c r="G424"/>
  <c r="I424"/>
  <c r="L424"/>
  <c r="K424"/>
  <c r="M424"/>
  <c r="J424"/>
  <c r="V424"/>
  <c r="Z424"/>
  <c r="N424"/>
  <c r="O424"/>
  <c r="R424"/>
  <c r="T424"/>
  <c r="W424"/>
  <c r="X424"/>
  <c r="Y424"/>
  <c r="P424"/>
  <c r="Q424"/>
  <c r="S424"/>
  <c r="U424"/>
  <c r="Q1160"/>
  <c r="Q15"/>
  <c r="AA75"/>
  <c r="AB75" s="1"/>
  <c r="K76"/>
  <c r="AA507"/>
  <c r="AB507" s="1"/>
  <c r="K511"/>
  <c r="AA231"/>
  <c r="AB231" s="1"/>
  <c r="K235"/>
  <c r="AA461"/>
  <c r="AB461" s="1"/>
  <c r="K462"/>
  <c r="AA562"/>
  <c r="AB562" s="1"/>
  <c r="K566"/>
  <c r="AA295"/>
  <c r="AB295" s="1"/>
  <c r="K296"/>
  <c r="G29" i="22" s="1"/>
  <c r="E14" i="20"/>
  <c r="M782" i="2"/>
  <c r="M794"/>
  <c r="M787"/>
  <c r="J790"/>
  <c r="J747"/>
  <c r="J791"/>
  <c r="J795"/>
  <c r="J818"/>
  <c r="L747"/>
  <c r="L791"/>
  <c r="L790"/>
  <c r="L818"/>
  <c r="L795"/>
  <c r="V818"/>
  <c r="V791"/>
  <c r="V790"/>
  <c r="V747"/>
  <c r="V795"/>
  <c r="H365"/>
  <c r="P365"/>
  <c r="G584"/>
  <c r="L584"/>
  <c r="K584"/>
  <c r="I584"/>
  <c r="H584"/>
  <c r="M584"/>
  <c r="R584"/>
  <c r="S584"/>
  <c r="V584"/>
  <c r="N584"/>
  <c r="O584"/>
  <c r="Q584"/>
  <c r="U584"/>
  <c r="Y584"/>
  <c r="P584"/>
  <c r="T584"/>
  <c r="W584"/>
  <c r="X584"/>
  <c r="Z584"/>
  <c r="J584"/>
  <c r="Z610" i="1"/>
  <c r="Z448"/>
  <c r="Z450" s="1"/>
  <c r="Z452" s="1"/>
  <c r="Z245"/>
  <c r="Z255" s="1"/>
  <c r="S1160" i="2"/>
  <c r="S15"/>
  <c r="K309"/>
  <c r="I309"/>
  <c r="I310" s="1"/>
  <c r="M309"/>
  <c r="M310" s="1"/>
  <c r="O309"/>
  <c r="O310" s="1"/>
  <c r="Y309"/>
  <c r="Y310" s="1"/>
  <c r="Z309"/>
  <c r="Z310" s="1"/>
  <c r="R309"/>
  <c r="R310" s="1"/>
  <c r="P309"/>
  <c r="P310" s="1"/>
  <c r="Q309"/>
  <c r="Q310" s="1"/>
  <c r="V309"/>
  <c r="X309"/>
  <c r="X310" s="1"/>
  <c r="N309"/>
  <c r="U309"/>
  <c r="U310" s="1"/>
  <c r="J309"/>
  <c r="J310" s="1"/>
  <c r="T309"/>
  <c r="T310" s="1"/>
  <c r="H309"/>
  <c r="H310" s="1"/>
  <c r="G309"/>
  <c r="W309"/>
  <c r="W310" s="1"/>
  <c r="S309"/>
  <c r="S310" s="1"/>
  <c r="L309"/>
  <c r="F310"/>
  <c r="S599" i="1"/>
  <c r="S94"/>
  <c r="S98" s="1"/>
  <c r="AA189" i="2"/>
  <c r="AB189" s="1"/>
  <c r="T768"/>
  <c r="T696"/>
  <c r="N180"/>
  <c r="E28" i="21"/>
  <c r="E29"/>
  <c r="E28" i="23"/>
  <c r="P180" i="2"/>
  <c r="AA471"/>
  <c r="AB471" s="1"/>
  <c r="AA240"/>
  <c r="AB240" s="1"/>
  <c r="G30" i="20"/>
  <c r="W241" i="2"/>
  <c r="AB236" i="1"/>
  <c r="AB518"/>
  <c r="AB128"/>
  <c r="AB137" s="1"/>
  <c r="AB536"/>
  <c r="AB444"/>
  <c r="AB253"/>
  <c r="AB237"/>
  <c r="AB535"/>
  <c r="AB438"/>
  <c r="AB249"/>
  <c r="AB403"/>
  <c r="AB239"/>
  <c r="AA528" i="2"/>
  <c r="AB528" s="1"/>
  <c r="AA583"/>
  <c r="AB583" s="1"/>
  <c r="H186"/>
  <c r="G28" i="15" s="1"/>
  <c r="U180" i="2"/>
  <c r="I791"/>
  <c r="I747"/>
  <c r="I790"/>
  <c r="I795"/>
  <c r="I818"/>
  <c r="S186"/>
  <c r="AA238"/>
  <c r="AB238" s="1"/>
  <c r="G241"/>
  <c r="U1160"/>
  <c r="U15"/>
  <c r="X791"/>
  <c r="X795"/>
  <c r="X747"/>
  <c r="X790"/>
  <c r="X818"/>
  <c r="W1160"/>
  <c r="W15"/>
  <c r="AA603" i="1"/>
  <c r="AA343"/>
  <c r="AA387" s="1"/>
  <c r="AA128"/>
  <c r="AA137" s="1"/>
  <c r="AA148" s="1"/>
  <c r="X289"/>
  <c r="G368" i="2"/>
  <c r="H368"/>
  <c r="K368"/>
  <c r="I368"/>
  <c r="L368"/>
  <c r="J368"/>
  <c r="M368"/>
  <c r="P368"/>
  <c r="T368"/>
  <c r="V368"/>
  <c r="W368"/>
  <c r="Y368"/>
  <c r="U368"/>
  <c r="Z368"/>
  <c r="O368"/>
  <c r="S368"/>
  <c r="X368"/>
  <c r="N368"/>
  <c r="Q368"/>
  <c r="R368"/>
  <c r="AC457" i="1"/>
  <c r="AC469"/>
  <c r="AC277"/>
  <c r="AC459"/>
  <c r="AC39"/>
  <c r="AC143"/>
  <c r="AC174"/>
  <c r="AC472"/>
  <c r="AC467"/>
  <c r="AC279"/>
  <c r="AC369"/>
  <c r="AC330"/>
  <c r="AC199"/>
  <c r="AC235"/>
  <c r="AC348"/>
  <c r="AC471"/>
  <c r="AC275"/>
  <c r="AC266"/>
  <c r="AC154"/>
  <c r="AC57"/>
  <c r="AC381"/>
  <c r="AC371"/>
  <c r="AC185"/>
  <c r="AC285"/>
  <c r="AC455"/>
  <c r="AC466"/>
  <c r="AC585"/>
  <c r="AC458"/>
  <c r="AC464"/>
  <c r="AC163"/>
  <c r="AC358"/>
  <c r="AC441"/>
  <c r="AC586"/>
  <c r="AC359"/>
  <c r="AC394"/>
  <c r="AC97"/>
  <c r="AC456"/>
  <c r="AC132"/>
  <c r="AC23"/>
  <c r="AC465"/>
  <c r="AC393"/>
  <c r="AC281"/>
  <c r="AC200"/>
  <c r="AC183"/>
  <c r="AC156"/>
  <c r="AC164"/>
  <c r="AC38"/>
  <c r="AC419" s="1"/>
  <c r="AC351"/>
  <c r="AC380"/>
  <c r="AC349"/>
  <c r="AC327"/>
  <c r="AC131"/>
  <c r="AC267"/>
  <c r="AC65"/>
  <c r="AC526"/>
  <c r="AC184"/>
  <c r="AC468"/>
  <c r="AC270"/>
  <c r="AC141"/>
  <c r="AC134"/>
  <c r="AC43"/>
  <c r="AC442" s="1"/>
  <c r="AC233"/>
  <c r="AC337"/>
  <c r="AC269"/>
  <c r="AC173"/>
  <c r="AC66"/>
  <c r="AC268"/>
  <c r="AC378"/>
  <c r="AC325"/>
  <c r="AC283"/>
  <c r="AC280"/>
  <c r="AC276"/>
  <c r="AC133"/>
  <c r="AC473"/>
  <c r="AC175"/>
  <c r="AC347"/>
  <c r="AC36"/>
  <c r="AC437" s="1"/>
  <c r="AC201"/>
  <c r="AC42"/>
  <c r="AC423" s="1"/>
  <c r="AC58"/>
  <c r="AC329"/>
  <c r="AC144"/>
  <c r="AC373"/>
  <c r="AC278"/>
  <c r="AC155"/>
  <c r="AC40"/>
  <c r="AC162"/>
  <c r="AC339"/>
  <c r="AC186"/>
  <c r="AC142"/>
  <c r="AC176"/>
  <c r="AC230"/>
  <c r="AC438"/>
  <c r="AC470"/>
  <c r="AC350"/>
  <c r="AC44"/>
  <c r="AC27"/>
  <c r="AC250"/>
  <c r="AC152"/>
  <c r="AC370"/>
  <c r="AC19"/>
  <c r="AC360"/>
  <c r="AC41"/>
  <c r="AC252" s="1"/>
  <c r="AC379"/>
  <c r="AC115"/>
  <c r="AC357"/>
  <c r="AC474"/>
  <c r="AC534"/>
  <c r="AC37"/>
  <c r="AC439" s="1"/>
  <c r="AC284"/>
  <c r="AC129"/>
  <c r="AC336"/>
  <c r="AD2"/>
  <c r="AC83"/>
  <c r="AC326"/>
  <c r="AC282"/>
  <c r="AC372"/>
  <c r="AC328"/>
  <c r="AC422"/>
  <c r="AC338"/>
  <c r="AC153"/>
  <c r="AC135"/>
  <c r="AC165"/>
  <c r="AC130"/>
  <c r="AC33"/>
  <c r="AC598" s="1"/>
  <c r="AC535"/>
  <c r="AC416"/>
  <c r="AC247"/>
  <c r="AC232"/>
  <c r="Q180" i="2"/>
  <c r="AA350"/>
  <c r="AB350" s="1"/>
  <c r="K351"/>
  <c r="E28" i="22"/>
  <c r="K180" i="2"/>
  <c r="AA617"/>
  <c r="AB617" s="1"/>
  <c r="K621"/>
  <c r="AA452"/>
  <c r="AB452" s="1"/>
  <c r="K456"/>
  <c r="AA516"/>
  <c r="AB516" s="1"/>
  <c r="K517"/>
  <c r="AA20"/>
  <c r="AB20" s="1"/>
  <c r="K21"/>
  <c r="M1160"/>
  <c r="M15"/>
  <c r="AA526"/>
  <c r="AB526" s="1"/>
  <c r="X473"/>
  <c r="P473"/>
  <c r="O473"/>
  <c r="V473"/>
  <c r="Y473"/>
  <c r="Z473"/>
  <c r="H473"/>
  <c r="I473"/>
  <c r="J473"/>
  <c r="N473"/>
  <c r="M473"/>
  <c r="W473"/>
  <c r="K473"/>
  <c r="L473"/>
  <c r="T473"/>
  <c r="R473"/>
  <c r="Q473"/>
  <c r="U473"/>
  <c r="S473"/>
  <c r="G473"/>
  <c r="AA364"/>
  <c r="AB364" s="1"/>
  <c r="G365"/>
  <c r="I365"/>
  <c r="T599" i="1"/>
  <c r="T94"/>
  <c r="T98" s="1"/>
  <c r="I529" i="2"/>
  <c r="J529"/>
  <c r="G529"/>
  <c r="L529"/>
  <c r="K529"/>
  <c r="H529"/>
  <c r="M529"/>
  <c r="P529"/>
  <c r="S529"/>
  <c r="W529"/>
  <c r="O529"/>
  <c r="Z529"/>
  <c r="N529"/>
  <c r="R529"/>
  <c r="T529"/>
  <c r="U529"/>
  <c r="X529"/>
  <c r="Y529"/>
  <c r="Q529"/>
  <c r="V529"/>
  <c r="J88"/>
  <c r="I88"/>
  <c r="L88"/>
  <c r="G88"/>
  <c r="H88"/>
  <c r="M88"/>
  <c r="K88"/>
  <c r="N88"/>
  <c r="O88"/>
  <c r="P88"/>
  <c r="S88"/>
  <c r="T88"/>
  <c r="V88"/>
  <c r="Z88"/>
  <c r="Q88"/>
  <c r="W88"/>
  <c r="X88"/>
  <c r="R88"/>
  <c r="U88"/>
  <c r="Y88"/>
  <c r="X611" i="1"/>
  <c r="X305"/>
  <c r="X296"/>
  <c r="X300"/>
  <c r="X295"/>
  <c r="X301"/>
  <c r="X493"/>
  <c r="X490"/>
  <c r="X297"/>
  <c r="X298"/>
  <c r="X495"/>
  <c r="X304"/>
  <c r="X489"/>
  <c r="X496"/>
  <c r="X492"/>
  <c r="X487"/>
  <c r="X488"/>
  <c r="S794" i="2"/>
  <c r="S787"/>
  <c r="S782"/>
  <c r="S180"/>
  <c r="O1160"/>
  <c r="O15"/>
  <c r="AA636"/>
  <c r="AB636" s="1"/>
  <c r="T795"/>
  <c r="T790"/>
  <c r="T818"/>
  <c r="T747"/>
  <c r="T791"/>
  <c r="E14" i="21"/>
  <c r="E30" i="23"/>
  <c r="U599" i="1"/>
  <c r="U94"/>
  <c r="U98" s="1"/>
  <c r="AB220"/>
  <c r="AB528"/>
  <c r="AB527"/>
  <c r="AB29"/>
  <c r="AB417"/>
  <c r="AB409"/>
  <c r="AB59"/>
  <c r="AB402"/>
  <c r="AB117"/>
  <c r="AB383"/>
  <c r="AB416"/>
  <c r="AB230"/>
  <c r="AB272"/>
  <c r="AB229"/>
  <c r="AB404"/>
  <c r="AB576"/>
  <c r="AB335" s="1"/>
  <c r="AB341" s="1"/>
  <c r="AB375"/>
  <c r="AB578"/>
  <c r="AB356" s="1"/>
  <c r="AB362" s="1"/>
  <c r="AB364" s="1"/>
  <c r="AA638" i="2"/>
  <c r="AB638" s="1"/>
  <c r="AA527"/>
  <c r="AB527" s="1"/>
  <c r="AA308"/>
  <c r="AB308" s="1"/>
  <c r="G30" i="21"/>
  <c r="G30" i="23"/>
  <c r="Y223" i="1"/>
  <c r="Y261" s="1"/>
  <c r="M186" i="2"/>
  <c r="G28" i="20" s="1"/>
  <c r="H790" i="2"/>
  <c r="H795"/>
  <c r="H818"/>
  <c r="H747"/>
  <c r="H791"/>
  <c r="W611" i="1"/>
  <c r="W488"/>
  <c r="W304"/>
  <c r="W495"/>
  <c r="W295"/>
  <c r="W297"/>
  <c r="W493"/>
  <c r="W305"/>
  <c r="W490"/>
  <c r="W296"/>
  <c r="W487"/>
  <c r="W298"/>
  <c r="W301"/>
  <c r="W300"/>
  <c r="W489"/>
  <c r="W492"/>
  <c r="W496"/>
  <c r="AA606"/>
  <c r="AA161"/>
  <c r="AA167" s="1"/>
  <c r="AA169" s="1"/>
  <c r="L186" i="2"/>
  <c r="G28" i="19" s="1"/>
  <c r="P186" i="2"/>
  <c r="G28" i="23" s="1"/>
  <c r="Z1160" i="2"/>
  <c r="Z15"/>
  <c r="Z596" i="1"/>
  <c r="Z13"/>
  <c r="Z9"/>
  <c r="Z55"/>
  <c r="Z52"/>
  <c r="Z12"/>
  <c r="Z86"/>
  <c r="Z10"/>
  <c r="Z118"/>
  <c r="Z120" s="1"/>
  <c r="Z87"/>
  <c r="Z54"/>
  <c r="Z11"/>
  <c r="Z68"/>
  <c r="Z70" s="1"/>
  <c r="Z78" s="1"/>
  <c r="N186" i="2"/>
  <c r="G28" i="21" s="1"/>
  <c r="K186" i="2"/>
  <c r="G28" i="22" s="1"/>
  <c r="R186" i="2"/>
  <c r="Q186"/>
  <c r="J186"/>
  <c r="G28" i="17" s="1"/>
  <c r="Z782" i="2"/>
  <c r="Z794"/>
  <c r="Z787"/>
  <c r="U782"/>
  <c r="U787"/>
  <c r="U794"/>
  <c r="Y794"/>
  <c r="Y782"/>
  <c r="Y787"/>
  <c r="I696"/>
  <c r="D32" i="16" s="1"/>
  <c r="E32" s="1"/>
  <c r="K32" s="1"/>
  <c r="L32" s="1"/>
  <c r="I768" i="2"/>
  <c r="L472"/>
  <c r="M472"/>
  <c r="P472"/>
  <c r="T472"/>
  <c r="Y472"/>
  <c r="N472"/>
  <c r="R472"/>
  <c r="V472"/>
  <c r="W472"/>
  <c r="Z472"/>
  <c r="O472"/>
  <c r="X472"/>
  <c r="Q472"/>
  <c r="S472"/>
  <c r="U472"/>
  <c r="I472"/>
  <c r="H472"/>
  <c r="J472"/>
  <c r="K472"/>
  <c r="G472"/>
  <c r="H768"/>
  <c r="H696"/>
  <c r="D32" i="15" s="1"/>
  <c r="E32" s="1"/>
  <c r="K32" s="1"/>
  <c r="L32" s="1"/>
  <c r="W782" i="2"/>
  <c r="W794"/>
  <c r="W787"/>
  <c r="X61" i="1"/>
  <c r="X614"/>
  <c r="X521"/>
  <c r="T601"/>
  <c r="T504"/>
  <c r="F251" i="2"/>
  <c r="T101" i="1"/>
  <c r="T104" s="1"/>
  <c r="M134" i="2"/>
  <c r="O134"/>
  <c r="Q134"/>
  <c r="T134"/>
  <c r="L134"/>
  <c r="S134"/>
  <c r="N134"/>
  <c r="R134"/>
  <c r="U134"/>
  <c r="W134"/>
  <c r="Y134"/>
  <c r="Z134"/>
  <c r="P134"/>
  <c r="V134"/>
  <c r="X134"/>
  <c r="I134"/>
  <c r="J134"/>
  <c r="H134"/>
  <c r="G134"/>
  <c r="K134"/>
  <c r="Q787"/>
  <c r="Q794"/>
  <c r="Q782"/>
  <c r="AA66"/>
  <c r="AB66" s="1"/>
  <c r="K70"/>
  <c r="AA571"/>
  <c r="AB571" s="1"/>
  <c r="K572"/>
  <c r="E14" i="22"/>
  <c r="AA626" i="2"/>
  <c r="AB626" s="1"/>
  <c r="K627"/>
  <c r="AA286"/>
  <c r="AB286" s="1"/>
  <c r="K290"/>
  <c r="E29" i="20"/>
  <c r="R768" i="2"/>
  <c r="R696"/>
  <c r="L365"/>
  <c r="K365"/>
  <c r="F474"/>
  <c r="V551" i="1"/>
  <c r="I34" i="2"/>
  <c r="I35" s="1"/>
  <c r="M34"/>
  <c r="M35" s="1"/>
  <c r="J34"/>
  <c r="J35" s="1"/>
  <c r="K34"/>
  <c r="K35" s="1"/>
  <c r="P34"/>
  <c r="P35" s="1"/>
  <c r="R34"/>
  <c r="R35" s="1"/>
  <c r="Z34"/>
  <c r="Z35" s="1"/>
  <c r="V34"/>
  <c r="V35" s="1"/>
  <c r="O34"/>
  <c r="O35" s="1"/>
  <c r="Q34"/>
  <c r="Q35" s="1"/>
  <c r="W34"/>
  <c r="W35" s="1"/>
  <c r="X34"/>
  <c r="X35" s="1"/>
  <c r="Y34"/>
  <c r="Y35" s="1"/>
  <c r="S34"/>
  <c r="S35" s="1"/>
  <c r="N34"/>
  <c r="N35" s="1"/>
  <c r="T34"/>
  <c r="T35" s="1"/>
  <c r="U34"/>
  <c r="U35" s="1"/>
  <c r="H34"/>
  <c r="H35" s="1"/>
  <c r="G34"/>
  <c r="L34"/>
  <c r="L35" s="1"/>
  <c r="W91" i="1"/>
  <c r="F89" i="2" s="1"/>
  <c r="W299" i="1"/>
  <c r="W494"/>
  <c r="W541"/>
  <c r="W302"/>
  <c r="W543"/>
  <c r="F530" i="2" s="1"/>
  <c r="W549" i="1"/>
  <c r="W491"/>
  <c r="W303"/>
  <c r="W547"/>
  <c r="F640" i="2" s="1"/>
  <c r="W545" i="1"/>
  <c r="F585" i="2" s="1"/>
  <c r="AA597" i="1"/>
  <c r="AA117"/>
  <c r="AA120" s="1"/>
  <c r="AA253"/>
  <c r="AA85"/>
  <c r="AA89" s="1"/>
  <c r="AA238"/>
  <c r="AA519"/>
  <c r="AA59"/>
  <c r="AA56"/>
  <c r="AA67"/>
  <c r="AA70" s="1"/>
  <c r="AA78" s="1"/>
  <c r="AA536"/>
  <c r="AA236"/>
  <c r="AA424"/>
  <c r="AA425"/>
  <c r="AA237"/>
  <c r="AA239"/>
  <c r="AA528"/>
  <c r="AA444"/>
  <c r="AA580" s="1"/>
  <c r="AA436" s="1"/>
  <c r="AA446" s="1"/>
  <c r="L195" i="2"/>
  <c r="O195"/>
  <c r="R195"/>
  <c r="S195"/>
  <c r="W195"/>
  <c r="Q195"/>
  <c r="U195"/>
  <c r="X195"/>
  <c r="Y195"/>
  <c r="N195"/>
  <c r="Z195"/>
  <c r="M195"/>
  <c r="P195"/>
  <c r="T195"/>
  <c r="V195"/>
  <c r="J195"/>
  <c r="H195"/>
  <c r="I195"/>
  <c r="K195"/>
  <c r="G195"/>
  <c r="N794"/>
  <c r="N782"/>
  <c r="N787"/>
  <c r="E29" i="23"/>
  <c r="S504" i="1"/>
  <c r="S601"/>
  <c r="F250" i="2"/>
  <c r="S101" i="1"/>
  <c r="Y61"/>
  <c r="Y614"/>
  <c r="Y521"/>
  <c r="Y612"/>
  <c r="Y537"/>
  <c r="Y539" s="1"/>
  <c r="F425" i="2" s="1"/>
  <c r="F426" s="1"/>
  <c r="Y307" i="1"/>
  <c r="Y497"/>
  <c r="Y306"/>
  <c r="Y520"/>
  <c r="Y498"/>
  <c r="Y529"/>
  <c r="Y531" s="1"/>
  <c r="F369" i="2" s="1"/>
  <c r="Z241"/>
  <c r="U241"/>
  <c r="V309" i="1"/>
  <c r="V311" s="1"/>
  <c r="V500"/>
  <c r="V502" s="1"/>
  <c r="AA203"/>
  <c r="X523"/>
  <c r="AB116"/>
  <c r="AB410"/>
  <c r="AB246"/>
  <c r="AB519"/>
  <c r="AB407"/>
  <c r="AB517"/>
  <c r="AB238"/>
  <c r="AB425"/>
  <c r="AB583"/>
  <c r="AB105" s="1"/>
  <c r="AB84"/>
  <c r="AB85"/>
  <c r="AB587"/>
  <c r="AB439"/>
  <c r="AB56"/>
  <c r="AB405"/>
  <c r="AB231"/>
  <c r="AB287"/>
  <c r="AB476"/>
  <c r="U104"/>
  <c r="AA87" i="2"/>
  <c r="AB87" s="1"/>
  <c r="F641"/>
  <c r="V310"/>
  <c r="AA33"/>
  <c r="AB33" s="1"/>
  <c r="Z223" i="1"/>
  <c r="Z76" i="2" l="1"/>
  <c r="AC409" i="1"/>
  <c r="AC404"/>
  <c r="AC517"/>
  <c r="AC410"/>
  <c r="AC231"/>
  <c r="AC251"/>
  <c r="Z89"/>
  <c r="AC527"/>
  <c r="AC420"/>
  <c r="AC418"/>
  <c r="AC578"/>
  <c r="AC356" s="1"/>
  <c r="AC362" s="1"/>
  <c r="AC606" s="1"/>
  <c r="X794" i="2"/>
  <c r="X782"/>
  <c r="X787"/>
  <c r="Z517"/>
  <c r="AC408" i="1"/>
  <c r="AC84"/>
  <c r="AC248"/>
  <c r="AC407"/>
  <c r="AC461"/>
  <c r="AC440"/>
  <c r="AC518"/>
  <c r="AB597"/>
  <c r="AB67"/>
  <c r="AB424"/>
  <c r="AC213"/>
  <c r="AB580"/>
  <c r="AB436" s="1"/>
  <c r="AB446" s="1"/>
  <c r="AB245" s="1"/>
  <c r="AB255" s="1"/>
  <c r="AC577"/>
  <c r="AC346" s="1"/>
  <c r="AC353" s="1"/>
  <c r="Z621" i="2"/>
  <c r="AA621" s="1"/>
  <c r="AB621" s="1"/>
  <c r="Z456"/>
  <c r="Z572"/>
  <c r="AA572" s="1"/>
  <c r="AB572" s="1"/>
  <c r="Z462"/>
  <c r="Z566"/>
  <c r="AA566" s="1"/>
  <c r="AB566" s="1"/>
  <c r="Z351"/>
  <c r="Z180"/>
  <c r="Z407"/>
  <c r="Z70"/>
  <c r="AA70" s="1"/>
  <c r="AB70" s="1"/>
  <c r="Z511"/>
  <c r="AA473"/>
  <c r="AB473" s="1"/>
  <c r="AC605" i="1"/>
  <c r="AC161"/>
  <c r="AC167" s="1"/>
  <c r="Y289"/>
  <c r="AA610"/>
  <c r="AA245"/>
  <c r="AA255" s="1"/>
  <c r="AB196"/>
  <c r="AB198"/>
  <c r="AB392"/>
  <c r="AB396" s="1"/>
  <c r="AB197"/>
  <c r="AB195"/>
  <c r="P250" i="2"/>
  <c r="M250"/>
  <c r="U250"/>
  <c r="Z250"/>
  <c r="Q250"/>
  <c r="S250"/>
  <c r="T250"/>
  <c r="W250"/>
  <c r="O250"/>
  <c r="R250"/>
  <c r="V250"/>
  <c r="X250"/>
  <c r="Y250"/>
  <c r="L250"/>
  <c r="N250"/>
  <c r="J250"/>
  <c r="I250"/>
  <c r="H250"/>
  <c r="K250"/>
  <c r="G250"/>
  <c r="I585"/>
  <c r="M585"/>
  <c r="K585"/>
  <c r="K586" s="1"/>
  <c r="O585"/>
  <c r="O586" s="1"/>
  <c r="P585"/>
  <c r="V585"/>
  <c r="V586" s="1"/>
  <c r="Q585"/>
  <c r="Q586" s="1"/>
  <c r="X585"/>
  <c r="X586" s="1"/>
  <c r="Y585"/>
  <c r="R585"/>
  <c r="R586" s="1"/>
  <c r="Z585"/>
  <c r="Z586" s="1"/>
  <c r="U585"/>
  <c r="U586" s="1"/>
  <c r="T585"/>
  <c r="N585"/>
  <c r="N586" s="1"/>
  <c r="J585"/>
  <c r="J586" s="1"/>
  <c r="H585"/>
  <c r="H586" s="1"/>
  <c r="L585"/>
  <c r="L586" s="1"/>
  <c r="S585"/>
  <c r="S586" s="1"/>
  <c r="W585"/>
  <c r="W586" s="1"/>
  <c r="G585"/>
  <c r="F586"/>
  <c r="AA365"/>
  <c r="AB365" s="1"/>
  <c r="Z612" i="1"/>
  <c r="Z306"/>
  <c r="Z537"/>
  <c r="Z539" s="1"/>
  <c r="F429" i="2" s="1"/>
  <c r="Z529" i="1"/>
  <c r="Z531" s="1"/>
  <c r="F373" i="2" s="1"/>
  <c r="Z497" i="1"/>
  <c r="Z498"/>
  <c r="Z520"/>
  <c r="Z307"/>
  <c r="Z696" i="2"/>
  <c r="Z768"/>
  <c r="AB604" i="1"/>
  <c r="AB140"/>
  <c r="AB146" s="1"/>
  <c r="AD328"/>
  <c r="AD200"/>
  <c r="AD330"/>
  <c r="AD422"/>
  <c r="AD235"/>
  <c r="AD174"/>
  <c r="AD141"/>
  <c r="AD268"/>
  <c r="AD133"/>
  <c r="AD468"/>
  <c r="AD456"/>
  <c r="AD19"/>
  <c r="AD339"/>
  <c r="AD370"/>
  <c r="AD186"/>
  <c r="AD36"/>
  <c r="AD438" s="1"/>
  <c r="AD466"/>
  <c r="AD338"/>
  <c r="AD164"/>
  <c r="AD472"/>
  <c r="AD40"/>
  <c r="AD132"/>
  <c r="AD65"/>
  <c r="AD165"/>
  <c r="AD156"/>
  <c r="AD336"/>
  <c r="AD467"/>
  <c r="AD379"/>
  <c r="AD378"/>
  <c r="AD416"/>
  <c r="AD359"/>
  <c r="AD83"/>
  <c r="AD373"/>
  <c r="AD465"/>
  <c r="AD23"/>
  <c r="AD57"/>
  <c r="AD270"/>
  <c r="AD183"/>
  <c r="AD155"/>
  <c r="AD144"/>
  <c r="AD43"/>
  <c r="AD251" s="1"/>
  <c r="AD37"/>
  <c r="AD439" s="1"/>
  <c r="AD33"/>
  <c r="AD598" s="1"/>
  <c r="AD281"/>
  <c r="AD380"/>
  <c r="AD142"/>
  <c r="AD471"/>
  <c r="AD329"/>
  <c r="AD347"/>
  <c r="AD371"/>
  <c r="AD269"/>
  <c r="AE2"/>
  <c r="AD348"/>
  <c r="AD279"/>
  <c r="AD267"/>
  <c r="AD115"/>
  <c r="AD41"/>
  <c r="AD421" s="1"/>
  <c r="AD360"/>
  <c r="AD278"/>
  <c r="AD351"/>
  <c r="AD58"/>
  <c r="AD213"/>
  <c r="AD442"/>
  <c r="AD405"/>
  <c r="AD233"/>
  <c r="AD409"/>
  <c r="AD358"/>
  <c r="AD280"/>
  <c r="AD184"/>
  <c r="AD38"/>
  <c r="AD440" s="1"/>
  <c r="AD458"/>
  <c r="AD134"/>
  <c r="AD66"/>
  <c r="AD393"/>
  <c r="AD135"/>
  <c r="AD275"/>
  <c r="AD464"/>
  <c r="AD369"/>
  <c r="AD586"/>
  <c r="AD474"/>
  <c r="AD349"/>
  <c r="AD175"/>
  <c r="AD585"/>
  <c r="AD587" s="1"/>
  <c r="AD196" s="1"/>
  <c r="AD470"/>
  <c r="AD277"/>
  <c r="AD457"/>
  <c r="AD130"/>
  <c r="AD97"/>
  <c r="AD326"/>
  <c r="AD152"/>
  <c r="AD266"/>
  <c r="AD272" s="1"/>
  <c r="AD131"/>
  <c r="AD276"/>
  <c r="AD283"/>
  <c r="AD282"/>
  <c r="AD372"/>
  <c r="AD229"/>
  <c r="AD404"/>
  <c r="AD247"/>
  <c r="AD407"/>
  <c r="AD214"/>
  <c r="AD402"/>
  <c r="AD198"/>
  <c r="AD84"/>
  <c r="AD526"/>
  <c r="AD469"/>
  <c r="AD381"/>
  <c r="AD201"/>
  <c r="AD325"/>
  <c r="AD574" s="1"/>
  <c r="AD324" s="1"/>
  <c r="AD332" s="1"/>
  <c r="AD327"/>
  <c r="AD42"/>
  <c r="AD423" s="1"/>
  <c r="AD129"/>
  <c r="AD394"/>
  <c r="AD185"/>
  <c r="AD176"/>
  <c r="AD534"/>
  <c r="AD337"/>
  <c r="AD285"/>
  <c r="AD357"/>
  <c r="AD578" s="1"/>
  <c r="AD356" s="1"/>
  <c r="AD362" s="1"/>
  <c r="AD143"/>
  <c r="AD27"/>
  <c r="AD437"/>
  <c r="AD455"/>
  <c r="AD199"/>
  <c r="AD163"/>
  <c r="AD44"/>
  <c r="AD39"/>
  <c r="AD441" s="1"/>
  <c r="AD173"/>
  <c r="AD284"/>
  <c r="AD153"/>
  <c r="AD162"/>
  <c r="AD473"/>
  <c r="AD154"/>
  <c r="AD350"/>
  <c r="AD459"/>
  <c r="AD230"/>
  <c r="AD518"/>
  <c r="AD406"/>
  <c r="AD420"/>
  <c r="AD417"/>
  <c r="AD246"/>
  <c r="AD195"/>
  <c r="AD535"/>
  <c r="AA368" i="2"/>
  <c r="AB368" s="1"/>
  <c r="W696"/>
  <c r="W768"/>
  <c r="U696"/>
  <c r="U768"/>
  <c r="AA584"/>
  <c r="AB584" s="1"/>
  <c r="Q795"/>
  <c r="Q818"/>
  <c r="Q791"/>
  <c r="Q747"/>
  <c r="Q790"/>
  <c r="AA424"/>
  <c r="AB424" s="1"/>
  <c r="N122" i="1"/>
  <c r="AA197" i="2"/>
  <c r="AB197" s="1"/>
  <c r="P795"/>
  <c r="P790"/>
  <c r="P818"/>
  <c r="P747"/>
  <c r="P791"/>
  <c r="N747"/>
  <c r="N795"/>
  <c r="N791"/>
  <c r="N790"/>
  <c r="N818"/>
  <c r="AA130"/>
  <c r="AB130" s="1"/>
  <c r="AA456"/>
  <c r="AB456" s="1"/>
  <c r="V123"/>
  <c r="V125" s="1"/>
  <c r="Z123"/>
  <c r="Z125" s="1"/>
  <c r="X123"/>
  <c r="X125" s="1"/>
  <c r="N123"/>
  <c r="N125" s="1"/>
  <c r="M123"/>
  <c r="W123"/>
  <c r="W125" s="1"/>
  <c r="Y123"/>
  <c r="Y125" s="1"/>
  <c r="S123"/>
  <c r="L123"/>
  <c r="J123"/>
  <c r="T123"/>
  <c r="G123"/>
  <c r="I123"/>
  <c r="H123"/>
  <c r="K123"/>
  <c r="Q123"/>
  <c r="U123"/>
  <c r="O123"/>
  <c r="O125" s="1"/>
  <c r="R123"/>
  <c r="P123"/>
  <c r="F125"/>
  <c r="Y768"/>
  <c r="Y696"/>
  <c r="AA612" i="1"/>
  <c r="AA537"/>
  <c r="AA539" s="1"/>
  <c r="F432" i="2" s="1"/>
  <c r="AA520" i="1"/>
  <c r="AA307"/>
  <c r="AA306"/>
  <c r="AA498"/>
  <c r="AA497"/>
  <c r="AA529"/>
  <c r="AA531" s="1"/>
  <c r="F377" i="2" s="1"/>
  <c r="D35" i="21"/>
  <c r="G35" s="1"/>
  <c r="K35" s="1"/>
  <c r="L35" s="1"/>
  <c r="AA579" i="1"/>
  <c r="AA415" s="1"/>
  <c r="AA427" s="1"/>
  <c r="AA448" s="1"/>
  <c r="AA450" s="1"/>
  <c r="AA452" s="1"/>
  <c r="U122"/>
  <c r="F142" i="2" s="1"/>
  <c r="AA529"/>
  <c r="AB529" s="1"/>
  <c r="T122" i="1"/>
  <c r="F141" i="2" s="1"/>
  <c r="AC583" i="1"/>
  <c r="AC105" s="1"/>
  <c r="AC29"/>
  <c r="AC249"/>
  <c r="AC417"/>
  <c r="AC234"/>
  <c r="AC383"/>
  <c r="AC220"/>
  <c r="AC421"/>
  <c r="AC116"/>
  <c r="AC402"/>
  <c r="AA192"/>
  <c r="AA205" s="1"/>
  <c r="Y259"/>
  <c r="T586" i="2"/>
  <c r="I586"/>
  <c r="D35" i="20"/>
  <c r="G35" s="1"/>
  <c r="K35" s="1"/>
  <c r="L35" s="1"/>
  <c r="AA406" i="2"/>
  <c r="AB406" s="1"/>
  <c r="AA517"/>
  <c r="AB517" s="1"/>
  <c r="AA76"/>
  <c r="AB76" s="1"/>
  <c r="Z257" i="1"/>
  <c r="Z259" s="1"/>
  <c r="X72"/>
  <c r="X600"/>
  <c r="X77"/>
  <c r="X80" s="1"/>
  <c r="X96"/>
  <c r="X108"/>
  <c r="X110"/>
  <c r="X109"/>
  <c r="F38" i="2"/>
  <c r="X107" i="1"/>
  <c r="X95"/>
  <c r="Z790" i="2"/>
  <c r="Z747"/>
  <c r="Z818"/>
  <c r="Z795"/>
  <c r="Z791"/>
  <c r="AB385" i="1"/>
  <c r="AB607"/>
  <c r="AB172"/>
  <c r="AB178" s="1"/>
  <c r="AB190" s="1"/>
  <c r="K794" i="2"/>
  <c r="K782"/>
  <c r="K787"/>
  <c r="X602" i="1"/>
  <c r="X102"/>
  <c r="W791" i="2"/>
  <c r="W790"/>
  <c r="W747"/>
  <c r="W795"/>
  <c r="W818"/>
  <c r="U818"/>
  <c r="U795"/>
  <c r="U791"/>
  <c r="U747"/>
  <c r="U790"/>
  <c r="L310"/>
  <c r="N310"/>
  <c r="AA176"/>
  <c r="AB176" s="1"/>
  <c r="E28" i="14"/>
  <c r="G180" i="2"/>
  <c r="E29" i="14"/>
  <c r="AA290" i="2"/>
  <c r="AB290" s="1"/>
  <c r="AA185"/>
  <c r="AB185" s="1"/>
  <c r="Y791"/>
  <c r="Y747"/>
  <c r="Y818"/>
  <c r="Y795"/>
  <c r="Y790"/>
  <c r="W309" i="1"/>
  <c r="W311" s="1"/>
  <c r="G30" i="22"/>
  <c r="AC574" i="1"/>
  <c r="AC324" s="1"/>
  <c r="AC332" s="1"/>
  <c r="AC476"/>
  <c r="AC287"/>
  <c r="AA241" i="2"/>
  <c r="AB241" s="1"/>
  <c r="G586"/>
  <c r="E30" i="22"/>
  <c r="AA407" i="2"/>
  <c r="AB407" s="1"/>
  <c r="AA627"/>
  <c r="AB627" s="1"/>
  <c r="I369"/>
  <c r="I370" s="1"/>
  <c r="K369"/>
  <c r="M369"/>
  <c r="Q369"/>
  <c r="Q370" s="1"/>
  <c r="R369"/>
  <c r="X369"/>
  <c r="X370" s="1"/>
  <c r="V369"/>
  <c r="V370" s="1"/>
  <c r="Y369"/>
  <c r="O369"/>
  <c r="O370" s="1"/>
  <c r="P369"/>
  <c r="Z369"/>
  <c r="Z370" s="1"/>
  <c r="T369"/>
  <c r="T370" s="1"/>
  <c r="N369"/>
  <c r="U369"/>
  <c r="U370" s="1"/>
  <c r="H369"/>
  <c r="J369"/>
  <c r="J370" s="1"/>
  <c r="G369"/>
  <c r="L369"/>
  <c r="W369"/>
  <c r="S369"/>
  <c r="S370" s="1"/>
  <c r="F475"/>
  <c r="F476" s="1"/>
  <c r="W551" i="1"/>
  <c r="K89" i="2"/>
  <c r="K90" s="1"/>
  <c r="I89"/>
  <c r="I90" s="1"/>
  <c r="M89"/>
  <c r="M90" s="1"/>
  <c r="Z89"/>
  <c r="Z90" s="1"/>
  <c r="P89"/>
  <c r="P90" s="1"/>
  <c r="Q89"/>
  <c r="Q90" s="1"/>
  <c r="W89"/>
  <c r="W90" s="1"/>
  <c r="X89"/>
  <c r="Y89"/>
  <c r="Y90" s="1"/>
  <c r="O89"/>
  <c r="R89"/>
  <c r="R90" s="1"/>
  <c r="V89"/>
  <c r="V90" s="1"/>
  <c r="J89"/>
  <c r="J90" s="1"/>
  <c r="S89"/>
  <c r="S90" s="1"/>
  <c r="N89"/>
  <c r="N90" s="1"/>
  <c r="T89"/>
  <c r="T90" s="1"/>
  <c r="H89"/>
  <c r="H90" s="1"/>
  <c r="G89"/>
  <c r="U89"/>
  <c r="U90" s="1"/>
  <c r="L89"/>
  <c r="L90" s="1"/>
  <c r="AA195"/>
  <c r="AB195" s="1"/>
  <c r="E29" i="22"/>
  <c r="L251" i="2"/>
  <c r="N251"/>
  <c r="R251"/>
  <c r="U251"/>
  <c r="V251"/>
  <c r="Y251"/>
  <c r="Z251"/>
  <c r="P251"/>
  <c r="S251"/>
  <c r="T251"/>
  <c r="M251"/>
  <c r="O251"/>
  <c r="Q251"/>
  <c r="W251"/>
  <c r="X251"/>
  <c r="H251"/>
  <c r="I251"/>
  <c r="J251"/>
  <c r="G251"/>
  <c r="K251"/>
  <c r="AB606" i="1"/>
  <c r="AB161"/>
  <c r="AB167" s="1"/>
  <c r="AB169" s="1"/>
  <c r="O696" i="2"/>
  <c r="O768"/>
  <c r="M696"/>
  <c r="D32" i="20" s="1"/>
  <c r="E32" s="1"/>
  <c r="K32" s="1"/>
  <c r="L32" s="1"/>
  <c r="M768" i="2"/>
  <c r="M370"/>
  <c r="K370"/>
  <c r="AA309"/>
  <c r="AB309" s="1"/>
  <c r="G310"/>
  <c r="K310"/>
  <c r="S768"/>
  <c r="S696"/>
  <c r="Z478" i="1"/>
  <c r="K696" i="2"/>
  <c r="D32" i="22" s="1"/>
  <c r="E32" s="1"/>
  <c r="K32" s="1"/>
  <c r="L32" s="1"/>
  <c r="K768" i="2"/>
  <c r="Y611" i="1"/>
  <c r="Y295"/>
  <c r="Y298"/>
  <c r="Y488"/>
  <c r="Y489"/>
  <c r="Y301"/>
  <c r="Y492"/>
  <c r="Y296"/>
  <c r="Y493"/>
  <c r="Y496"/>
  <c r="Y490"/>
  <c r="Y300"/>
  <c r="Y305"/>
  <c r="Y495"/>
  <c r="Y304"/>
  <c r="Y487"/>
  <c r="Y297"/>
  <c r="AA235" i="2"/>
  <c r="AB235" s="1"/>
  <c r="AA121"/>
  <c r="AB121" s="1"/>
  <c r="G125"/>
  <c r="E14" i="14"/>
  <c r="AA21" i="2"/>
  <c r="AB21" s="1"/>
  <c r="G794"/>
  <c r="AA794" s="1"/>
  <c r="AB794" s="1"/>
  <c r="G787"/>
  <c r="AA787" s="1"/>
  <c r="AB787" s="1"/>
  <c r="G782"/>
  <c r="AA345"/>
  <c r="AB345" s="1"/>
  <c r="Z15" i="1"/>
  <c r="AB579"/>
  <c r="AB415" s="1"/>
  <c r="AB427" s="1"/>
  <c r="AB448" s="1"/>
  <c r="AA88" i="2"/>
  <c r="AB88" s="1"/>
  <c r="AC405" i="1"/>
  <c r="AC406"/>
  <c r="AC272"/>
  <c r="AC375"/>
  <c r="W370" i="2"/>
  <c r="Y586"/>
  <c r="M586"/>
  <c r="AA462"/>
  <c r="AB462" s="1"/>
  <c r="AA252"/>
  <c r="AB252" s="1"/>
  <c r="AA223" i="1"/>
  <c r="AA15"/>
  <c r="S104"/>
  <c r="S122" s="1"/>
  <c r="F140" i="2" s="1"/>
  <c r="V553" i="1"/>
  <c r="V313"/>
  <c r="F198" i="2"/>
  <c r="F313"/>
  <c r="V601" i="1"/>
  <c r="V504"/>
  <c r="V101"/>
  <c r="V104" s="1"/>
  <c r="F253" i="2"/>
  <c r="K425"/>
  <c r="K426" s="1"/>
  <c r="M425"/>
  <c r="M426" s="1"/>
  <c r="I425"/>
  <c r="I426" s="1"/>
  <c r="Q425"/>
  <c r="Q426" s="1"/>
  <c r="O425"/>
  <c r="O426" s="1"/>
  <c r="V425"/>
  <c r="V426" s="1"/>
  <c r="P425"/>
  <c r="P426" s="1"/>
  <c r="X425"/>
  <c r="X426" s="1"/>
  <c r="Y425"/>
  <c r="Y426" s="1"/>
  <c r="R425"/>
  <c r="R426" s="1"/>
  <c r="Z425"/>
  <c r="Z426" s="1"/>
  <c r="J425"/>
  <c r="J426" s="1"/>
  <c r="T425"/>
  <c r="T426" s="1"/>
  <c r="H425"/>
  <c r="H426" s="1"/>
  <c r="N425"/>
  <c r="N426" s="1"/>
  <c r="U425"/>
  <c r="U426" s="1"/>
  <c r="L425"/>
  <c r="L426" s="1"/>
  <c r="W425"/>
  <c r="W426" s="1"/>
  <c r="S425"/>
  <c r="S426" s="1"/>
  <c r="G425"/>
  <c r="Y72" i="1"/>
  <c r="Y600"/>
  <c r="Y77"/>
  <c r="Y80" s="1"/>
  <c r="Y108"/>
  <c r="Y107"/>
  <c r="Y95"/>
  <c r="Y109"/>
  <c r="F39" i="2"/>
  <c r="Y110" i="1"/>
  <c r="Y96"/>
  <c r="I640" i="2"/>
  <c r="I641" s="1"/>
  <c r="M640"/>
  <c r="M641" s="1"/>
  <c r="K640"/>
  <c r="K641" s="1"/>
  <c r="V640"/>
  <c r="V641" s="1"/>
  <c r="Z640"/>
  <c r="Z641" s="1"/>
  <c r="R640"/>
  <c r="R641" s="1"/>
  <c r="X640"/>
  <c r="X641" s="1"/>
  <c r="O640"/>
  <c r="O641" s="1"/>
  <c r="Y640"/>
  <c r="Y641" s="1"/>
  <c r="P640"/>
  <c r="P641" s="1"/>
  <c r="Q640"/>
  <c r="Q641" s="1"/>
  <c r="J640"/>
  <c r="J641" s="1"/>
  <c r="N640"/>
  <c r="N641" s="1"/>
  <c r="U640"/>
  <c r="U641" s="1"/>
  <c r="T640"/>
  <c r="T641" s="1"/>
  <c r="H640"/>
  <c r="H641" s="1"/>
  <c r="W640"/>
  <c r="W641" s="1"/>
  <c r="G640"/>
  <c r="S640"/>
  <c r="S641" s="1"/>
  <c r="L640"/>
  <c r="L641" s="1"/>
  <c r="K530"/>
  <c r="K531" s="1"/>
  <c r="M530"/>
  <c r="M531" s="1"/>
  <c r="I530"/>
  <c r="I531" s="1"/>
  <c r="Q530"/>
  <c r="Q531" s="1"/>
  <c r="X530"/>
  <c r="X531" s="1"/>
  <c r="R530"/>
  <c r="R531" s="1"/>
  <c r="V530"/>
  <c r="V531" s="1"/>
  <c r="Z530"/>
  <c r="Z531" s="1"/>
  <c r="O530"/>
  <c r="O531" s="1"/>
  <c r="P530"/>
  <c r="P531" s="1"/>
  <c r="Y530"/>
  <c r="Y531" s="1"/>
  <c r="U530"/>
  <c r="U531" s="1"/>
  <c r="T530"/>
  <c r="T531" s="1"/>
  <c r="N530"/>
  <c r="N531" s="1"/>
  <c r="J530"/>
  <c r="J531" s="1"/>
  <c r="H530"/>
  <c r="H531" s="1"/>
  <c r="W530"/>
  <c r="W531" s="1"/>
  <c r="S530"/>
  <c r="S531" s="1"/>
  <c r="G530"/>
  <c r="L530"/>
  <c r="L531" s="1"/>
  <c r="F531"/>
  <c r="AA34"/>
  <c r="AB34" s="1"/>
  <c r="G35"/>
  <c r="I474"/>
  <c r="H474"/>
  <c r="M474"/>
  <c r="L474"/>
  <c r="G474"/>
  <c r="O474"/>
  <c r="Q474"/>
  <c r="T474"/>
  <c r="Z474"/>
  <c r="P474"/>
  <c r="W474"/>
  <c r="Y474"/>
  <c r="N474"/>
  <c r="R474"/>
  <c r="S474"/>
  <c r="U474"/>
  <c r="V474"/>
  <c r="X474"/>
  <c r="J474"/>
  <c r="K474"/>
  <c r="AA134"/>
  <c r="AB134" s="1"/>
  <c r="AB48" i="1"/>
  <c r="AB613"/>
  <c r="AB516"/>
  <c r="AB515"/>
  <c r="AB514"/>
  <c r="O747" i="2"/>
  <c r="O795"/>
  <c r="O791"/>
  <c r="O790"/>
  <c r="O818"/>
  <c r="M747"/>
  <c r="M818"/>
  <c r="M790"/>
  <c r="M795"/>
  <c r="M791"/>
  <c r="P370"/>
  <c r="S818"/>
  <c r="S790"/>
  <c r="S747"/>
  <c r="S795"/>
  <c r="S791"/>
  <c r="Q768"/>
  <c r="Q696"/>
  <c r="G28" i="14"/>
  <c r="AA186" i="2"/>
  <c r="AB186" s="1"/>
  <c r="K818"/>
  <c r="K747"/>
  <c r="K795"/>
  <c r="K790"/>
  <c r="K791"/>
  <c r="P768"/>
  <c r="P696"/>
  <c r="D32" i="23" s="1"/>
  <c r="E32" s="1"/>
  <c r="K32" s="1"/>
  <c r="L32" s="1"/>
  <c r="N768" i="2"/>
  <c r="N696"/>
  <c r="D32" i="21" s="1"/>
  <c r="E32" s="1"/>
  <c r="K32" s="1"/>
  <c r="L32" s="1"/>
  <c r="G29" i="14"/>
  <c r="AA296" i="2"/>
  <c r="AB296" s="1"/>
  <c r="AA511"/>
  <c r="AB511" s="1"/>
  <c r="E30" i="14"/>
  <c r="AA401" i="2"/>
  <c r="AB401" s="1"/>
  <c r="AA11"/>
  <c r="AB11" s="1"/>
  <c r="G1160"/>
  <c r="G15"/>
  <c r="AA351"/>
  <c r="AB351" s="1"/>
  <c r="G30" i="14"/>
  <c r="AA196" i="2"/>
  <c r="AB196" s="1"/>
  <c r="F90"/>
  <c r="Y523" i="1"/>
  <c r="AA472" i="2"/>
  <c r="AB472" s="1"/>
  <c r="W500" i="1"/>
  <c r="W502" s="1"/>
  <c r="AB412"/>
  <c r="X90" i="2"/>
  <c r="O90"/>
  <c r="AC576" i="1"/>
  <c r="AC335" s="1"/>
  <c r="AC341" s="1"/>
  <c r="AC46"/>
  <c r="AC443"/>
  <c r="AC246"/>
  <c r="AC188"/>
  <c r="AC403"/>
  <c r="AC229"/>
  <c r="AC214"/>
  <c r="AC587"/>
  <c r="R370" i="2"/>
  <c r="Y370"/>
  <c r="F370"/>
  <c r="AB148" i="1"/>
  <c r="P586" i="2"/>
  <c r="AB343" i="1"/>
  <c r="AB387" s="1"/>
  <c r="D35" i="23"/>
  <c r="G35" s="1"/>
  <c r="K35" s="1"/>
  <c r="L35" s="1"/>
  <c r="AA639" i="2"/>
  <c r="AB639" s="1"/>
  <c r="AC364" i="1" l="1"/>
  <c r="AD234"/>
  <c r="AD443"/>
  <c r="AD248"/>
  <c r="AC151"/>
  <c r="AC158" s="1"/>
  <c r="AC169" s="1"/>
  <c r="AD418"/>
  <c r="AB610"/>
  <c r="AD231"/>
  <c r="AB450"/>
  <c r="AB452" s="1"/>
  <c r="AD250"/>
  <c r="AA310" i="2"/>
  <c r="AB310" s="1"/>
  <c r="D35" i="22"/>
  <c r="G35" s="1"/>
  <c r="K35" s="1"/>
  <c r="L35" s="1"/>
  <c r="AB478" i="1"/>
  <c r="AD603"/>
  <c r="AD128"/>
  <c r="AD137" s="1"/>
  <c r="AA478"/>
  <c r="N140" i="2"/>
  <c r="Q140"/>
  <c r="T140"/>
  <c r="P140"/>
  <c r="V140"/>
  <c r="Y140"/>
  <c r="S140"/>
  <c r="M140"/>
  <c r="U140"/>
  <c r="Z140"/>
  <c r="L140"/>
  <c r="O140"/>
  <c r="R140"/>
  <c r="W140"/>
  <c r="X140"/>
  <c r="I140"/>
  <c r="J140"/>
  <c r="H140"/>
  <c r="G140"/>
  <c r="K140"/>
  <c r="AD606" i="1"/>
  <c r="AD161"/>
  <c r="AD167" s="1"/>
  <c r="X377" i="2"/>
  <c r="W377"/>
  <c r="Z377"/>
  <c r="V377"/>
  <c r="Y377"/>
  <c r="K377"/>
  <c r="N377"/>
  <c r="L377"/>
  <c r="S377"/>
  <c r="M377"/>
  <c r="O377"/>
  <c r="I377"/>
  <c r="R377"/>
  <c r="H377"/>
  <c r="Q377"/>
  <c r="J377"/>
  <c r="P377"/>
  <c r="U377"/>
  <c r="T377"/>
  <c r="G377"/>
  <c r="W601" i="1"/>
  <c r="W504"/>
  <c r="W101"/>
  <c r="W104" s="1"/>
  <c r="F254" i="2"/>
  <c r="AA1160"/>
  <c r="AB1160" s="1"/>
  <c r="G768"/>
  <c r="AA768" s="1"/>
  <c r="AB768" s="1"/>
  <c r="G696"/>
  <c r="AA640"/>
  <c r="AB640" s="1"/>
  <c r="G641"/>
  <c r="M39"/>
  <c r="I39"/>
  <c r="K39"/>
  <c r="P39"/>
  <c r="R39"/>
  <c r="W39"/>
  <c r="Y39"/>
  <c r="Q39"/>
  <c r="V39"/>
  <c r="Z39"/>
  <c r="O39"/>
  <c r="X39"/>
  <c r="J39"/>
  <c r="S39"/>
  <c r="N39"/>
  <c r="T39"/>
  <c r="H39"/>
  <c r="U39"/>
  <c r="G39"/>
  <c r="L39"/>
  <c r="I253"/>
  <c r="M253"/>
  <c r="U253"/>
  <c r="W253"/>
  <c r="Z253"/>
  <c r="H253"/>
  <c r="L253"/>
  <c r="O253"/>
  <c r="Q253"/>
  <c r="S253"/>
  <c r="T253"/>
  <c r="V253"/>
  <c r="X253"/>
  <c r="G253"/>
  <c r="K253"/>
  <c r="P253"/>
  <c r="J253"/>
  <c r="N253"/>
  <c r="R253"/>
  <c r="Y253"/>
  <c r="K313"/>
  <c r="M313"/>
  <c r="L313"/>
  <c r="H29" i="19" s="1"/>
  <c r="O313" i="2"/>
  <c r="U313"/>
  <c r="W313"/>
  <c r="Z313"/>
  <c r="R313"/>
  <c r="V313"/>
  <c r="X313"/>
  <c r="P313"/>
  <c r="H29" i="23" s="1"/>
  <c r="T313" i="2"/>
  <c r="N313"/>
  <c r="Q313"/>
  <c r="S313"/>
  <c r="Y313"/>
  <c r="H313"/>
  <c r="H29" i="15" s="1"/>
  <c r="J313" i="2"/>
  <c r="H29" i="17" s="1"/>
  <c r="G313" i="2"/>
  <c r="I313"/>
  <c r="AC385" i="1"/>
  <c r="AC607"/>
  <c r="AC172"/>
  <c r="AC178" s="1"/>
  <c r="AC190" s="1"/>
  <c r="W432" i="2"/>
  <c r="X432"/>
  <c r="Y432"/>
  <c r="Z432"/>
  <c r="V432"/>
  <c r="K432"/>
  <c r="P432"/>
  <c r="U432"/>
  <c r="M432"/>
  <c r="R432"/>
  <c r="S432"/>
  <c r="H432"/>
  <c r="N432"/>
  <c r="J432"/>
  <c r="T432"/>
  <c r="Q432"/>
  <c r="L432"/>
  <c r="O432"/>
  <c r="I432"/>
  <c r="G432"/>
  <c r="I475"/>
  <c r="I476" s="1"/>
  <c r="K475"/>
  <c r="K476" s="1"/>
  <c r="M475"/>
  <c r="M476" s="1"/>
  <c r="Q475"/>
  <c r="Q476" s="1"/>
  <c r="V475"/>
  <c r="X475"/>
  <c r="O475"/>
  <c r="O476" s="1"/>
  <c r="P475"/>
  <c r="P476" s="1"/>
  <c r="R475"/>
  <c r="R476" s="1"/>
  <c r="Z475"/>
  <c r="Z476" s="1"/>
  <c r="Y475"/>
  <c r="H475"/>
  <c r="H476" s="1"/>
  <c r="T475"/>
  <c r="T476" s="1"/>
  <c r="N475"/>
  <c r="N476" s="1"/>
  <c r="J475"/>
  <c r="J476" s="1"/>
  <c r="U475"/>
  <c r="U476" s="1"/>
  <c r="W475"/>
  <c r="G475"/>
  <c r="G476" s="1"/>
  <c r="S475"/>
  <c r="S476" s="1"/>
  <c r="L475"/>
  <c r="L476" s="1"/>
  <c r="AA369"/>
  <c r="AB369" s="1"/>
  <c r="AC343" i="1"/>
  <c r="AC387" s="1"/>
  <c r="AC603"/>
  <c r="AC128"/>
  <c r="AC137" s="1"/>
  <c r="W553"/>
  <c r="W313"/>
  <c r="F199" i="2"/>
  <c r="X91" i="1"/>
  <c r="F93" i="2" s="1"/>
  <c r="X545" i="1"/>
  <c r="F589" i="2" s="1"/>
  <c r="X494" i="1"/>
  <c r="X549"/>
  <c r="X491"/>
  <c r="X299"/>
  <c r="X302"/>
  <c r="X541"/>
  <c r="X303"/>
  <c r="X547"/>
  <c r="F644" i="2" s="1"/>
  <c r="X543" i="1"/>
  <c r="F534" i="2" s="1"/>
  <c r="R125"/>
  <c r="R1149" s="1"/>
  <c r="K125"/>
  <c r="K1149" s="1"/>
  <c r="T125"/>
  <c r="Z373"/>
  <c r="V373"/>
  <c r="W373"/>
  <c r="X373"/>
  <c r="Y373"/>
  <c r="P373"/>
  <c r="K373"/>
  <c r="H373"/>
  <c r="S373"/>
  <c r="R373"/>
  <c r="T373"/>
  <c r="I373"/>
  <c r="N373"/>
  <c r="L373"/>
  <c r="M373"/>
  <c r="Q373"/>
  <c r="O373"/>
  <c r="J373"/>
  <c r="U373"/>
  <c r="G373"/>
  <c r="Y602" i="1"/>
  <c r="Y102"/>
  <c r="W476" i="2"/>
  <c r="AA425"/>
  <c r="AB425" s="1"/>
  <c r="AA251"/>
  <c r="AB251" s="1"/>
  <c r="AA586"/>
  <c r="AB586" s="1"/>
  <c r="AC412" i="1"/>
  <c r="AD461"/>
  <c r="AD197"/>
  <c r="AD232"/>
  <c r="AD392"/>
  <c r="AD396" s="1"/>
  <c r="AD403"/>
  <c r="AD252"/>
  <c r="AB203"/>
  <c r="Z261"/>
  <c r="F314" i="2"/>
  <c r="F315" s="1"/>
  <c r="AC197" i="1"/>
  <c r="AC196"/>
  <c r="AC195"/>
  <c r="AC198"/>
  <c r="AC392"/>
  <c r="AC396" s="1"/>
  <c r="AC597"/>
  <c r="AC59"/>
  <c r="AC56"/>
  <c r="AC425"/>
  <c r="AC238"/>
  <c r="AC85"/>
  <c r="AC253"/>
  <c r="AC519"/>
  <c r="AC117"/>
  <c r="AC239"/>
  <c r="AC236"/>
  <c r="AC67"/>
  <c r="AC237"/>
  <c r="AC528"/>
  <c r="AC536"/>
  <c r="AC444"/>
  <c r="AC580" s="1"/>
  <c r="AC436" s="1"/>
  <c r="AC446" s="1"/>
  <c r="AC424"/>
  <c r="AB608"/>
  <c r="AB216"/>
  <c r="AB208"/>
  <c r="AB210"/>
  <c r="AB209"/>
  <c r="AB211"/>
  <c r="AB219"/>
  <c r="AB215"/>
  <c r="AB218"/>
  <c r="AB217"/>
  <c r="AB212"/>
  <c r="AB221"/>
  <c r="AA15" i="2"/>
  <c r="AB15" s="1"/>
  <c r="G790"/>
  <c r="AA790" s="1"/>
  <c r="AB790" s="1"/>
  <c r="G795"/>
  <c r="AA795" s="1"/>
  <c r="AB795" s="1"/>
  <c r="G818"/>
  <c r="G747"/>
  <c r="AA747" s="1"/>
  <c r="AB747" s="1"/>
  <c r="G791"/>
  <c r="AA791" s="1"/>
  <c r="AB791" s="1"/>
  <c r="AB596" i="1"/>
  <c r="AB9"/>
  <c r="AB86"/>
  <c r="AB55"/>
  <c r="AB54"/>
  <c r="AB52"/>
  <c r="AB11"/>
  <c r="AB10"/>
  <c r="AB13"/>
  <c r="AB68"/>
  <c r="AB70" s="1"/>
  <c r="AB78" s="1"/>
  <c r="AB12"/>
  <c r="AB118"/>
  <c r="AB120" s="1"/>
  <c r="AB87"/>
  <c r="AA35" i="2"/>
  <c r="AB35" s="1"/>
  <c r="AA530"/>
  <c r="AB530" s="1"/>
  <c r="G531"/>
  <c r="V599" i="1"/>
  <c r="V94"/>
  <c r="V98" s="1"/>
  <c r="AA614"/>
  <c r="AA61"/>
  <c r="AA521"/>
  <c r="AA523" s="1"/>
  <c r="AB609"/>
  <c r="AB228"/>
  <c r="AB241" s="1"/>
  <c r="AB257" s="1"/>
  <c r="AA782" i="2"/>
  <c r="AB782" s="1"/>
  <c r="D35" i="14"/>
  <c r="G35" s="1"/>
  <c r="K35" s="1"/>
  <c r="L35" s="1"/>
  <c r="L370" i="2"/>
  <c r="J38"/>
  <c r="L38"/>
  <c r="L40" s="1"/>
  <c r="M38"/>
  <c r="K38"/>
  <c r="K40" s="1"/>
  <c r="Q38"/>
  <c r="Q40" s="1"/>
  <c r="X38"/>
  <c r="X40" s="1"/>
  <c r="Y38"/>
  <c r="N38"/>
  <c r="N40" s="1"/>
  <c r="U38"/>
  <c r="O38"/>
  <c r="R38"/>
  <c r="W38"/>
  <c r="Z38"/>
  <c r="Z40" s="1"/>
  <c r="P38"/>
  <c r="P40" s="1"/>
  <c r="S38"/>
  <c r="T38"/>
  <c r="T40" s="1"/>
  <c r="V38"/>
  <c r="I38"/>
  <c r="F40"/>
  <c r="H38"/>
  <c r="G38"/>
  <c r="I142"/>
  <c r="M142"/>
  <c r="R142"/>
  <c r="Y142"/>
  <c r="O142"/>
  <c r="P142"/>
  <c r="J142"/>
  <c r="N142"/>
  <c r="V142"/>
  <c r="W142"/>
  <c r="X142"/>
  <c r="Z142"/>
  <c r="G142"/>
  <c r="H142"/>
  <c r="K142"/>
  <c r="S142"/>
  <c r="Q142"/>
  <c r="T142"/>
  <c r="L142"/>
  <c r="U142"/>
  <c r="P125"/>
  <c r="P1149" s="1"/>
  <c r="Q125"/>
  <c r="Q1153" s="1"/>
  <c r="Q1154" s="1"/>
  <c r="AA123"/>
  <c r="AB123" s="1"/>
  <c r="S125"/>
  <c r="S1149" s="1"/>
  <c r="AE359" i="1"/>
  <c r="AF359" s="1"/>
  <c r="AG359" s="1"/>
  <c r="AE268"/>
  <c r="AF268" s="1"/>
  <c r="AG268" s="1"/>
  <c r="AE141"/>
  <c r="AF141" s="1"/>
  <c r="AG141" s="1"/>
  <c r="AE27"/>
  <c r="AF27" s="1"/>
  <c r="AG27" s="1"/>
  <c r="AE201"/>
  <c r="AF201" s="1"/>
  <c r="AG201" s="1"/>
  <c r="AE176"/>
  <c r="AF176" s="1"/>
  <c r="AG176" s="1"/>
  <c r="AE152"/>
  <c r="AF152" s="1"/>
  <c r="AG152" s="1"/>
  <c r="AE173"/>
  <c r="AF173" s="1"/>
  <c r="AG173" s="1"/>
  <c r="AE270"/>
  <c r="AF270" s="1"/>
  <c r="AG270" s="1"/>
  <c r="AE393"/>
  <c r="AF393" s="1"/>
  <c r="AG393" s="1"/>
  <c r="AE471"/>
  <c r="AF471" s="1"/>
  <c r="AG471" s="1"/>
  <c r="AE350"/>
  <c r="AF350" s="1"/>
  <c r="AG350" s="1"/>
  <c r="AE40"/>
  <c r="AF40" s="1"/>
  <c r="AG40" s="1"/>
  <c r="AE133"/>
  <c r="AF133" s="1"/>
  <c r="AG133" s="1"/>
  <c r="AE235"/>
  <c r="AF235" s="1"/>
  <c r="AG235" s="1"/>
  <c r="AE379"/>
  <c r="AF379" s="1"/>
  <c r="AG379" s="1"/>
  <c r="AE267"/>
  <c r="AF267" s="1"/>
  <c r="AG267" s="1"/>
  <c r="AE336"/>
  <c r="AE135"/>
  <c r="AF135" s="1"/>
  <c r="AG135" s="1"/>
  <c r="AE66"/>
  <c r="AF66" s="1"/>
  <c r="AG66" s="1"/>
  <c r="AE285"/>
  <c r="AF285" s="1"/>
  <c r="AG285" s="1"/>
  <c r="AE422"/>
  <c r="AF422" s="1"/>
  <c r="AG422" s="1"/>
  <c r="AE132"/>
  <c r="AF132" s="1"/>
  <c r="AG132" s="1"/>
  <c r="AE153"/>
  <c r="AF153" s="1"/>
  <c r="AG153" s="1"/>
  <c r="AE349"/>
  <c r="AF349" s="1"/>
  <c r="AG349" s="1"/>
  <c r="AE381"/>
  <c r="AF381" s="1"/>
  <c r="AG381" s="1"/>
  <c r="AE338"/>
  <c r="AF338" s="1"/>
  <c r="AG338" s="1"/>
  <c r="AE42"/>
  <c r="AF42" s="1"/>
  <c r="AG42" s="1"/>
  <c r="AE57"/>
  <c r="AF57" s="1"/>
  <c r="AG57" s="1"/>
  <c r="AE394"/>
  <c r="AF394" s="1"/>
  <c r="AG394" s="1"/>
  <c r="AE164"/>
  <c r="AF164" s="1"/>
  <c r="AG164" s="1"/>
  <c r="AE155"/>
  <c r="AF155" s="1"/>
  <c r="AG155" s="1"/>
  <c r="AE457"/>
  <c r="AF457" s="1"/>
  <c r="AG457" s="1"/>
  <c r="AE464"/>
  <c r="AE473"/>
  <c r="AF473" s="1"/>
  <c r="AG473" s="1"/>
  <c r="AE266"/>
  <c r="AE37"/>
  <c r="AE231" s="1"/>
  <c r="AF231" s="1"/>
  <c r="AG231" s="1"/>
  <c r="AE277"/>
  <c r="AF277" s="1"/>
  <c r="AG277" s="1"/>
  <c r="AF2"/>
  <c r="AG2" s="1"/>
  <c r="AE369"/>
  <c r="AE360"/>
  <c r="AF360" s="1"/>
  <c r="AG360" s="1"/>
  <c r="AE468"/>
  <c r="AF468" s="1"/>
  <c r="AG468" s="1"/>
  <c r="AE199"/>
  <c r="AF199" s="1"/>
  <c r="AG199" s="1"/>
  <c r="AE38"/>
  <c r="AF38" s="1"/>
  <c r="AG38" s="1"/>
  <c r="AE175"/>
  <c r="AF175" s="1"/>
  <c r="AG175" s="1"/>
  <c r="AE474"/>
  <c r="AF474" s="1"/>
  <c r="AG474" s="1"/>
  <c r="AE347"/>
  <c r="AE526"/>
  <c r="AE183"/>
  <c r="AE348"/>
  <c r="AF348" s="1"/>
  <c r="AG348" s="1"/>
  <c r="AE283"/>
  <c r="AF283" s="1"/>
  <c r="AG283" s="1"/>
  <c r="AE351"/>
  <c r="AF351" s="1"/>
  <c r="AG351" s="1"/>
  <c r="AE328"/>
  <c r="AF328" s="1"/>
  <c r="AG328" s="1"/>
  <c r="AE144"/>
  <c r="AF144" s="1"/>
  <c r="AG144" s="1"/>
  <c r="AE97"/>
  <c r="AF97" s="1"/>
  <c r="AG97" s="1"/>
  <c r="AE41"/>
  <c r="AF41" s="1"/>
  <c r="AG41" s="1"/>
  <c r="AE269"/>
  <c r="AF269" s="1"/>
  <c r="AG269" s="1"/>
  <c r="AE154"/>
  <c r="AF154" s="1"/>
  <c r="AG154" s="1"/>
  <c r="AE467"/>
  <c r="AF467" s="1"/>
  <c r="AG467" s="1"/>
  <c r="AE83"/>
  <c r="AE284"/>
  <c r="AF284" s="1"/>
  <c r="AG284" s="1"/>
  <c r="AE184"/>
  <c r="AF184" s="1"/>
  <c r="AG184" s="1"/>
  <c r="AE421"/>
  <c r="AF421" s="1"/>
  <c r="AG421" s="1"/>
  <c r="AE19"/>
  <c r="AE585"/>
  <c r="AE280"/>
  <c r="AF280" s="1"/>
  <c r="AG280" s="1"/>
  <c r="AE23"/>
  <c r="AF23" s="1"/>
  <c r="AG23" s="1"/>
  <c r="AE465"/>
  <c r="AF465" s="1"/>
  <c r="AG465" s="1"/>
  <c r="AE469"/>
  <c r="AF469" s="1"/>
  <c r="AG469" s="1"/>
  <c r="AE281"/>
  <c r="AF281" s="1"/>
  <c r="AG281" s="1"/>
  <c r="AE279"/>
  <c r="AF279" s="1"/>
  <c r="AG279" s="1"/>
  <c r="AE278"/>
  <c r="AF278" s="1"/>
  <c r="AG278" s="1"/>
  <c r="AE282"/>
  <c r="AF282" s="1"/>
  <c r="AG282" s="1"/>
  <c r="AE330"/>
  <c r="AF330" s="1"/>
  <c r="AG330" s="1"/>
  <c r="AE327"/>
  <c r="AF327" s="1"/>
  <c r="AG327" s="1"/>
  <c r="AE337"/>
  <c r="AF337" s="1"/>
  <c r="AG337" s="1"/>
  <c r="AE58"/>
  <c r="AF58" s="1"/>
  <c r="AG58" s="1"/>
  <c r="AE162"/>
  <c r="AF162" s="1"/>
  <c r="AG162" s="1"/>
  <c r="AE39"/>
  <c r="AF39" s="1"/>
  <c r="AG39" s="1"/>
  <c r="AE378"/>
  <c r="AE130"/>
  <c r="AF130" s="1"/>
  <c r="AG130" s="1"/>
  <c r="AE459"/>
  <c r="AF459" s="1"/>
  <c r="AG459" s="1"/>
  <c r="AE165"/>
  <c r="AF165" s="1"/>
  <c r="AG165" s="1"/>
  <c r="AE326"/>
  <c r="AF326" s="1"/>
  <c r="AG326" s="1"/>
  <c r="AE357"/>
  <c r="AE372"/>
  <c r="AF372" s="1"/>
  <c r="AG372" s="1"/>
  <c r="AE36"/>
  <c r="AE246" s="1"/>
  <c r="AE186"/>
  <c r="AF186" s="1"/>
  <c r="AG186" s="1"/>
  <c r="AE329"/>
  <c r="AF329" s="1"/>
  <c r="AG329" s="1"/>
  <c r="AE358"/>
  <c r="AF358" s="1"/>
  <c r="AG358" s="1"/>
  <c r="AE163"/>
  <c r="AF163" s="1"/>
  <c r="AG163" s="1"/>
  <c r="AE115"/>
  <c r="AE456"/>
  <c r="AF456" s="1"/>
  <c r="AG456" s="1"/>
  <c r="AE252"/>
  <c r="AF252" s="1"/>
  <c r="AG252" s="1"/>
  <c r="AE458"/>
  <c r="AF458" s="1"/>
  <c r="AG458" s="1"/>
  <c r="AE373"/>
  <c r="AF373" s="1"/>
  <c r="AG373" s="1"/>
  <c r="AE370"/>
  <c r="AF370" s="1"/>
  <c r="AG370" s="1"/>
  <c r="AE534"/>
  <c r="AE455"/>
  <c r="AE472"/>
  <c r="AF472" s="1"/>
  <c r="AG472" s="1"/>
  <c r="AE325"/>
  <c r="AE470"/>
  <c r="AF470" s="1"/>
  <c r="AG470" s="1"/>
  <c r="AE466"/>
  <c r="AF466" s="1"/>
  <c r="AG466" s="1"/>
  <c r="AE275"/>
  <c r="AE276"/>
  <c r="AF276" s="1"/>
  <c r="AG276" s="1"/>
  <c r="AE156"/>
  <c r="AF156" s="1"/>
  <c r="AG156" s="1"/>
  <c r="AE44"/>
  <c r="AF44" s="1"/>
  <c r="AG44" s="1"/>
  <c r="AE43"/>
  <c r="AF43" s="1"/>
  <c r="AG43" s="1"/>
  <c r="AE142"/>
  <c r="AF142" s="1"/>
  <c r="AG142" s="1"/>
  <c r="AE586"/>
  <c r="AF586" s="1"/>
  <c r="AG586" s="1"/>
  <c r="AE65"/>
  <c r="AE174"/>
  <c r="AF174" s="1"/>
  <c r="AG174" s="1"/>
  <c r="AE371"/>
  <c r="AF371" s="1"/>
  <c r="AG371" s="1"/>
  <c r="AE380"/>
  <c r="AF380" s="1"/>
  <c r="AG380" s="1"/>
  <c r="AE185"/>
  <c r="AF185" s="1"/>
  <c r="AG185" s="1"/>
  <c r="AE131"/>
  <c r="AF131" s="1"/>
  <c r="AG131" s="1"/>
  <c r="AE33"/>
  <c r="AE213" s="1"/>
  <c r="AF213" s="1"/>
  <c r="AG213" s="1"/>
  <c r="AE129"/>
  <c r="AF129" s="1"/>
  <c r="AG129" s="1"/>
  <c r="AE339"/>
  <c r="AF339" s="1"/>
  <c r="AG339" s="1"/>
  <c r="AE143"/>
  <c r="AF143" s="1"/>
  <c r="AG143" s="1"/>
  <c r="AE134"/>
  <c r="AF134" s="1"/>
  <c r="AG134" s="1"/>
  <c r="AE200"/>
  <c r="AF200" s="1"/>
  <c r="AG200" s="1"/>
  <c r="AE251"/>
  <c r="AF251" s="1"/>
  <c r="AG251" s="1"/>
  <c r="AE405"/>
  <c r="AF405" s="1"/>
  <c r="AG405" s="1"/>
  <c r="AE232"/>
  <c r="AF232" s="1"/>
  <c r="AG232" s="1"/>
  <c r="AA250" i="2"/>
  <c r="AB250" s="1"/>
  <c r="AB192" i="1"/>
  <c r="AB205" s="1"/>
  <c r="Y476" i="2"/>
  <c r="Y112" i="1"/>
  <c r="N370" i="2"/>
  <c r="G426"/>
  <c r="AD203" i="1"/>
  <c r="AD375"/>
  <c r="AD220"/>
  <c r="AD249"/>
  <c r="AD116"/>
  <c r="AD419"/>
  <c r="AD46"/>
  <c r="AD29"/>
  <c r="AA585" i="2"/>
  <c r="AB585" s="1"/>
  <c r="F255"/>
  <c r="AC604" i="1"/>
  <c r="AC140"/>
  <c r="AC146" s="1"/>
  <c r="J198" i="2"/>
  <c r="G198"/>
  <c r="L198"/>
  <c r="M198"/>
  <c r="O198"/>
  <c r="Q198"/>
  <c r="W198"/>
  <c r="K198"/>
  <c r="V198"/>
  <c r="I198"/>
  <c r="N198"/>
  <c r="P198"/>
  <c r="S198"/>
  <c r="U198"/>
  <c r="X198"/>
  <c r="Y198"/>
  <c r="H198"/>
  <c r="R198"/>
  <c r="T198"/>
  <c r="Z198"/>
  <c r="F200"/>
  <c r="Z611" i="1"/>
  <c r="Z297"/>
  <c r="Z300"/>
  <c r="Z496"/>
  <c r="Z495"/>
  <c r="Z490"/>
  <c r="Z488"/>
  <c r="Z298"/>
  <c r="Z493"/>
  <c r="Z301"/>
  <c r="Z492"/>
  <c r="Z304"/>
  <c r="Z489"/>
  <c r="Z487"/>
  <c r="Z295"/>
  <c r="Z296"/>
  <c r="Z305"/>
  <c r="H370" i="2"/>
  <c r="AA180"/>
  <c r="AB180" s="1"/>
  <c r="U125"/>
  <c r="U1149" s="1"/>
  <c r="I125"/>
  <c r="I1149" s="1"/>
  <c r="L125"/>
  <c r="L1153" s="1"/>
  <c r="L1154" s="1"/>
  <c r="M125"/>
  <c r="M1149" s="1"/>
  <c r="F128"/>
  <c r="V476"/>
  <c r="AA474"/>
  <c r="AB474" s="1"/>
  <c r="X112" i="1"/>
  <c r="AD287"/>
  <c r="AD577"/>
  <c r="AD346" s="1"/>
  <c r="AD353" s="1"/>
  <c r="AD583"/>
  <c r="AD105" s="1"/>
  <c r="AD188"/>
  <c r="AD517"/>
  <c r="Y91"/>
  <c r="F94" i="2" s="1"/>
  <c r="Y491" i="1"/>
  <c r="Y547"/>
  <c r="F645" i="2" s="1"/>
  <c r="Y543" i="1"/>
  <c r="F535" i="2" s="1"/>
  <c r="Y549" i="1"/>
  <c r="Y299"/>
  <c r="Y494"/>
  <c r="Y303"/>
  <c r="Y545"/>
  <c r="F590" i="2" s="1"/>
  <c r="Y302" i="1"/>
  <c r="Y541"/>
  <c r="F480" i="2" s="1"/>
  <c r="Z61" i="1"/>
  <c r="Z614"/>
  <c r="Z521"/>
  <c r="Z523" s="1"/>
  <c r="AA89" i="2"/>
  <c r="AB89" s="1"/>
  <c r="G90"/>
  <c r="AC48" i="1"/>
  <c r="AC613"/>
  <c r="AC515"/>
  <c r="AC516"/>
  <c r="AC514"/>
  <c r="M141" i="2"/>
  <c r="Q141"/>
  <c r="T141"/>
  <c r="W141"/>
  <c r="O141"/>
  <c r="L141"/>
  <c r="S141"/>
  <c r="U141"/>
  <c r="V141"/>
  <c r="Y141"/>
  <c r="P141"/>
  <c r="R141"/>
  <c r="Z141"/>
  <c r="N141"/>
  <c r="X141"/>
  <c r="J141"/>
  <c r="I141"/>
  <c r="H141"/>
  <c r="G141"/>
  <c r="K141"/>
  <c r="AA609" i="1"/>
  <c r="AA228"/>
  <c r="AA241" s="1"/>
  <c r="AA257" s="1"/>
  <c r="AA259" s="1"/>
  <c r="Z1149" i="2"/>
  <c r="Y1149"/>
  <c r="X1149"/>
  <c r="V1153"/>
  <c r="V1154" s="1"/>
  <c r="W1153"/>
  <c r="W1154" s="1"/>
  <c r="X1153"/>
  <c r="X1154" s="1"/>
  <c r="Y1153"/>
  <c r="Y1154" s="1"/>
  <c r="Z1153"/>
  <c r="Z1154" s="1"/>
  <c r="W1149"/>
  <c r="W1156" s="1"/>
  <c r="V1149"/>
  <c r="L1149"/>
  <c r="T1153"/>
  <c r="T1154" s="1"/>
  <c r="P1153"/>
  <c r="P1154" s="1"/>
  <c r="N1149"/>
  <c r="O1153"/>
  <c r="O1154" s="1"/>
  <c r="T1149"/>
  <c r="O1149"/>
  <c r="N1153"/>
  <c r="N1154" s="1"/>
  <c r="G1153"/>
  <c r="G1149"/>
  <c r="H125"/>
  <c r="H1149" s="1"/>
  <c r="J125"/>
  <c r="J1153" s="1"/>
  <c r="J1154" s="1"/>
  <c r="W429"/>
  <c r="Y429"/>
  <c r="V429"/>
  <c r="X429"/>
  <c r="Z429"/>
  <c r="S429"/>
  <c r="K429"/>
  <c r="P429"/>
  <c r="T429"/>
  <c r="R429"/>
  <c r="H429"/>
  <c r="I429"/>
  <c r="L429"/>
  <c r="Q429"/>
  <c r="N429"/>
  <c r="U429"/>
  <c r="M429"/>
  <c r="O429"/>
  <c r="J429"/>
  <c r="G429"/>
  <c r="X476"/>
  <c r="AA261" i="1"/>
  <c r="G370" i="2"/>
  <c r="AD476" i="1"/>
  <c r="AD527"/>
  <c r="AD410"/>
  <c r="AD408"/>
  <c r="AD383"/>
  <c r="AD576"/>
  <c r="AD335" s="1"/>
  <c r="AD341" s="1"/>
  <c r="AE527" l="1"/>
  <c r="AB89"/>
  <c r="Q1149" i="2"/>
  <c r="K1153"/>
  <c r="K1154" s="1"/>
  <c r="Y40"/>
  <c r="O40"/>
  <c r="M1153"/>
  <c r="M1154" s="1"/>
  <c r="AE247" i="1"/>
  <c r="AF247" s="1"/>
  <c r="AG247" s="1"/>
  <c r="AD412"/>
  <c r="AE437"/>
  <c r="AE420"/>
  <c r="AF420" s="1"/>
  <c r="AG420" s="1"/>
  <c r="AE249"/>
  <c r="Y309"/>
  <c r="Y311" s="1"/>
  <c r="AE250"/>
  <c r="AF250" s="1"/>
  <c r="AG250" s="1"/>
  <c r="AE416"/>
  <c r="AE417"/>
  <c r="AF417" s="1"/>
  <c r="AG417" s="1"/>
  <c r="AE423"/>
  <c r="AF423" s="1"/>
  <c r="AG423" s="1"/>
  <c r="Y500"/>
  <c r="Y502" s="1"/>
  <c r="AE440"/>
  <c r="AF440" s="1"/>
  <c r="AG440" s="1"/>
  <c r="AE442"/>
  <c r="AF442" s="1"/>
  <c r="AG442" s="1"/>
  <c r="AE234"/>
  <c r="AF234" s="1"/>
  <c r="AG234" s="1"/>
  <c r="T1156" i="2"/>
  <c r="I1153"/>
  <c r="I1154" s="1"/>
  <c r="O1156"/>
  <c r="Y1156"/>
  <c r="Y672" s="1"/>
  <c r="R40"/>
  <c r="M40"/>
  <c r="AA429"/>
  <c r="AB429" s="1"/>
  <c r="H40"/>
  <c r="S1153"/>
  <c r="S1154" s="1"/>
  <c r="S1156" s="1"/>
  <c r="U1153"/>
  <c r="U1154" s="1"/>
  <c r="U1156" s="1"/>
  <c r="W40"/>
  <c r="R1153"/>
  <c r="R1154" s="1"/>
  <c r="Z1156"/>
  <c r="Z672" s="1"/>
  <c r="I40"/>
  <c r="Y601" i="1"/>
  <c r="Y504"/>
  <c r="F259" i="2"/>
  <c r="Y101" i="1"/>
  <c r="Y104" s="1"/>
  <c r="AD608"/>
  <c r="AD221"/>
  <c r="AD211"/>
  <c r="AD209"/>
  <c r="AD219"/>
  <c r="AD216"/>
  <c r="AD218"/>
  <c r="AD208"/>
  <c r="AD210"/>
  <c r="AD212"/>
  <c r="AD215"/>
  <c r="AD217"/>
  <c r="AC610"/>
  <c r="AC245"/>
  <c r="AC255" s="1"/>
  <c r="Y313"/>
  <c r="F204" i="2"/>
  <c r="AA476"/>
  <c r="AB476" s="1"/>
  <c r="W739"/>
  <c r="W672"/>
  <c r="W740"/>
  <c r="Z739"/>
  <c r="Z740"/>
  <c r="Y740"/>
  <c r="AC596" i="1"/>
  <c r="AC52"/>
  <c r="AC87"/>
  <c r="AC11"/>
  <c r="AC10"/>
  <c r="AC86"/>
  <c r="AC118"/>
  <c r="AC120" s="1"/>
  <c r="AC54"/>
  <c r="AC9"/>
  <c r="AC12"/>
  <c r="AC68"/>
  <c r="AC13"/>
  <c r="AC55"/>
  <c r="K590" i="2"/>
  <c r="M590"/>
  <c r="I590"/>
  <c r="O590"/>
  <c r="P590"/>
  <c r="Q590"/>
  <c r="R590"/>
  <c r="V590"/>
  <c r="Z590"/>
  <c r="X590"/>
  <c r="Y590"/>
  <c r="N590"/>
  <c r="U590"/>
  <c r="J590"/>
  <c r="T590"/>
  <c r="H590"/>
  <c r="G590"/>
  <c r="L590"/>
  <c r="W590"/>
  <c r="S590"/>
  <c r="AA198"/>
  <c r="AB198" s="1"/>
  <c r="AF65" i="1"/>
  <c r="AG65" s="1"/>
  <c r="AE461"/>
  <c r="AF461" s="1"/>
  <c r="AG461" s="1"/>
  <c r="AF455"/>
  <c r="AG455" s="1"/>
  <c r="AF115"/>
  <c r="AG115" s="1"/>
  <c r="AE578"/>
  <c r="AF357"/>
  <c r="AG357" s="1"/>
  <c r="AE587"/>
  <c r="AF585"/>
  <c r="AG585" s="1"/>
  <c r="AE188"/>
  <c r="AF188" s="1"/>
  <c r="AG188" s="1"/>
  <c r="AF183"/>
  <c r="AG183" s="1"/>
  <c r="AE476"/>
  <c r="AF476" s="1"/>
  <c r="AG476" s="1"/>
  <c r="AF464"/>
  <c r="AG464" s="1"/>
  <c r="AA531" i="2"/>
  <c r="AB531" s="1"/>
  <c r="Z289" i="1"/>
  <c r="AC608"/>
  <c r="AC211"/>
  <c r="AC217"/>
  <c r="AC221"/>
  <c r="AC218"/>
  <c r="AC216"/>
  <c r="AC209"/>
  <c r="AC210"/>
  <c r="AC212"/>
  <c r="AC219"/>
  <c r="AC215"/>
  <c r="AC208"/>
  <c r="F479" i="2"/>
  <c r="X551" i="1"/>
  <c r="G93" i="2"/>
  <c r="H93"/>
  <c r="I93"/>
  <c r="K93"/>
  <c r="L93"/>
  <c r="J93"/>
  <c r="M93"/>
  <c r="R93"/>
  <c r="S93"/>
  <c r="T93"/>
  <c r="V93"/>
  <c r="P93"/>
  <c r="U93"/>
  <c r="X93"/>
  <c r="Z93"/>
  <c r="O93"/>
  <c r="W93"/>
  <c r="N93"/>
  <c r="Q93"/>
  <c r="Y93"/>
  <c r="F95"/>
  <c r="M199"/>
  <c r="K199"/>
  <c r="O199"/>
  <c r="X199"/>
  <c r="Y199"/>
  <c r="Y200" s="1"/>
  <c r="I199"/>
  <c r="Q199"/>
  <c r="R199"/>
  <c r="P199"/>
  <c r="V199"/>
  <c r="Z199"/>
  <c r="Z200" s="1"/>
  <c r="U199"/>
  <c r="T199"/>
  <c r="N199"/>
  <c r="J199"/>
  <c r="J200" s="1"/>
  <c r="H199"/>
  <c r="L199"/>
  <c r="S199"/>
  <c r="S200" s="1"/>
  <c r="W199"/>
  <c r="G199"/>
  <c r="H29" i="20"/>
  <c r="D32" i="14"/>
  <c r="E32" s="1"/>
  <c r="K32" s="1"/>
  <c r="L32" s="1"/>
  <c r="AA696" i="2"/>
  <c r="AB696" s="1"/>
  <c r="AB611" i="1"/>
  <c r="AB297"/>
  <c r="AB304"/>
  <c r="AB488"/>
  <c r="AB492"/>
  <c r="AB298"/>
  <c r="AB489"/>
  <c r="AB493"/>
  <c r="AB295"/>
  <c r="AB490"/>
  <c r="AB496"/>
  <c r="AB495"/>
  <c r="AB487"/>
  <c r="AB305"/>
  <c r="AB296"/>
  <c r="AB301"/>
  <c r="AB300"/>
  <c r="K1156" i="2"/>
  <c r="I1156"/>
  <c r="M1156"/>
  <c r="P1156"/>
  <c r="Q1156"/>
  <c r="H1153"/>
  <c r="H1154" s="1"/>
  <c r="V1156"/>
  <c r="AE84" i="1"/>
  <c r="AF84" s="1"/>
  <c r="AG84" s="1"/>
  <c r="AE404"/>
  <c r="AF404" s="1"/>
  <c r="AG404" s="1"/>
  <c r="AE229"/>
  <c r="AF229" s="1"/>
  <c r="AG229" s="1"/>
  <c r="AE518"/>
  <c r="AF518" s="1"/>
  <c r="AG518" s="1"/>
  <c r="AF249"/>
  <c r="AG249" s="1"/>
  <c r="AE403"/>
  <c r="AF403" s="1"/>
  <c r="AG403" s="1"/>
  <c r="AE408"/>
  <c r="AF408" s="1"/>
  <c r="AG408" s="1"/>
  <c r="AE410"/>
  <c r="AF410" s="1"/>
  <c r="AG410" s="1"/>
  <c r="AE116"/>
  <c r="AF116" s="1"/>
  <c r="AG116" s="1"/>
  <c r="AC579"/>
  <c r="AC415" s="1"/>
  <c r="AC427" s="1"/>
  <c r="AC448" s="1"/>
  <c r="AC450" s="1"/>
  <c r="AC452" s="1"/>
  <c r="AA373" i="2"/>
  <c r="AB373" s="1"/>
  <c r="AA253"/>
  <c r="AB253" s="1"/>
  <c r="U40"/>
  <c r="S40"/>
  <c r="AA370"/>
  <c r="AB370" s="1"/>
  <c r="AA289" i="1"/>
  <c r="AA141" i="2"/>
  <c r="AB141" s="1"/>
  <c r="G1154"/>
  <c r="T740"/>
  <c r="T672"/>
  <c r="T739"/>
  <c r="F318"/>
  <c r="U128"/>
  <c r="Z128"/>
  <c r="Z131" s="1"/>
  <c r="W128"/>
  <c r="W131" s="1"/>
  <c r="J128"/>
  <c r="S128"/>
  <c r="N128"/>
  <c r="O128"/>
  <c r="O131" s="1"/>
  <c r="V128"/>
  <c r="V131" s="1"/>
  <c r="X128"/>
  <c r="X131" s="1"/>
  <c r="H128"/>
  <c r="K128"/>
  <c r="M128"/>
  <c r="P128"/>
  <c r="Q128"/>
  <c r="Y128"/>
  <c r="Y131" s="1"/>
  <c r="I128"/>
  <c r="R128"/>
  <c r="T128"/>
  <c r="L128"/>
  <c r="G128"/>
  <c r="F131"/>
  <c r="H200"/>
  <c r="AD597" i="1"/>
  <c r="AD85"/>
  <c r="AD424"/>
  <c r="AD579" s="1"/>
  <c r="AD415" s="1"/>
  <c r="AD427" s="1"/>
  <c r="AD236"/>
  <c r="AD59"/>
  <c r="AD444"/>
  <c r="AD580" s="1"/>
  <c r="AD436" s="1"/>
  <c r="AD446" s="1"/>
  <c r="AD67"/>
  <c r="AD425"/>
  <c r="AD239"/>
  <c r="AD238"/>
  <c r="AD56"/>
  <c r="AD237"/>
  <c r="AD536"/>
  <c r="AD519"/>
  <c r="AD528"/>
  <c r="AD253"/>
  <c r="AD117"/>
  <c r="AE287"/>
  <c r="AF287" s="1"/>
  <c r="AG287" s="1"/>
  <c r="AF275"/>
  <c r="AG275" s="1"/>
  <c r="AF83"/>
  <c r="AG83" s="1"/>
  <c r="AA142" i="2"/>
  <c r="AB142" s="1"/>
  <c r="AB612" i="1"/>
  <c r="AB537"/>
  <c r="AB539" s="1"/>
  <c r="F435" i="2" s="1"/>
  <c r="AB307" i="1"/>
  <c r="AB497"/>
  <c r="AB306"/>
  <c r="AB529"/>
  <c r="AB531" s="1"/>
  <c r="F380" i="2" s="1"/>
  <c r="AB520" i="1"/>
  <c r="AB498"/>
  <c r="AA818" i="2"/>
  <c r="AB818" s="1"/>
  <c r="M254"/>
  <c r="M255" s="1"/>
  <c r="V254"/>
  <c r="V255" s="1"/>
  <c r="Y254"/>
  <c r="Y255" s="1"/>
  <c r="Z254"/>
  <c r="Z255" s="1"/>
  <c r="R254"/>
  <c r="R255" s="1"/>
  <c r="K254"/>
  <c r="K255" s="1"/>
  <c r="P254"/>
  <c r="P255" s="1"/>
  <c r="Q254"/>
  <c r="Q255" s="1"/>
  <c r="I254"/>
  <c r="I255" s="1"/>
  <c r="O254"/>
  <c r="O255" s="1"/>
  <c r="X254"/>
  <c r="X255" s="1"/>
  <c r="N254"/>
  <c r="N255" s="1"/>
  <c r="J254"/>
  <c r="J255" s="1"/>
  <c r="U254"/>
  <c r="U255" s="1"/>
  <c r="T254"/>
  <c r="T255" s="1"/>
  <c r="H254"/>
  <c r="H255" s="1"/>
  <c r="S254"/>
  <c r="S255" s="1"/>
  <c r="L254"/>
  <c r="L255" s="1"/>
  <c r="W254"/>
  <c r="W255" s="1"/>
  <c r="G254"/>
  <c r="AA611" i="1"/>
  <c r="AA490"/>
  <c r="AA496"/>
  <c r="AA295"/>
  <c r="AA300"/>
  <c r="AA296"/>
  <c r="AA488"/>
  <c r="AA487"/>
  <c r="AA304"/>
  <c r="AA298"/>
  <c r="AA489"/>
  <c r="AA492"/>
  <c r="AA493"/>
  <c r="AA495"/>
  <c r="AA297"/>
  <c r="AA301"/>
  <c r="AA305"/>
  <c r="R1156" i="2"/>
  <c r="N1156"/>
  <c r="X1156"/>
  <c r="V200"/>
  <c r="O200"/>
  <c r="AE406" i="1"/>
  <c r="AF406" s="1"/>
  <c r="AG406" s="1"/>
  <c r="AE402"/>
  <c r="AE230"/>
  <c r="AF230" s="1"/>
  <c r="AG230" s="1"/>
  <c r="AE233"/>
  <c r="AF233" s="1"/>
  <c r="AG233" s="1"/>
  <c r="AE248"/>
  <c r="AF248" s="1"/>
  <c r="AG248" s="1"/>
  <c r="AE439"/>
  <c r="AF439" s="1"/>
  <c r="AG439" s="1"/>
  <c r="AE441"/>
  <c r="AF441" s="1"/>
  <c r="AG441" s="1"/>
  <c r="AE418"/>
  <c r="AF418" s="1"/>
  <c r="AG418" s="1"/>
  <c r="AE443"/>
  <c r="AF443" s="1"/>
  <c r="AG443" s="1"/>
  <c r="AE419"/>
  <c r="AF419" s="1"/>
  <c r="AG419" s="1"/>
  <c r="AB15"/>
  <c r="AC89"/>
  <c r="AC203"/>
  <c r="Y551"/>
  <c r="Y553" s="1"/>
  <c r="X500"/>
  <c r="X502" s="1"/>
  <c r="AC148"/>
  <c r="AC192" s="1"/>
  <c r="AA39" i="2"/>
  <c r="AB39" s="1"/>
  <c r="G1156"/>
  <c r="F481"/>
  <c r="I480"/>
  <c r="K480"/>
  <c r="M480"/>
  <c r="O480"/>
  <c r="Q480"/>
  <c r="P480"/>
  <c r="R480"/>
  <c r="Y480"/>
  <c r="X480"/>
  <c r="Z480"/>
  <c r="V480"/>
  <c r="H480"/>
  <c r="N480"/>
  <c r="J480"/>
  <c r="U480"/>
  <c r="T480"/>
  <c r="G480"/>
  <c r="W480"/>
  <c r="S480"/>
  <c r="L480"/>
  <c r="I645"/>
  <c r="M645"/>
  <c r="K645"/>
  <c r="R645"/>
  <c r="Z645"/>
  <c r="Q645"/>
  <c r="V645"/>
  <c r="X645"/>
  <c r="Y645"/>
  <c r="O645"/>
  <c r="P645"/>
  <c r="N645"/>
  <c r="T645"/>
  <c r="J645"/>
  <c r="H645"/>
  <c r="U645"/>
  <c r="W645"/>
  <c r="G645"/>
  <c r="S645"/>
  <c r="L645"/>
  <c r="AD364" i="1"/>
  <c r="AD605"/>
  <c r="AD151"/>
  <c r="AD158" s="1"/>
  <c r="AD169" s="1"/>
  <c r="R200" i="2"/>
  <c r="U200"/>
  <c r="I200"/>
  <c r="Q200"/>
  <c r="G200"/>
  <c r="AD613" i="1"/>
  <c r="AD48"/>
  <c r="AD514"/>
  <c r="AD515"/>
  <c r="AD516"/>
  <c r="AD385"/>
  <c r="AD607"/>
  <c r="AD172"/>
  <c r="AD178" s="1"/>
  <c r="AD190" s="1"/>
  <c r="AE598"/>
  <c r="AF598" s="1"/>
  <c r="AG598" s="1"/>
  <c r="AF33"/>
  <c r="AG33" s="1"/>
  <c r="AE574"/>
  <c r="AF325"/>
  <c r="AG325" s="1"/>
  <c r="AE46"/>
  <c r="AF36"/>
  <c r="AG36" s="1"/>
  <c r="AE577"/>
  <c r="AF347"/>
  <c r="AG347" s="1"/>
  <c r="AE375"/>
  <c r="AF369"/>
  <c r="AG369" s="1"/>
  <c r="AE272"/>
  <c r="AF272" s="1"/>
  <c r="AG272" s="1"/>
  <c r="AF266"/>
  <c r="AG266" s="1"/>
  <c r="AA77"/>
  <c r="AA80" s="1"/>
  <c r="AA600"/>
  <c r="AA72"/>
  <c r="AA96"/>
  <c r="AA110"/>
  <c r="AA109"/>
  <c r="F46" i="2"/>
  <c r="AA95" i="1"/>
  <c r="AA107"/>
  <c r="AA108"/>
  <c r="V122"/>
  <c r="M314" i="2"/>
  <c r="M315" s="1"/>
  <c r="I314"/>
  <c r="K314"/>
  <c r="X314"/>
  <c r="X315" s="1"/>
  <c r="P314"/>
  <c r="P315" s="1"/>
  <c r="R314"/>
  <c r="R315" s="1"/>
  <c r="Y314"/>
  <c r="Y315" s="1"/>
  <c r="Q314"/>
  <c r="Q315" s="1"/>
  <c r="Z314"/>
  <c r="Z315" s="1"/>
  <c r="O314"/>
  <c r="V314"/>
  <c r="U314"/>
  <c r="U315" s="1"/>
  <c r="N314"/>
  <c r="J314"/>
  <c r="J315" s="1"/>
  <c r="T314"/>
  <c r="T315" s="1"/>
  <c r="H314"/>
  <c r="H315" s="1"/>
  <c r="S314"/>
  <c r="S315" s="1"/>
  <c r="L314"/>
  <c r="W314"/>
  <c r="W315" s="1"/>
  <c r="G314"/>
  <c r="J644"/>
  <c r="H644"/>
  <c r="G644"/>
  <c r="G646" s="1"/>
  <c r="F646"/>
  <c r="L644"/>
  <c r="I644"/>
  <c r="I646" s="1"/>
  <c r="K644"/>
  <c r="M644"/>
  <c r="O644"/>
  <c r="U644"/>
  <c r="W644"/>
  <c r="P644"/>
  <c r="P646" s="1"/>
  <c r="Q644"/>
  <c r="R644"/>
  <c r="R646" s="1"/>
  <c r="S644"/>
  <c r="Y644"/>
  <c r="Y646" s="1"/>
  <c r="N644"/>
  <c r="N646" s="1"/>
  <c r="T644"/>
  <c r="V644"/>
  <c r="V646" s="1"/>
  <c r="X644"/>
  <c r="X646" s="1"/>
  <c r="Z644"/>
  <c r="K589"/>
  <c r="K591" s="1"/>
  <c r="L589"/>
  <c r="M589"/>
  <c r="M591" s="1"/>
  <c r="U589"/>
  <c r="Y589"/>
  <c r="P589"/>
  <c r="P591" s="1"/>
  <c r="Q589"/>
  <c r="Q591" s="1"/>
  <c r="S589"/>
  <c r="T589"/>
  <c r="N589"/>
  <c r="N591" s="1"/>
  <c r="O589"/>
  <c r="O591" s="1"/>
  <c r="W589"/>
  <c r="W591" s="1"/>
  <c r="X589"/>
  <c r="X591" s="1"/>
  <c r="Z589"/>
  <c r="Z591" s="1"/>
  <c r="R589"/>
  <c r="R591" s="1"/>
  <c r="V589"/>
  <c r="J589"/>
  <c r="H589"/>
  <c r="I589"/>
  <c r="I591" s="1"/>
  <c r="G589"/>
  <c r="F591"/>
  <c r="AA313"/>
  <c r="AB313" s="1"/>
  <c r="G315"/>
  <c r="H29" i="14"/>
  <c r="AA641" i="2"/>
  <c r="AB641" s="1"/>
  <c r="AA140"/>
  <c r="AB140" s="1"/>
  <c r="J1149"/>
  <c r="J1156" s="1"/>
  <c r="H1156"/>
  <c r="L1156"/>
  <c r="AE517" i="1"/>
  <c r="AF517" s="1"/>
  <c r="AG517" s="1"/>
  <c r="AE535"/>
  <c r="AF535" s="1"/>
  <c r="AG535" s="1"/>
  <c r="AE214"/>
  <c r="AF214" s="1"/>
  <c r="AG214" s="1"/>
  <c r="AE438"/>
  <c r="AF438" s="1"/>
  <c r="AG438" s="1"/>
  <c r="AE407"/>
  <c r="AF407" s="1"/>
  <c r="AG407" s="1"/>
  <c r="X309"/>
  <c r="X311" s="1"/>
  <c r="AA475" i="2"/>
  <c r="AB475" s="1"/>
  <c r="AA432"/>
  <c r="AB432" s="1"/>
  <c r="O315"/>
  <c r="AA377"/>
  <c r="AB377" s="1"/>
  <c r="AD604" i="1"/>
  <c r="AD140"/>
  <c r="AD146" s="1"/>
  <c r="AD148" s="1"/>
  <c r="AD192" s="1"/>
  <c r="AD205" s="1"/>
  <c r="O739" i="2"/>
  <c r="O672"/>
  <c r="O740"/>
  <c r="AA90"/>
  <c r="AB90" s="1"/>
  <c r="Z77" i="1"/>
  <c r="Z80" s="1"/>
  <c r="Z72"/>
  <c r="Z600"/>
  <c r="Z95"/>
  <c r="Z108"/>
  <c r="Z109"/>
  <c r="F43" i="2"/>
  <c r="Z110" i="1"/>
  <c r="Z96"/>
  <c r="Z107"/>
  <c r="F536" i="2"/>
  <c r="M535"/>
  <c r="K535"/>
  <c r="I535"/>
  <c r="P535"/>
  <c r="V535"/>
  <c r="Q535"/>
  <c r="R535"/>
  <c r="Z535"/>
  <c r="O535"/>
  <c r="X535"/>
  <c r="Y535"/>
  <c r="J535"/>
  <c r="U535"/>
  <c r="N535"/>
  <c r="T535"/>
  <c r="H535"/>
  <c r="S535"/>
  <c r="G535"/>
  <c r="W535"/>
  <c r="L535"/>
  <c r="J94"/>
  <c r="M94"/>
  <c r="M95" s="1"/>
  <c r="K94"/>
  <c r="R94"/>
  <c r="V94"/>
  <c r="Y94"/>
  <c r="Y95" s="1"/>
  <c r="Z94"/>
  <c r="Z95" s="1"/>
  <c r="O94"/>
  <c r="P94"/>
  <c r="Q94"/>
  <c r="W94"/>
  <c r="X94"/>
  <c r="I94"/>
  <c r="I95" s="1"/>
  <c r="S94"/>
  <c r="S95" s="1"/>
  <c r="T94"/>
  <c r="N94"/>
  <c r="H94"/>
  <c r="U94"/>
  <c r="U95" s="1"/>
  <c r="G94"/>
  <c r="L94"/>
  <c r="T200"/>
  <c r="N200"/>
  <c r="L200"/>
  <c r="AA426"/>
  <c r="AB426" s="1"/>
  <c r="AF437" i="1"/>
  <c r="AG437" s="1"/>
  <c r="AF534"/>
  <c r="AG534" s="1"/>
  <c r="AE383"/>
  <c r="AF383" s="1"/>
  <c r="AG383" s="1"/>
  <c r="AF378"/>
  <c r="AG378" s="1"/>
  <c r="AE29"/>
  <c r="AF19"/>
  <c r="AG19" s="1"/>
  <c r="AF416"/>
  <c r="AG416" s="1"/>
  <c r="AF526"/>
  <c r="AG526" s="1"/>
  <c r="AE583"/>
  <c r="AF37"/>
  <c r="AG37" s="1"/>
  <c r="AE576"/>
  <c r="AF336"/>
  <c r="AG336" s="1"/>
  <c r="AA38" i="2"/>
  <c r="AB38" s="1"/>
  <c r="G40"/>
  <c r="F321"/>
  <c r="G534"/>
  <c r="H534"/>
  <c r="I534"/>
  <c r="I536" s="1"/>
  <c r="K534"/>
  <c r="K536" s="1"/>
  <c r="L534"/>
  <c r="J534"/>
  <c r="M534"/>
  <c r="Q534"/>
  <c r="Q536" s="1"/>
  <c r="S534"/>
  <c r="T534"/>
  <c r="X534"/>
  <c r="X536" s="1"/>
  <c r="Y534"/>
  <c r="Y536" s="1"/>
  <c r="N534"/>
  <c r="N536" s="1"/>
  <c r="V534"/>
  <c r="V536" s="1"/>
  <c r="P534"/>
  <c r="P536" s="1"/>
  <c r="O534"/>
  <c r="O536" s="1"/>
  <c r="R534"/>
  <c r="R536" s="1"/>
  <c r="U534"/>
  <c r="W534"/>
  <c r="W536" s="1"/>
  <c r="Z534"/>
  <c r="Z536" s="1"/>
  <c r="W599" i="1"/>
  <c r="W94"/>
  <c r="W98" s="1"/>
  <c r="W122" s="1"/>
  <c r="F144" i="2" s="1"/>
  <c r="I315"/>
  <c r="H29" i="16"/>
  <c r="N315" i="2"/>
  <c r="H29" i="21"/>
  <c r="K315" i="2"/>
  <c r="H29" i="22"/>
  <c r="X200" i="2"/>
  <c r="W200"/>
  <c r="AF527" i="1"/>
  <c r="AG527" s="1"/>
  <c r="AE220"/>
  <c r="AF220" s="1"/>
  <c r="AG220" s="1"/>
  <c r="AE409"/>
  <c r="AF409" s="1"/>
  <c r="AG409" s="1"/>
  <c r="AB223"/>
  <c r="AB261" s="1"/>
  <c r="AC70"/>
  <c r="AC78" s="1"/>
  <c r="AA125" i="2"/>
  <c r="AB125" s="1"/>
  <c r="V315"/>
  <c r="J40"/>
  <c r="V40"/>
  <c r="AD343" i="1"/>
  <c r="AD387" s="1"/>
  <c r="Z112" l="1"/>
  <c r="U740" i="2"/>
  <c r="U739"/>
  <c r="U672"/>
  <c r="AA1153"/>
  <c r="AB1153" s="1"/>
  <c r="Y739"/>
  <c r="S672"/>
  <c r="S739"/>
  <c r="S740"/>
  <c r="T536"/>
  <c r="H536"/>
  <c r="J536"/>
  <c r="AA645"/>
  <c r="AB645" s="1"/>
  <c r="J646"/>
  <c r="AC478" i="1"/>
  <c r="AB289"/>
  <c r="AA534" i="2"/>
  <c r="AB534" s="1"/>
  <c r="G536"/>
  <c r="AE613" i="1"/>
  <c r="AF613" s="1"/>
  <c r="AG613" s="1"/>
  <c r="AE48"/>
  <c r="AF29"/>
  <c r="AG29" s="1"/>
  <c r="AE516"/>
  <c r="AF516" s="1"/>
  <c r="AG516" s="1"/>
  <c r="AE515"/>
  <c r="AF515" s="1"/>
  <c r="AG515" s="1"/>
  <c r="AE514"/>
  <c r="F143" i="2"/>
  <c r="V46"/>
  <c r="W46"/>
  <c r="Z46"/>
  <c r="X46"/>
  <c r="Y46"/>
  <c r="K46"/>
  <c r="H46"/>
  <c r="O46"/>
  <c r="J46"/>
  <c r="R46"/>
  <c r="U46"/>
  <c r="S46"/>
  <c r="M46"/>
  <c r="Q46"/>
  <c r="P46"/>
  <c r="N46"/>
  <c r="I46"/>
  <c r="L46"/>
  <c r="T46"/>
  <c r="G46"/>
  <c r="N740"/>
  <c r="N739"/>
  <c r="N672"/>
  <c r="G380"/>
  <c r="I380"/>
  <c r="K380"/>
  <c r="L380"/>
  <c r="Y380"/>
  <c r="P380"/>
  <c r="H380"/>
  <c r="N380"/>
  <c r="V380"/>
  <c r="T380"/>
  <c r="U380"/>
  <c r="X380"/>
  <c r="O380"/>
  <c r="Q380"/>
  <c r="R380"/>
  <c r="S380"/>
  <c r="W380"/>
  <c r="Z380"/>
  <c r="J380"/>
  <c r="M380"/>
  <c r="L435"/>
  <c r="M435"/>
  <c r="R435"/>
  <c r="S435"/>
  <c r="Z435"/>
  <c r="I435"/>
  <c r="P435"/>
  <c r="Q435"/>
  <c r="O435"/>
  <c r="V435"/>
  <c r="N435"/>
  <c r="W435"/>
  <c r="H435"/>
  <c r="T435"/>
  <c r="U435"/>
  <c r="Y435"/>
  <c r="G435"/>
  <c r="J435"/>
  <c r="X435"/>
  <c r="K435"/>
  <c r="AD610" i="1"/>
  <c r="AD448"/>
  <c r="AD450" s="1"/>
  <c r="AD452" s="1"/>
  <c r="AD245"/>
  <c r="AD255" s="1"/>
  <c r="T131" i="2"/>
  <c r="Q131"/>
  <c r="H131"/>
  <c r="N131"/>
  <c r="AA602" i="1"/>
  <c r="AA102"/>
  <c r="Q739" i="2"/>
  <c r="Q672"/>
  <c r="Q740"/>
  <c r="K739"/>
  <c r="K740"/>
  <c r="K672"/>
  <c r="Y599" i="1"/>
  <c r="Y94"/>
  <c r="Y98" s="1"/>
  <c r="Y122" s="1"/>
  <c r="F149" i="2" s="1"/>
  <c r="L536"/>
  <c r="N95"/>
  <c r="X95"/>
  <c r="T95"/>
  <c r="J95"/>
  <c r="H95"/>
  <c r="AC223" i="1"/>
  <c r="T591" i="2"/>
  <c r="Y591"/>
  <c r="AF576" i="1"/>
  <c r="AG576" s="1"/>
  <c r="AE335"/>
  <c r="Y43" i="2"/>
  <c r="W43"/>
  <c r="X43"/>
  <c r="Z43"/>
  <c r="V43"/>
  <c r="V1127" s="1"/>
  <c r="P43"/>
  <c r="K43"/>
  <c r="S43"/>
  <c r="R43"/>
  <c r="T43"/>
  <c r="H43"/>
  <c r="Q43"/>
  <c r="J43"/>
  <c r="J1127" s="1"/>
  <c r="I43"/>
  <c r="L43"/>
  <c r="M43"/>
  <c r="O43"/>
  <c r="N43"/>
  <c r="U43"/>
  <c r="U1127" s="1"/>
  <c r="G43"/>
  <c r="X553" i="1"/>
  <c r="X313"/>
  <c r="F203" i="2"/>
  <c r="H672"/>
  <c r="H740"/>
  <c r="H739"/>
  <c r="O839"/>
  <c r="L672"/>
  <c r="L740"/>
  <c r="L739"/>
  <c r="AA314"/>
  <c r="AB314" s="1"/>
  <c r="AE607" i="1"/>
  <c r="AF607" s="1"/>
  <c r="AG607" s="1"/>
  <c r="AE385"/>
  <c r="AF385" s="1"/>
  <c r="AG385" s="1"/>
  <c r="AF375"/>
  <c r="AG375" s="1"/>
  <c r="AE172"/>
  <c r="AE597"/>
  <c r="AF597" s="1"/>
  <c r="AG597" s="1"/>
  <c r="AF46"/>
  <c r="AG46" s="1"/>
  <c r="AE519"/>
  <c r="AF519" s="1"/>
  <c r="AG519" s="1"/>
  <c r="AE425"/>
  <c r="AF425" s="1"/>
  <c r="AG425" s="1"/>
  <c r="AE236"/>
  <c r="AF236" s="1"/>
  <c r="AG236" s="1"/>
  <c r="AE528"/>
  <c r="AE444"/>
  <c r="AF444" s="1"/>
  <c r="AG444" s="1"/>
  <c r="AE56"/>
  <c r="AF56" s="1"/>
  <c r="AG56" s="1"/>
  <c r="AE237"/>
  <c r="AF237" s="1"/>
  <c r="AG237" s="1"/>
  <c r="AE85"/>
  <c r="AE424"/>
  <c r="AE253"/>
  <c r="AF253" s="1"/>
  <c r="AG253" s="1"/>
  <c r="AE536"/>
  <c r="AE239"/>
  <c r="AF239" s="1"/>
  <c r="AG239" s="1"/>
  <c r="AE117"/>
  <c r="AF117" s="1"/>
  <c r="AG117" s="1"/>
  <c r="AE238"/>
  <c r="AF238" s="1"/>
  <c r="AG238" s="1"/>
  <c r="AE67"/>
  <c r="AE59"/>
  <c r="AF59" s="1"/>
  <c r="AG59" s="1"/>
  <c r="AA1156" i="2"/>
  <c r="AB1156" s="1"/>
  <c r="G740"/>
  <c r="G739"/>
  <c r="G672"/>
  <c r="X601" i="1"/>
  <c r="X504"/>
  <c r="F258" i="2"/>
  <c r="X101" i="1"/>
  <c r="X104" s="1"/>
  <c r="X739" i="2"/>
  <c r="X740"/>
  <c r="X672"/>
  <c r="AD609" i="1"/>
  <c r="AD228"/>
  <c r="AD241" s="1"/>
  <c r="AD257" s="1"/>
  <c r="L131" i="2"/>
  <c r="K131"/>
  <c r="V318"/>
  <c r="Y318"/>
  <c r="X318"/>
  <c r="Z318"/>
  <c r="W318"/>
  <c r="R318"/>
  <c r="T318"/>
  <c r="K318"/>
  <c r="H318"/>
  <c r="S318"/>
  <c r="P318"/>
  <c r="M318"/>
  <c r="Q318"/>
  <c r="I318"/>
  <c r="L318"/>
  <c r="O318"/>
  <c r="J318"/>
  <c r="N318"/>
  <c r="U318"/>
  <c r="G318"/>
  <c r="S1127"/>
  <c r="AC609" i="1"/>
  <c r="AC228"/>
  <c r="AC241" s="1"/>
  <c r="AC257" s="1"/>
  <c r="AC259" s="1"/>
  <c r="I672" i="2"/>
  <c r="I739"/>
  <c r="I740"/>
  <c r="G479"/>
  <c r="H479"/>
  <c r="H30" i="15" s="1"/>
  <c r="L479" i="2"/>
  <c r="H30" i="19" s="1"/>
  <c r="I479" i="2"/>
  <c r="J479"/>
  <c r="H30" i="17" s="1"/>
  <c r="K479" i="2"/>
  <c r="M479"/>
  <c r="N479"/>
  <c r="P479"/>
  <c r="R479"/>
  <c r="R481" s="1"/>
  <c r="Y479"/>
  <c r="Y481" s="1"/>
  <c r="O479"/>
  <c r="O481" s="1"/>
  <c r="S479"/>
  <c r="S481" s="1"/>
  <c r="U479"/>
  <c r="V479"/>
  <c r="V481" s="1"/>
  <c r="Z479"/>
  <c r="Q479"/>
  <c r="Q481" s="1"/>
  <c r="T479"/>
  <c r="W479"/>
  <c r="W481" s="1"/>
  <c r="X479"/>
  <c r="X481" s="1"/>
  <c r="AF578" i="1"/>
  <c r="AG578" s="1"/>
  <c r="AE356"/>
  <c r="U839" i="2"/>
  <c r="K204"/>
  <c r="M204"/>
  <c r="I204"/>
  <c r="P204"/>
  <c r="Z204"/>
  <c r="O204"/>
  <c r="Q204"/>
  <c r="R204"/>
  <c r="V204"/>
  <c r="Y204"/>
  <c r="X204"/>
  <c r="J204"/>
  <c r="H204"/>
  <c r="U204"/>
  <c r="T204"/>
  <c r="N204"/>
  <c r="G204"/>
  <c r="L204"/>
  <c r="W204"/>
  <c r="S204"/>
  <c r="S536"/>
  <c r="U536"/>
  <c r="M536"/>
  <c r="M646"/>
  <c r="S646"/>
  <c r="H646"/>
  <c r="K646"/>
  <c r="U481"/>
  <c r="AB259" i="1"/>
  <c r="Q95" i="2"/>
  <c r="V95"/>
  <c r="K200"/>
  <c r="S591"/>
  <c r="H591"/>
  <c r="V591"/>
  <c r="AC15" i="1"/>
  <c r="K144" i="2"/>
  <c r="P144"/>
  <c r="Q144"/>
  <c r="V144"/>
  <c r="J144"/>
  <c r="O144"/>
  <c r="W144"/>
  <c r="Y144"/>
  <c r="I144"/>
  <c r="M144"/>
  <c r="X144"/>
  <c r="R144"/>
  <c r="Z144"/>
  <c r="S144"/>
  <c r="T144"/>
  <c r="N144"/>
  <c r="G144"/>
  <c r="U144"/>
  <c r="H144"/>
  <c r="L144"/>
  <c r="AF583" i="1"/>
  <c r="AG583" s="1"/>
  <c r="AE105"/>
  <c r="AF105" s="1"/>
  <c r="AG105" s="1"/>
  <c r="Z91"/>
  <c r="F98" i="2" s="1"/>
  <c r="Z299" i="1"/>
  <c r="Z549"/>
  <c r="Z543"/>
  <c r="F539" i="2" s="1"/>
  <c r="Z545" i="1"/>
  <c r="F594" i="2" s="1"/>
  <c r="Z541" i="1"/>
  <c r="Z494"/>
  <c r="Z302"/>
  <c r="Z303"/>
  <c r="Z491"/>
  <c r="Z547"/>
  <c r="F649" i="2" s="1"/>
  <c r="AA589"/>
  <c r="AB589" s="1"/>
  <c r="G591"/>
  <c r="AA644"/>
  <c r="AB644" s="1"/>
  <c r="Z646"/>
  <c r="AA91" i="1"/>
  <c r="F101" i="2" s="1"/>
  <c r="AA494" i="1"/>
  <c r="AA303"/>
  <c r="AA547"/>
  <c r="F652" i="2" s="1"/>
  <c r="AA543" i="1"/>
  <c r="F542" i="2" s="1"/>
  <c r="AA549" i="1"/>
  <c r="AA545"/>
  <c r="F597" i="2" s="1"/>
  <c r="AA491" i="1"/>
  <c r="AA541"/>
  <c r="AA302"/>
  <c r="AA299"/>
  <c r="AD596"/>
  <c r="AD54"/>
  <c r="AD13"/>
  <c r="AD87"/>
  <c r="AD11"/>
  <c r="AD52"/>
  <c r="AD9"/>
  <c r="AD118"/>
  <c r="AD120" s="1"/>
  <c r="AD68"/>
  <c r="AD70" s="1"/>
  <c r="AD78" s="1"/>
  <c r="AD10"/>
  <c r="AD86"/>
  <c r="AD89" s="1"/>
  <c r="AD12"/>
  <c r="AD55"/>
  <c r="AB614"/>
  <c r="AB61"/>
  <c r="AB521"/>
  <c r="AB523" s="1"/>
  <c r="AA128" i="2"/>
  <c r="AB128" s="1"/>
  <c r="G131"/>
  <c r="I131"/>
  <c r="M131"/>
  <c r="J131"/>
  <c r="V739"/>
  <c r="V672"/>
  <c r="V740"/>
  <c r="M672"/>
  <c r="M739"/>
  <c r="M740"/>
  <c r="AC612" i="1"/>
  <c r="AC529"/>
  <c r="AC531" s="1"/>
  <c r="F383" i="2" s="1"/>
  <c r="AC498" i="1"/>
  <c r="AC520"/>
  <c r="AC307"/>
  <c r="AC537"/>
  <c r="AC539" s="1"/>
  <c r="F438" i="2" s="1"/>
  <c r="AC497" i="1"/>
  <c r="AC306"/>
  <c r="I259" i="2"/>
  <c r="K259"/>
  <c r="M259"/>
  <c r="Y259"/>
  <c r="Z259"/>
  <c r="O259"/>
  <c r="Q259"/>
  <c r="V259"/>
  <c r="X259"/>
  <c r="P259"/>
  <c r="R259"/>
  <c r="J259"/>
  <c r="U259"/>
  <c r="T259"/>
  <c r="H259"/>
  <c r="N259"/>
  <c r="G259"/>
  <c r="S259"/>
  <c r="L259"/>
  <c r="W259"/>
  <c r="AE580" i="1"/>
  <c r="AA535" i="2"/>
  <c r="AB535" s="1"/>
  <c r="Q646"/>
  <c r="O646"/>
  <c r="AA112" i="1"/>
  <c r="L646" i="2"/>
  <c r="U646"/>
  <c r="T481"/>
  <c r="H481"/>
  <c r="AA1149"/>
  <c r="AB1149" s="1"/>
  <c r="AC205" i="1"/>
  <c r="AC261" s="1"/>
  <c r="O95" i="2"/>
  <c r="P95"/>
  <c r="R95"/>
  <c r="K95"/>
  <c r="M200"/>
  <c r="AA590"/>
  <c r="AB590" s="1"/>
  <c r="U591"/>
  <c r="Y321"/>
  <c r="W321"/>
  <c r="X321"/>
  <c r="V321"/>
  <c r="Z321"/>
  <c r="K321"/>
  <c r="P321"/>
  <c r="I29" i="23" s="1"/>
  <c r="K29" s="1"/>
  <c r="U321" i="2"/>
  <c r="S321"/>
  <c r="L321"/>
  <c r="I29" i="19" s="1"/>
  <c r="K29" s="1"/>
  <c r="I321" i="2"/>
  <c r="J321"/>
  <c r="N321"/>
  <c r="O321"/>
  <c r="T321"/>
  <c r="Q321"/>
  <c r="H321"/>
  <c r="M321"/>
  <c r="I29" i="20" s="1"/>
  <c r="K29" s="1"/>
  <c r="R321" i="2"/>
  <c r="G321"/>
  <c r="J740"/>
  <c r="J739"/>
  <c r="J672"/>
  <c r="L315"/>
  <c r="AF577" i="1"/>
  <c r="AG577" s="1"/>
  <c r="AE346"/>
  <c r="AF574"/>
  <c r="AG574" s="1"/>
  <c r="AE324"/>
  <c r="S839" i="2"/>
  <c r="AE412" i="1"/>
  <c r="AF402"/>
  <c r="AG402" s="1"/>
  <c r="R740" i="2"/>
  <c r="R739"/>
  <c r="R672"/>
  <c r="AA254"/>
  <c r="AB254" s="1"/>
  <c r="G255"/>
  <c r="R131"/>
  <c r="P131"/>
  <c r="S131"/>
  <c r="U131"/>
  <c r="T839"/>
  <c r="P739"/>
  <c r="P740"/>
  <c r="P672"/>
  <c r="AA199"/>
  <c r="AB199" s="1"/>
  <c r="G95"/>
  <c r="AA93"/>
  <c r="AB93" s="1"/>
  <c r="Z602" i="1"/>
  <c r="Z102"/>
  <c r="AF587"/>
  <c r="AG587" s="1"/>
  <c r="AE198"/>
  <c r="AF198" s="1"/>
  <c r="AG198" s="1"/>
  <c r="AE195"/>
  <c r="AE196"/>
  <c r="AF196" s="1"/>
  <c r="AG196" s="1"/>
  <c r="AE197"/>
  <c r="AF197" s="1"/>
  <c r="AG197" s="1"/>
  <c r="AE392"/>
  <c r="AA94" i="2"/>
  <c r="AB94" s="1"/>
  <c r="AA40"/>
  <c r="AB40" s="1"/>
  <c r="W646"/>
  <c r="T646"/>
  <c r="AA480"/>
  <c r="AB480" s="1"/>
  <c r="F1127"/>
  <c r="W95"/>
  <c r="L95"/>
  <c r="P200"/>
  <c r="L591"/>
  <c r="J591"/>
  <c r="AD223" i="1"/>
  <c r="AD261" s="1"/>
  <c r="AA500" l="1"/>
  <c r="AA502" s="1"/>
  <c r="J481" i="2"/>
  <c r="I29" i="16"/>
  <c r="K29" s="1"/>
  <c r="I29" i="17"/>
  <c r="K29" s="1"/>
  <c r="L481" i="2"/>
  <c r="I29" i="15"/>
  <c r="K29" s="1"/>
  <c r="AA309" i="1"/>
  <c r="AA311" s="1"/>
  <c r="AA313" s="1"/>
  <c r="AA318" i="2"/>
  <c r="AB318" s="1"/>
  <c r="I29" i="22"/>
  <c r="K29" s="1"/>
  <c r="AA43" i="2"/>
  <c r="AB43" s="1"/>
  <c r="AA46"/>
  <c r="AB46" s="1"/>
  <c r="AD289" i="1"/>
  <c r="F324" i="2"/>
  <c r="F211"/>
  <c r="AA504" i="1"/>
  <c r="AA601"/>
  <c r="AA101"/>
  <c r="AA104" s="1"/>
  <c r="F266" i="2"/>
  <c r="AE396" i="1"/>
  <c r="AF396" s="1"/>
  <c r="AG396" s="1"/>
  <c r="AF392"/>
  <c r="AG392" s="1"/>
  <c r="R839" i="2"/>
  <c r="AE353" i="1"/>
  <c r="AF346"/>
  <c r="AG346" s="1"/>
  <c r="G14" i="17"/>
  <c r="G14" i="16"/>
  <c r="V597" i="2"/>
  <c r="Z597"/>
  <c r="X597"/>
  <c r="W597"/>
  <c r="Y597"/>
  <c r="K597"/>
  <c r="H597"/>
  <c r="L597"/>
  <c r="O597"/>
  <c r="I597"/>
  <c r="T597"/>
  <c r="Q597"/>
  <c r="N597"/>
  <c r="P597"/>
  <c r="J597"/>
  <c r="U597"/>
  <c r="S597"/>
  <c r="R597"/>
  <c r="M597"/>
  <c r="G597"/>
  <c r="V649"/>
  <c r="W649"/>
  <c r="Y649"/>
  <c r="X649"/>
  <c r="Z649"/>
  <c r="S649"/>
  <c r="T649"/>
  <c r="R649"/>
  <c r="H649"/>
  <c r="P649"/>
  <c r="K649"/>
  <c r="M649"/>
  <c r="N649"/>
  <c r="U649"/>
  <c r="I649"/>
  <c r="O649"/>
  <c r="J649"/>
  <c r="Q649"/>
  <c r="L649"/>
  <c r="G649"/>
  <c r="AC61" i="1"/>
  <c r="AC614"/>
  <c r="AC521"/>
  <c r="AE362"/>
  <c r="AF356"/>
  <c r="AG356" s="1"/>
  <c r="K481" i="2"/>
  <c r="H30" i="22"/>
  <c r="G14"/>
  <c r="AA672" i="2"/>
  <c r="AB672" s="1"/>
  <c r="AF85" i="1"/>
  <c r="AG85" s="1"/>
  <c r="AF528"/>
  <c r="AG528" s="1"/>
  <c r="M203" i="2"/>
  <c r="G203"/>
  <c r="L203"/>
  <c r="P203"/>
  <c r="Q203"/>
  <c r="S203"/>
  <c r="I203"/>
  <c r="R203"/>
  <c r="Z203"/>
  <c r="N203"/>
  <c r="F205"/>
  <c r="K203"/>
  <c r="O203"/>
  <c r="O205" s="1"/>
  <c r="T203"/>
  <c r="U203"/>
  <c r="U205" s="1"/>
  <c r="V203"/>
  <c r="V205" s="1"/>
  <c r="Y203"/>
  <c r="Y205" s="1"/>
  <c r="H203"/>
  <c r="J203"/>
  <c r="W203"/>
  <c r="W205" s="1"/>
  <c r="X203"/>
  <c r="X205" s="1"/>
  <c r="L1127"/>
  <c r="L783" s="1"/>
  <c r="H1127"/>
  <c r="K1127"/>
  <c r="X1127"/>
  <c r="Q839"/>
  <c r="G14" i="15"/>
  <c r="AA435" i="2"/>
  <c r="AB435" s="1"/>
  <c r="I29" i="21"/>
  <c r="K29" s="1"/>
  <c r="AC523" i="1"/>
  <c r="L205" i="2"/>
  <c r="G1127"/>
  <c r="AA200"/>
  <c r="AB200" s="1"/>
  <c r="AE203" i="1"/>
  <c r="AF203" s="1"/>
  <c r="AG203" s="1"/>
  <c r="AF195"/>
  <c r="AG195" s="1"/>
  <c r="AE608"/>
  <c r="AF608" s="1"/>
  <c r="AG608" s="1"/>
  <c r="AF412"/>
  <c r="AG412" s="1"/>
  <c r="AE215"/>
  <c r="AF215" s="1"/>
  <c r="AG215" s="1"/>
  <c r="AE211"/>
  <c r="AF211" s="1"/>
  <c r="AG211" s="1"/>
  <c r="AE210"/>
  <c r="AF210" s="1"/>
  <c r="AG210" s="1"/>
  <c r="AE219"/>
  <c r="AF219" s="1"/>
  <c r="AG219" s="1"/>
  <c r="AE212"/>
  <c r="AF212" s="1"/>
  <c r="AG212" s="1"/>
  <c r="AE218"/>
  <c r="AF218" s="1"/>
  <c r="AG218" s="1"/>
  <c r="AE209"/>
  <c r="AF209" s="1"/>
  <c r="AG209" s="1"/>
  <c r="AE221"/>
  <c r="AF221" s="1"/>
  <c r="AG221" s="1"/>
  <c r="AE216"/>
  <c r="AF216" s="1"/>
  <c r="AG216" s="1"/>
  <c r="AE208"/>
  <c r="AE217"/>
  <c r="AF217" s="1"/>
  <c r="AG217" s="1"/>
  <c r="AC289"/>
  <c r="Z652" i="2"/>
  <c r="V652"/>
  <c r="X652"/>
  <c r="W652"/>
  <c r="Y652"/>
  <c r="K652"/>
  <c r="H652"/>
  <c r="M652"/>
  <c r="L652"/>
  <c r="O652"/>
  <c r="P652"/>
  <c r="Q652"/>
  <c r="N652"/>
  <c r="U652"/>
  <c r="S652"/>
  <c r="R652"/>
  <c r="T652"/>
  <c r="I652"/>
  <c r="J652"/>
  <c r="G652"/>
  <c r="W101"/>
  <c r="V101"/>
  <c r="Y101"/>
  <c r="Z101"/>
  <c r="X101"/>
  <c r="K101"/>
  <c r="S101"/>
  <c r="R101"/>
  <c r="H101"/>
  <c r="L101"/>
  <c r="U101"/>
  <c r="M101"/>
  <c r="J101"/>
  <c r="P101"/>
  <c r="Q101"/>
  <c r="N101"/>
  <c r="O101"/>
  <c r="I101"/>
  <c r="T101"/>
  <c r="G101"/>
  <c r="X539"/>
  <c r="Z539"/>
  <c r="Y539"/>
  <c r="V539"/>
  <c r="W539"/>
  <c r="H539"/>
  <c r="S539"/>
  <c r="R539"/>
  <c r="P539"/>
  <c r="T539"/>
  <c r="K539"/>
  <c r="M539"/>
  <c r="U539"/>
  <c r="Q539"/>
  <c r="N539"/>
  <c r="J539"/>
  <c r="L539"/>
  <c r="I539"/>
  <c r="O539"/>
  <c r="G539"/>
  <c r="X98"/>
  <c r="Y98"/>
  <c r="V98"/>
  <c r="W98"/>
  <c r="Z98"/>
  <c r="S98"/>
  <c r="R98"/>
  <c r="P98"/>
  <c r="T98"/>
  <c r="H98"/>
  <c r="K98"/>
  <c r="I98"/>
  <c r="J98"/>
  <c r="M98"/>
  <c r="O98"/>
  <c r="N98"/>
  <c r="U98"/>
  <c r="Q98"/>
  <c r="L98"/>
  <c r="G98"/>
  <c r="M481"/>
  <c r="H30" i="20"/>
  <c r="AF424" i="1"/>
  <c r="AG424" s="1"/>
  <c r="AE579"/>
  <c r="M1127" i="2"/>
  <c r="M784" s="1"/>
  <c r="D36" i="20" s="1"/>
  <c r="Q1127" i="2"/>
  <c r="Z1127"/>
  <c r="Z789" s="1"/>
  <c r="AA95"/>
  <c r="AB95" s="1"/>
  <c r="K149"/>
  <c r="J149"/>
  <c r="M149"/>
  <c r="I149"/>
  <c r="O149"/>
  <c r="V149"/>
  <c r="W149"/>
  <c r="X149"/>
  <c r="Y149"/>
  <c r="Z149"/>
  <c r="Q149"/>
  <c r="R149"/>
  <c r="P149"/>
  <c r="S149"/>
  <c r="T149"/>
  <c r="N149"/>
  <c r="G149"/>
  <c r="U149"/>
  <c r="H149"/>
  <c r="L149"/>
  <c r="AA380"/>
  <c r="AB380" s="1"/>
  <c r="N839"/>
  <c r="AF514" i="1"/>
  <c r="AG514" s="1"/>
  <c r="AE596"/>
  <c r="AF596" s="1"/>
  <c r="AG596" s="1"/>
  <c r="AF48"/>
  <c r="AG48" s="1"/>
  <c r="AE118"/>
  <c r="AE9"/>
  <c r="AE54"/>
  <c r="AF54" s="1"/>
  <c r="AG54" s="1"/>
  <c r="AE87"/>
  <c r="AF87" s="1"/>
  <c r="AG87" s="1"/>
  <c r="AE68"/>
  <c r="AF68" s="1"/>
  <c r="AG68" s="1"/>
  <c r="AE10"/>
  <c r="AF10" s="1"/>
  <c r="AG10" s="1"/>
  <c r="AE12"/>
  <c r="AF12" s="1"/>
  <c r="AG12" s="1"/>
  <c r="AE86"/>
  <c r="AF86" s="1"/>
  <c r="AG86" s="1"/>
  <c r="AE13"/>
  <c r="AF13" s="1"/>
  <c r="AG13" s="1"/>
  <c r="AE52"/>
  <c r="AE55"/>
  <c r="AF55" s="1"/>
  <c r="AG55" s="1"/>
  <c r="AE11"/>
  <c r="AF11" s="1"/>
  <c r="AG11" s="1"/>
  <c r="AC611"/>
  <c r="AC304"/>
  <c r="AC298"/>
  <c r="AC492"/>
  <c r="AC301"/>
  <c r="AC296"/>
  <c r="AC488"/>
  <c r="AC300"/>
  <c r="AC493"/>
  <c r="AC490"/>
  <c r="AC305"/>
  <c r="AC297"/>
  <c r="AC295"/>
  <c r="AC489"/>
  <c r="AC495"/>
  <c r="AC487"/>
  <c r="AC496"/>
  <c r="AA321" i="2"/>
  <c r="AB321" s="1"/>
  <c r="J784"/>
  <c r="D36" i="17" s="1"/>
  <c r="AA259" i="2"/>
  <c r="AB259" s="1"/>
  <c r="T205"/>
  <c r="AD259" i="1"/>
  <c r="H784" i="2"/>
  <c r="D36" i="15" s="1"/>
  <c r="H901" i="2"/>
  <c r="X788"/>
  <c r="Z901"/>
  <c r="Z912" s="1"/>
  <c r="S784"/>
  <c r="Q783"/>
  <c r="K1018"/>
  <c r="K1029" s="1"/>
  <c r="S901"/>
  <c r="K788"/>
  <c r="H1018"/>
  <c r="H1029" s="1"/>
  <c r="H789"/>
  <c r="V788"/>
  <c r="X784"/>
  <c r="X1018"/>
  <c r="Q788"/>
  <c r="S783"/>
  <c r="K789"/>
  <c r="S1018"/>
  <c r="S1029" s="1"/>
  <c r="H788"/>
  <c r="V783"/>
  <c r="V784"/>
  <c r="Q789"/>
  <c r="K901"/>
  <c r="S788"/>
  <c r="X783"/>
  <c r="X789"/>
  <c r="Q784"/>
  <c r="H783"/>
  <c r="V1018"/>
  <c r="V789"/>
  <c r="S789"/>
  <c r="X901"/>
  <c r="X912" s="1"/>
  <c r="Q901"/>
  <c r="K783"/>
  <c r="V901"/>
  <c r="V912" s="1"/>
  <c r="Q1018"/>
  <c r="Q1029" s="1"/>
  <c r="K784"/>
  <c r="D36" i="22" s="1"/>
  <c r="J783" i="2"/>
  <c r="J901"/>
  <c r="L1018"/>
  <c r="L1029" s="1"/>
  <c r="L789"/>
  <c r="J1018"/>
  <c r="J1029" s="1"/>
  <c r="J789"/>
  <c r="L788"/>
  <c r="L784"/>
  <c r="D36" i="19" s="1"/>
  <c r="J788" i="2"/>
  <c r="L901"/>
  <c r="U788"/>
  <c r="U901"/>
  <c r="U789"/>
  <c r="U783"/>
  <c r="U1018"/>
  <c r="U1029" s="1"/>
  <c r="U784"/>
  <c r="G1018"/>
  <c r="G784"/>
  <c r="G783"/>
  <c r="G788"/>
  <c r="G901"/>
  <c r="G789"/>
  <c r="AE332" i="1"/>
  <c r="AF324"/>
  <c r="AG324" s="1"/>
  <c r="AF580"/>
  <c r="AG580" s="1"/>
  <c r="AE436"/>
  <c r="H438" i="2"/>
  <c r="Y438"/>
  <c r="N438"/>
  <c r="X438"/>
  <c r="Z438"/>
  <c r="V438"/>
  <c r="T438"/>
  <c r="P438"/>
  <c r="R438"/>
  <c r="O438"/>
  <c r="Q438"/>
  <c r="J438"/>
  <c r="W438"/>
  <c r="M438"/>
  <c r="U438"/>
  <c r="I438"/>
  <c r="L438"/>
  <c r="K438"/>
  <c r="S438"/>
  <c r="G438"/>
  <c r="H383"/>
  <c r="X383"/>
  <c r="N383"/>
  <c r="V383"/>
  <c r="Z383"/>
  <c r="Y383"/>
  <c r="W383"/>
  <c r="M383"/>
  <c r="Q383"/>
  <c r="I383"/>
  <c r="J383"/>
  <c r="R383"/>
  <c r="P383"/>
  <c r="U383"/>
  <c r="T383"/>
  <c r="O383"/>
  <c r="K383"/>
  <c r="S383"/>
  <c r="L383"/>
  <c r="G383"/>
  <c r="M839"/>
  <c r="G14" i="20"/>
  <c r="AA131" i="2"/>
  <c r="AB131" s="1"/>
  <c r="G14" i="14"/>
  <c r="AD612" i="1"/>
  <c r="AD529"/>
  <c r="AD531" s="1"/>
  <c r="F386" i="2" s="1"/>
  <c r="AD307" i="1"/>
  <c r="AD497"/>
  <c r="AD306"/>
  <c r="AD520"/>
  <c r="AD498"/>
  <c r="AD537"/>
  <c r="AD539" s="1"/>
  <c r="F441" i="2" s="1"/>
  <c r="F487"/>
  <c r="AA551" i="1"/>
  <c r="AA553" s="1"/>
  <c r="X542" i="2"/>
  <c r="W542"/>
  <c r="Z542"/>
  <c r="Y542"/>
  <c r="V542"/>
  <c r="K542"/>
  <c r="J542"/>
  <c r="T542"/>
  <c r="H542"/>
  <c r="Q542"/>
  <c r="L542"/>
  <c r="O542"/>
  <c r="U542"/>
  <c r="M542"/>
  <c r="I542"/>
  <c r="P542"/>
  <c r="N542"/>
  <c r="S542"/>
  <c r="R542"/>
  <c r="G542"/>
  <c r="AA591"/>
  <c r="AB591" s="1"/>
  <c r="X594"/>
  <c r="Z594"/>
  <c r="Y594"/>
  <c r="V594"/>
  <c r="W594"/>
  <c r="S594"/>
  <c r="R594"/>
  <c r="H594"/>
  <c r="P594"/>
  <c r="K594"/>
  <c r="T594"/>
  <c r="Q594"/>
  <c r="O594"/>
  <c r="N594"/>
  <c r="J594"/>
  <c r="M594"/>
  <c r="I594"/>
  <c r="L594"/>
  <c r="U594"/>
  <c r="G594"/>
  <c r="AA479"/>
  <c r="AB479" s="1"/>
  <c r="Z481"/>
  <c r="N481"/>
  <c r="H30" i="21"/>
  <c r="I481" i="2"/>
  <c r="H30" i="16"/>
  <c r="G14" i="19"/>
  <c r="AE178" i="1"/>
  <c r="AF172"/>
  <c r="AG172" s="1"/>
  <c r="L839" i="2"/>
  <c r="O1127"/>
  <c r="O1018" s="1"/>
  <c r="O1029" s="1"/>
  <c r="R1127"/>
  <c r="R788" s="1"/>
  <c r="Y1127"/>
  <c r="Y788" s="1"/>
  <c r="G14" i="21"/>
  <c r="AD478" i="1"/>
  <c r="I143" i="2"/>
  <c r="M143"/>
  <c r="T143"/>
  <c r="Y143"/>
  <c r="Y145" s="1"/>
  <c r="O143"/>
  <c r="O145" s="1"/>
  <c r="P143"/>
  <c r="H143"/>
  <c r="L143"/>
  <c r="R143"/>
  <c r="S143"/>
  <c r="V143"/>
  <c r="V145" s="1"/>
  <c r="W143"/>
  <c r="W145" s="1"/>
  <c r="G143"/>
  <c r="K143"/>
  <c r="Z143"/>
  <c r="Z145" s="1"/>
  <c r="J143"/>
  <c r="N143"/>
  <c r="Q143"/>
  <c r="U143"/>
  <c r="X143"/>
  <c r="X145" s="1"/>
  <c r="F145"/>
  <c r="AB602" i="1"/>
  <c r="AB102"/>
  <c r="S205" i="2"/>
  <c r="J205"/>
  <c r="AA740"/>
  <c r="AB740" s="1"/>
  <c r="I29" i="14"/>
  <c r="K29" s="1"/>
  <c r="AA646" i="2"/>
  <c r="AB646" s="1"/>
  <c r="P839"/>
  <c r="G14" i="23"/>
  <c r="AA255" i="2"/>
  <c r="AB255" s="1"/>
  <c r="J839"/>
  <c r="AB77" i="1"/>
  <c r="AB80" s="1"/>
  <c r="AB72"/>
  <c r="AB600"/>
  <c r="AB96"/>
  <c r="AB108"/>
  <c r="AB110"/>
  <c r="AB95"/>
  <c r="AB109"/>
  <c r="AB107"/>
  <c r="F49" i="2"/>
  <c r="F484"/>
  <c r="Z551" i="1"/>
  <c r="AA144" i="2"/>
  <c r="AB144" s="1"/>
  <c r="P481"/>
  <c r="H30" i="23"/>
  <c r="G481" i="2"/>
  <c r="H30" i="14"/>
  <c r="I839" i="2"/>
  <c r="M258"/>
  <c r="M260" s="1"/>
  <c r="G258"/>
  <c r="K258"/>
  <c r="K260" s="1"/>
  <c r="H258"/>
  <c r="H260" s="1"/>
  <c r="J258"/>
  <c r="J260" s="1"/>
  <c r="Q258"/>
  <c r="Q260" s="1"/>
  <c r="S258"/>
  <c r="S260" s="1"/>
  <c r="T258"/>
  <c r="T260" s="1"/>
  <c r="V258"/>
  <c r="V260" s="1"/>
  <c r="N258"/>
  <c r="N260" s="1"/>
  <c r="I258"/>
  <c r="I260" s="1"/>
  <c r="L258"/>
  <c r="L260" s="1"/>
  <c r="O258"/>
  <c r="O260" s="1"/>
  <c r="X258"/>
  <c r="X260" s="1"/>
  <c r="Y258"/>
  <c r="Y260" s="1"/>
  <c r="F260"/>
  <c r="P258"/>
  <c r="P260" s="1"/>
  <c r="R258"/>
  <c r="R260" s="1"/>
  <c r="U258"/>
  <c r="U260" s="1"/>
  <c r="W258"/>
  <c r="W260" s="1"/>
  <c r="Z258"/>
  <c r="Z260" s="1"/>
  <c r="G839"/>
  <c r="AA739"/>
  <c r="AB739" s="1"/>
  <c r="AF67" i="1"/>
  <c r="AG67" s="1"/>
  <c r="AE70"/>
  <c r="AF536"/>
  <c r="AG536" s="1"/>
  <c r="H839" i="2"/>
  <c r="X599" i="1"/>
  <c r="X94"/>
  <c r="X98" s="1"/>
  <c r="X122" s="1"/>
  <c r="F148" i="2" s="1"/>
  <c r="N1127"/>
  <c r="N901" s="1"/>
  <c r="I1127"/>
  <c r="I901" s="1"/>
  <c r="T1127"/>
  <c r="T1018" s="1"/>
  <c r="T1029" s="1"/>
  <c r="P1127"/>
  <c r="P784" s="1"/>
  <c r="D36" i="23" s="1"/>
  <c r="W1127" i="2"/>
  <c r="W789" s="1"/>
  <c r="AE341" i="1"/>
  <c r="AF335"/>
  <c r="AG335" s="1"/>
  <c r="K839" i="2"/>
  <c r="AA536"/>
  <c r="AB536" s="1"/>
  <c r="AD15" i="1"/>
  <c r="Z500"/>
  <c r="Z502" s="1"/>
  <c r="Z309"/>
  <c r="Z311" s="1"/>
  <c r="AA204" i="2"/>
  <c r="AB204" s="1"/>
  <c r="H205"/>
  <c r="Z205"/>
  <c r="AA315"/>
  <c r="AB315" s="1"/>
  <c r="M789" l="1"/>
  <c r="Z1018"/>
  <c r="M788"/>
  <c r="M1018"/>
  <c r="M1029" s="1"/>
  <c r="M783"/>
  <c r="M901"/>
  <c r="Z784"/>
  <c r="Z783"/>
  <c r="Z788"/>
  <c r="AA383"/>
  <c r="AB383" s="1"/>
  <c r="AA438"/>
  <c r="AB438" s="1"/>
  <c r="N912"/>
  <c r="N932"/>
  <c r="N973"/>
  <c r="N984" s="1"/>
  <c r="AD61" i="1"/>
  <c r="AD614"/>
  <c r="AD521"/>
  <c r="AE604"/>
  <c r="AF604" s="1"/>
  <c r="AG604" s="1"/>
  <c r="AF341"/>
  <c r="AG341" s="1"/>
  <c r="AE140"/>
  <c r="I973" i="2"/>
  <c r="I984" s="1"/>
  <c r="I932"/>
  <c r="I912"/>
  <c r="AA258"/>
  <c r="AB258" s="1"/>
  <c r="G260"/>
  <c r="L49"/>
  <c r="K49"/>
  <c r="M49"/>
  <c r="O49"/>
  <c r="Q49"/>
  <c r="X49"/>
  <c r="N49"/>
  <c r="U49"/>
  <c r="P49"/>
  <c r="R49"/>
  <c r="T49"/>
  <c r="W49"/>
  <c r="Y49"/>
  <c r="V49"/>
  <c r="Z49"/>
  <c r="H49"/>
  <c r="J49"/>
  <c r="I49"/>
  <c r="G49"/>
  <c r="S49"/>
  <c r="U145"/>
  <c r="H145"/>
  <c r="T145"/>
  <c r="U932"/>
  <c r="U912"/>
  <c r="U973"/>
  <c r="U984" s="1"/>
  <c r="L912"/>
  <c r="L932"/>
  <c r="L973"/>
  <c r="L984" s="1"/>
  <c r="AE612" i="1"/>
  <c r="AF612" s="1"/>
  <c r="AG612" s="1"/>
  <c r="AF52"/>
  <c r="AG52" s="1"/>
  <c r="AE529"/>
  <c r="AE306"/>
  <c r="AF306" s="1"/>
  <c r="AG306" s="1"/>
  <c r="AE307"/>
  <c r="AE537"/>
  <c r="AE498"/>
  <c r="AF498" s="1"/>
  <c r="AG498" s="1"/>
  <c r="AE520"/>
  <c r="AE497"/>
  <c r="AF497" s="1"/>
  <c r="AG497" s="1"/>
  <c r="AE15"/>
  <c r="AF9"/>
  <c r="AG9" s="1"/>
  <c r="AF579"/>
  <c r="AG579" s="1"/>
  <c r="AE415"/>
  <c r="H28" i="15"/>
  <c r="N205" i="2"/>
  <c r="H28" i="21"/>
  <c r="AA203" i="2"/>
  <c r="AB203" s="1"/>
  <c r="G205"/>
  <c r="H28" i="14"/>
  <c r="AC600" i="1"/>
  <c r="AC72"/>
  <c r="AC77"/>
  <c r="AC80" s="1"/>
  <c r="AC109"/>
  <c r="AC108"/>
  <c r="AC96"/>
  <c r="AC110"/>
  <c r="AC107"/>
  <c r="AC95"/>
  <c r="F52" i="2"/>
  <c r="M324"/>
  <c r="L324"/>
  <c r="J324"/>
  <c r="K324"/>
  <c r="V324"/>
  <c r="X324"/>
  <c r="U324"/>
  <c r="W324"/>
  <c r="Y324"/>
  <c r="N324"/>
  <c r="O324"/>
  <c r="S324"/>
  <c r="T324"/>
  <c r="H324"/>
  <c r="P324"/>
  <c r="I324"/>
  <c r="Q324"/>
  <c r="G324"/>
  <c r="R324"/>
  <c r="Z324"/>
  <c r="T784"/>
  <c r="I784"/>
  <c r="D36" i="16" s="1"/>
  <c r="R783" i="2"/>
  <c r="O901"/>
  <c r="O784"/>
  <c r="Y784"/>
  <c r="O783"/>
  <c r="P783"/>
  <c r="Y901"/>
  <c r="Y912" s="1"/>
  <c r="W1018"/>
  <c r="AA149"/>
  <c r="AB149" s="1"/>
  <c r="AA98"/>
  <c r="AB98" s="1"/>
  <c r="AA539"/>
  <c r="AB539" s="1"/>
  <c r="AA101"/>
  <c r="AB101" s="1"/>
  <c r="AA652"/>
  <c r="AB652" s="1"/>
  <c r="AA1127"/>
  <c r="AB1127" s="1"/>
  <c r="N148"/>
  <c r="N150" s="1"/>
  <c r="R148"/>
  <c r="R150" s="1"/>
  <c r="Q148"/>
  <c r="Q150" s="1"/>
  <c r="T148"/>
  <c r="U148"/>
  <c r="U150" s="1"/>
  <c r="W148"/>
  <c r="W150" s="1"/>
  <c r="Z148"/>
  <c r="Z150" s="1"/>
  <c r="F150"/>
  <c r="S148"/>
  <c r="S150" s="1"/>
  <c r="V148"/>
  <c r="V150" s="1"/>
  <c r="X148"/>
  <c r="X150" s="1"/>
  <c r="Y148"/>
  <c r="Y150" s="1"/>
  <c r="P148"/>
  <c r="P150" s="1"/>
  <c r="I148"/>
  <c r="I150" s="1"/>
  <c r="K148"/>
  <c r="K150" s="1"/>
  <c r="H148"/>
  <c r="H150" s="1"/>
  <c r="M148"/>
  <c r="M150" s="1"/>
  <c r="J148"/>
  <c r="J150" s="1"/>
  <c r="O148"/>
  <c r="O150" s="1"/>
  <c r="G148"/>
  <c r="H14" i="14" s="1"/>
  <c r="L148" i="2"/>
  <c r="L150" s="1"/>
  <c r="Z601" i="1"/>
  <c r="Z504"/>
  <c r="Z101"/>
  <c r="Z104" s="1"/>
  <c r="F263" i="2"/>
  <c r="Z553" i="1"/>
  <c r="Z313"/>
  <c r="F208" i="2"/>
  <c r="AE78" i="1"/>
  <c r="AF78" s="1"/>
  <c r="AG78" s="1"/>
  <c r="AF70"/>
  <c r="AG70" s="1"/>
  <c r="V484" i="2"/>
  <c r="W484"/>
  <c r="Y484"/>
  <c r="X484"/>
  <c r="Z484"/>
  <c r="S484"/>
  <c r="R484"/>
  <c r="T484"/>
  <c r="P484"/>
  <c r="H484"/>
  <c r="K484"/>
  <c r="O484"/>
  <c r="Q484"/>
  <c r="I484"/>
  <c r="L484"/>
  <c r="M484"/>
  <c r="U484"/>
  <c r="N484"/>
  <c r="J484"/>
  <c r="G484"/>
  <c r="J145"/>
  <c r="H14" i="17"/>
  <c r="L145" i="2"/>
  <c r="X441"/>
  <c r="Y441"/>
  <c r="Z441"/>
  <c r="V441"/>
  <c r="N441"/>
  <c r="H441"/>
  <c r="T441"/>
  <c r="U441"/>
  <c r="I441"/>
  <c r="O441"/>
  <c r="P441"/>
  <c r="J441"/>
  <c r="R441"/>
  <c r="W441"/>
  <c r="M441"/>
  <c r="Q441"/>
  <c r="L441"/>
  <c r="K441"/>
  <c r="S441"/>
  <c r="G441"/>
  <c r="G973"/>
  <c r="G932"/>
  <c r="G912"/>
  <c r="G1029"/>
  <c r="M932"/>
  <c r="M912"/>
  <c r="M973"/>
  <c r="M984" s="1"/>
  <c r="Q912"/>
  <c r="Q932"/>
  <c r="Q973"/>
  <c r="Q984" s="1"/>
  <c r="AC602" i="1"/>
  <c r="AC102"/>
  <c r="F327" i="2"/>
  <c r="H28" i="17"/>
  <c r="I205" i="2"/>
  <c r="H28" i="16"/>
  <c r="H28" i="19"/>
  <c r="AA649" i="2"/>
  <c r="AB649" s="1"/>
  <c r="AD602" i="1"/>
  <c r="AD102"/>
  <c r="F839" i="2"/>
  <c r="AA594"/>
  <c r="AB594" s="1"/>
  <c r="T789"/>
  <c r="T788"/>
  <c r="O788"/>
  <c r="Y783"/>
  <c r="N789"/>
  <c r="N784"/>
  <c r="D36" i="21" s="1"/>
  <c r="Y1018" i="2"/>
  <c r="P901"/>
  <c r="W788"/>
  <c r="R901"/>
  <c r="N788"/>
  <c r="AA597"/>
  <c r="AB597" s="1"/>
  <c r="H14" i="21"/>
  <c r="N145" i="2"/>
  <c r="AA143"/>
  <c r="AB143" s="1"/>
  <c r="G145"/>
  <c r="R145"/>
  <c r="I145"/>
  <c r="H14" i="16"/>
  <c r="AD611" i="1"/>
  <c r="AD489"/>
  <c r="AD490"/>
  <c r="AD304"/>
  <c r="AD295"/>
  <c r="AD301"/>
  <c r="AD492"/>
  <c r="AD300"/>
  <c r="AD298"/>
  <c r="AD488"/>
  <c r="AD296"/>
  <c r="AD487"/>
  <c r="AD495"/>
  <c r="AD493"/>
  <c r="AD496"/>
  <c r="AD305"/>
  <c r="AD297"/>
  <c r="AE190"/>
  <c r="AF190" s="1"/>
  <c r="AG190" s="1"/>
  <c r="AF178"/>
  <c r="AG178" s="1"/>
  <c r="V487" i="2"/>
  <c r="Y487"/>
  <c r="Z487"/>
  <c r="W487"/>
  <c r="X487"/>
  <c r="K487"/>
  <c r="T487"/>
  <c r="U487"/>
  <c r="S487"/>
  <c r="P487"/>
  <c r="N487"/>
  <c r="Q487"/>
  <c r="L487"/>
  <c r="O487"/>
  <c r="I487"/>
  <c r="R487"/>
  <c r="H487"/>
  <c r="M487"/>
  <c r="J487"/>
  <c r="G487"/>
  <c r="AE446" i="1"/>
  <c r="AF436"/>
  <c r="AG436" s="1"/>
  <c r="D36" i="14"/>
  <c r="J973" i="2"/>
  <c r="J984" s="1"/>
  <c r="J912"/>
  <c r="J932"/>
  <c r="Z1020"/>
  <c r="Z1029"/>
  <c r="K912"/>
  <c r="K973"/>
  <c r="K984" s="1"/>
  <c r="K932"/>
  <c r="S932"/>
  <c r="S973"/>
  <c r="S984" s="1"/>
  <c r="S912"/>
  <c r="K205"/>
  <c r="H28" i="22"/>
  <c r="R205" i="2"/>
  <c r="P205"/>
  <c r="H28" i="23"/>
  <c r="AE364" i="1"/>
  <c r="AF364" s="1"/>
  <c r="AG364" s="1"/>
  <c r="AE605"/>
  <c r="AF605" s="1"/>
  <c r="AG605" s="1"/>
  <c r="AF353"/>
  <c r="AG353" s="1"/>
  <c r="AE151"/>
  <c r="Y266" i="2"/>
  <c r="V266"/>
  <c r="X266"/>
  <c r="Z266"/>
  <c r="W266"/>
  <c r="K266"/>
  <c r="Q266"/>
  <c r="N266"/>
  <c r="L266"/>
  <c r="O266"/>
  <c r="I266"/>
  <c r="U266"/>
  <c r="P266"/>
  <c r="H266"/>
  <c r="M266"/>
  <c r="S266"/>
  <c r="J266"/>
  <c r="R266"/>
  <c r="T266"/>
  <c r="G266"/>
  <c r="AA599" i="1"/>
  <c r="AA94"/>
  <c r="AA98" s="1"/>
  <c r="AA122" s="1"/>
  <c r="F156" i="2" s="1"/>
  <c r="T783"/>
  <c r="T901"/>
  <c r="I788"/>
  <c r="W783"/>
  <c r="Y789"/>
  <c r="R1018"/>
  <c r="R1029" s="1"/>
  <c r="N1018"/>
  <c r="N1029" s="1"/>
  <c r="P788"/>
  <c r="R789"/>
  <c r="N783"/>
  <c r="R784"/>
  <c r="O789"/>
  <c r="W784"/>
  <c r="T150"/>
  <c r="AE89" i="1"/>
  <c r="AF89" s="1"/>
  <c r="AG89" s="1"/>
  <c r="AA481" i="2"/>
  <c r="AB481" s="1"/>
  <c r="AB91" i="1"/>
  <c r="F104" i="2" s="1"/>
  <c r="AB494" i="1"/>
  <c r="AB545"/>
  <c r="F600" i="2" s="1"/>
  <c r="AB549" i="1"/>
  <c r="AB299"/>
  <c r="AB543"/>
  <c r="F545" i="2" s="1"/>
  <c r="AB541" i="1"/>
  <c r="AB302"/>
  <c r="AB491"/>
  <c r="AB303"/>
  <c r="AB547"/>
  <c r="F655" i="2" s="1"/>
  <c r="Q145"/>
  <c r="H14" i="22"/>
  <c r="K145" i="2"/>
  <c r="S145"/>
  <c r="H14" i="23"/>
  <c r="P145" i="2"/>
  <c r="M145"/>
  <c r="N386"/>
  <c r="X386"/>
  <c r="Y386"/>
  <c r="Z386"/>
  <c r="V386"/>
  <c r="H386"/>
  <c r="W386"/>
  <c r="M386"/>
  <c r="Q386"/>
  <c r="T386"/>
  <c r="I386"/>
  <c r="P386"/>
  <c r="U386"/>
  <c r="O386"/>
  <c r="J386"/>
  <c r="R386"/>
  <c r="K386"/>
  <c r="L386"/>
  <c r="S386"/>
  <c r="G386"/>
  <c r="AE603" i="1"/>
  <c r="AF603" s="1"/>
  <c r="AG603" s="1"/>
  <c r="AE343"/>
  <c r="AF332"/>
  <c r="AG332" s="1"/>
  <c r="AE128"/>
  <c r="V1029" i="2"/>
  <c r="V1020"/>
  <c r="X1029"/>
  <c r="X1020"/>
  <c r="H912"/>
  <c r="H932"/>
  <c r="H973"/>
  <c r="H984" s="1"/>
  <c r="AF118" i="1"/>
  <c r="AG118" s="1"/>
  <c r="AE120"/>
  <c r="AF120" s="1"/>
  <c r="AG120" s="1"/>
  <c r="AE223"/>
  <c r="AF223" s="1"/>
  <c r="AG223" s="1"/>
  <c r="AF208"/>
  <c r="AG208" s="1"/>
  <c r="Q205" i="2"/>
  <c r="M205"/>
  <c r="H28" i="20"/>
  <c r="AE606" i="1"/>
  <c r="AF606" s="1"/>
  <c r="AG606" s="1"/>
  <c r="AF362"/>
  <c r="AG362" s="1"/>
  <c r="AE161"/>
  <c r="W211" i="2"/>
  <c r="X211"/>
  <c r="Y211"/>
  <c r="Z211"/>
  <c r="V211"/>
  <c r="K211"/>
  <c r="P211"/>
  <c r="Q211"/>
  <c r="U211"/>
  <c r="T211"/>
  <c r="S211"/>
  <c r="M211"/>
  <c r="R211"/>
  <c r="I211"/>
  <c r="H211"/>
  <c r="N211"/>
  <c r="L211"/>
  <c r="O211"/>
  <c r="J211"/>
  <c r="G211"/>
  <c r="AB112" i="1"/>
  <c r="AA542" i="2"/>
  <c r="AB542" s="1"/>
  <c r="AD523" i="1"/>
  <c r="I783" i="2"/>
  <c r="I789"/>
  <c r="I1018"/>
  <c r="I1029" s="1"/>
  <c r="P1018"/>
  <c r="P1029" s="1"/>
  <c r="W901"/>
  <c r="W912" s="1"/>
  <c r="P789"/>
  <c r="AB500" i="1" l="1"/>
  <c r="AB502" s="1"/>
  <c r="AA783" i="2"/>
  <c r="AB783" s="1"/>
  <c r="AA788"/>
  <c r="AB788" s="1"/>
  <c r="H14" i="20"/>
  <c r="H14" i="19"/>
  <c r="AA784" i="2"/>
  <c r="AB784" s="1"/>
  <c r="AA789"/>
  <c r="AB789" s="1"/>
  <c r="AA266"/>
  <c r="AB266" s="1"/>
  <c r="AA441"/>
  <c r="AB441" s="1"/>
  <c r="AE167" i="1"/>
  <c r="AF167" s="1"/>
  <c r="AG167" s="1"/>
  <c r="AF161"/>
  <c r="AG161" s="1"/>
  <c r="AE137"/>
  <c r="AF128"/>
  <c r="AA386" i="2"/>
  <c r="AB386" s="1"/>
  <c r="L104"/>
  <c r="M104"/>
  <c r="U104"/>
  <c r="W104"/>
  <c r="X104"/>
  <c r="O104"/>
  <c r="T104"/>
  <c r="Z104"/>
  <c r="N104"/>
  <c r="P104"/>
  <c r="Q104"/>
  <c r="R104"/>
  <c r="V104"/>
  <c r="Y104"/>
  <c r="H104"/>
  <c r="G104"/>
  <c r="J104"/>
  <c r="K104"/>
  <c r="I104"/>
  <c r="S104"/>
  <c r="AA145"/>
  <c r="AB145" s="1"/>
  <c r="H327"/>
  <c r="Z327"/>
  <c r="V327"/>
  <c r="N327"/>
  <c r="X327"/>
  <c r="Y327"/>
  <c r="T327"/>
  <c r="U327"/>
  <c r="J327"/>
  <c r="W327"/>
  <c r="Q327"/>
  <c r="M327"/>
  <c r="P327"/>
  <c r="I327"/>
  <c r="R327"/>
  <c r="O327"/>
  <c r="L327"/>
  <c r="K327"/>
  <c r="S327"/>
  <c r="G327"/>
  <c r="AA484"/>
  <c r="AB484" s="1"/>
  <c r="I30" i="14"/>
  <c r="K30" s="1"/>
  <c r="W1020" i="2"/>
  <c r="W1029"/>
  <c r="AE614" i="1"/>
  <c r="AF614" s="1"/>
  <c r="AG614" s="1"/>
  <c r="AE61"/>
  <c r="AF15"/>
  <c r="AG15" s="1"/>
  <c r="AE521"/>
  <c r="AF521" s="1"/>
  <c r="AG521" s="1"/>
  <c r="AF537"/>
  <c r="AG537" s="1"/>
  <c r="AE539"/>
  <c r="AE146"/>
  <c r="AF146" s="1"/>
  <c r="AG146" s="1"/>
  <c r="AF140"/>
  <c r="AG140" s="1"/>
  <c r="AA211" i="2"/>
  <c r="AB211" s="1"/>
  <c r="AA487"/>
  <c r="AB487" s="1"/>
  <c r="I30" i="20"/>
  <c r="K30" s="1"/>
  <c r="AC112" i="1"/>
  <c r="AB504"/>
  <c r="AB601"/>
  <c r="AB101"/>
  <c r="AB104" s="1"/>
  <c r="F269" i="2"/>
  <c r="V156"/>
  <c r="W156"/>
  <c r="Z156"/>
  <c r="X156"/>
  <c r="Y156"/>
  <c r="K156"/>
  <c r="Q156"/>
  <c r="N156"/>
  <c r="I156"/>
  <c r="J156"/>
  <c r="L156"/>
  <c r="O156"/>
  <c r="H156"/>
  <c r="P156"/>
  <c r="S156"/>
  <c r="R156"/>
  <c r="T156"/>
  <c r="U156"/>
  <c r="M156"/>
  <c r="G156"/>
  <c r="AE610" i="1"/>
  <c r="AF610" s="1"/>
  <c r="AG610" s="1"/>
  <c r="AF446"/>
  <c r="AG446" s="1"/>
  <c r="AE245"/>
  <c r="R912" i="2"/>
  <c r="R932"/>
  <c r="R973"/>
  <c r="R984" s="1"/>
  <c r="G984"/>
  <c r="Z599" i="1"/>
  <c r="Z94"/>
  <c r="Z98" s="1"/>
  <c r="Z122" s="1"/>
  <c r="F153" i="2" s="1"/>
  <c r="AA315" i="1"/>
  <c r="AA324" i="2"/>
  <c r="AB324" s="1"/>
  <c r="AA205"/>
  <c r="AB205" s="1"/>
  <c r="AF529" i="1"/>
  <c r="AG529" s="1"/>
  <c r="AE531"/>
  <c r="AA49" i="2"/>
  <c r="AB49" s="1"/>
  <c r="AA260"/>
  <c r="AB260" s="1"/>
  <c r="AB309" i="1"/>
  <c r="AB311" s="1"/>
  <c r="AA1018" i="2"/>
  <c r="AB1018" s="1"/>
  <c r="I30" i="23"/>
  <c r="K30" s="1"/>
  <c r="H14" i="15"/>
  <c r="F330" i="2"/>
  <c r="AE387" i="1"/>
  <c r="AF387" s="1"/>
  <c r="AG387" s="1"/>
  <c r="AF343"/>
  <c r="AG343" s="1"/>
  <c r="J545" i="2"/>
  <c r="L545"/>
  <c r="R545"/>
  <c r="V545"/>
  <c r="X545"/>
  <c r="K545"/>
  <c r="H545"/>
  <c r="I545"/>
  <c r="P545"/>
  <c r="O545"/>
  <c r="U545"/>
  <c r="W545"/>
  <c r="Z545"/>
  <c r="G545"/>
  <c r="S545"/>
  <c r="T545"/>
  <c r="Y545"/>
  <c r="Q545"/>
  <c r="M545"/>
  <c r="N545"/>
  <c r="T932"/>
  <c r="T912"/>
  <c r="T973"/>
  <c r="T984" s="1"/>
  <c r="Y1029"/>
  <c r="AA1029" s="1"/>
  <c r="AB1029" s="1"/>
  <c r="Y1020"/>
  <c r="I30" i="15"/>
  <c r="K30" s="1"/>
  <c r="Z208" i="2"/>
  <c r="W208"/>
  <c r="X208"/>
  <c r="V208"/>
  <c r="Y208"/>
  <c r="R208"/>
  <c r="T208"/>
  <c r="K208"/>
  <c r="S208"/>
  <c r="H208"/>
  <c r="I28" i="15" s="1"/>
  <c r="P208" i="2"/>
  <c r="O208"/>
  <c r="U208"/>
  <c r="M208"/>
  <c r="I28" i="20" s="1"/>
  <c r="I208" i="2"/>
  <c r="N208"/>
  <c r="L208"/>
  <c r="Q208"/>
  <c r="J208"/>
  <c r="G208"/>
  <c r="AA148"/>
  <c r="AB148" s="1"/>
  <c r="G150"/>
  <c r="AA150" s="1"/>
  <c r="AB150" s="1"/>
  <c r="O932"/>
  <c r="O973"/>
  <c r="O984" s="1"/>
  <c r="O912"/>
  <c r="I52"/>
  <c r="Z52"/>
  <c r="J52"/>
  <c r="M52"/>
  <c r="Q52"/>
  <c r="W52"/>
  <c r="V52"/>
  <c r="R52"/>
  <c r="S52"/>
  <c r="X52"/>
  <c r="Y52"/>
  <c r="N52"/>
  <c r="O52"/>
  <c r="P52"/>
  <c r="T52"/>
  <c r="H52"/>
  <c r="G52"/>
  <c r="U52"/>
  <c r="K52"/>
  <c r="L52"/>
  <c r="AF520" i="1"/>
  <c r="AG520" s="1"/>
  <c r="AE523"/>
  <c r="I30" i="21"/>
  <c r="K30" s="1"/>
  <c r="I30" i="16"/>
  <c r="K30" s="1"/>
  <c r="L655" i="2"/>
  <c r="M655"/>
  <c r="J655"/>
  <c r="G655"/>
  <c r="S655"/>
  <c r="Q655"/>
  <c r="V655"/>
  <c r="P655"/>
  <c r="R655"/>
  <c r="O655"/>
  <c r="H655"/>
  <c r="I655"/>
  <c r="N655"/>
  <c r="T655"/>
  <c r="U655"/>
  <c r="W655"/>
  <c r="X655"/>
  <c r="Y655"/>
  <c r="Z655"/>
  <c r="K655"/>
  <c r="F490"/>
  <c r="AB551" i="1"/>
  <c r="J600" i="2"/>
  <c r="K600"/>
  <c r="L600"/>
  <c r="M600"/>
  <c r="N600"/>
  <c r="P600"/>
  <c r="T600"/>
  <c r="X600"/>
  <c r="R600"/>
  <c r="V600"/>
  <c r="Y600"/>
  <c r="I600"/>
  <c r="H600"/>
  <c r="Q600"/>
  <c r="G600"/>
  <c r="W600"/>
  <c r="Z600"/>
  <c r="S600"/>
  <c r="U600"/>
  <c r="O600"/>
  <c r="AE158" i="1"/>
  <c r="AF151"/>
  <c r="AG151" s="1"/>
  <c r="P932" i="2"/>
  <c r="P912"/>
  <c r="P973"/>
  <c r="P984" s="1"/>
  <c r="I30" i="17"/>
  <c r="K30" s="1"/>
  <c r="I30" i="19"/>
  <c r="K30" s="1"/>
  <c r="X263" i="2"/>
  <c r="W263"/>
  <c r="Y263"/>
  <c r="V263"/>
  <c r="Z263"/>
  <c r="P263"/>
  <c r="T263"/>
  <c r="H263"/>
  <c r="S263"/>
  <c r="R263"/>
  <c r="K263"/>
  <c r="O263"/>
  <c r="N263"/>
  <c r="J263"/>
  <c r="U263"/>
  <c r="Q263"/>
  <c r="L263"/>
  <c r="M263"/>
  <c r="I263"/>
  <c r="G263"/>
  <c r="AC91" i="1"/>
  <c r="F107" i="2" s="1"/>
  <c r="AC545" i="1"/>
  <c r="F603" i="2" s="1"/>
  <c r="AC491" i="1"/>
  <c r="AC549"/>
  <c r="AC547"/>
  <c r="F658" i="2" s="1"/>
  <c r="AC303" i="1"/>
  <c r="AC494"/>
  <c r="AC543"/>
  <c r="F548" i="2" s="1"/>
  <c r="AC541" i="1"/>
  <c r="AC302"/>
  <c r="AC299"/>
  <c r="AE427"/>
  <c r="AF415"/>
  <c r="AG415" s="1"/>
  <c r="AD600"/>
  <c r="AD72"/>
  <c r="AD77"/>
  <c r="AD80" s="1"/>
  <c r="AD96"/>
  <c r="F55" i="2"/>
  <c r="AD109" i="1"/>
  <c r="AD108"/>
  <c r="AD95"/>
  <c r="AD107"/>
  <c r="AD110"/>
  <c r="AA901" i="2"/>
  <c r="AB901" s="1"/>
  <c r="I30" i="22"/>
  <c r="K30" s="1"/>
  <c r="AA932" i="2" l="1"/>
  <c r="AB932" s="1"/>
  <c r="AA912"/>
  <c r="AB912" s="1"/>
  <c r="F493"/>
  <c r="AC551" i="1"/>
  <c r="X658" i="2"/>
  <c r="Y658"/>
  <c r="V658"/>
  <c r="N658"/>
  <c r="H658"/>
  <c r="Z658"/>
  <c r="P658"/>
  <c r="M658"/>
  <c r="U658"/>
  <c r="W658"/>
  <c r="Q658"/>
  <c r="T658"/>
  <c r="I658"/>
  <c r="J658"/>
  <c r="R658"/>
  <c r="O658"/>
  <c r="S658"/>
  <c r="K658"/>
  <c r="L658"/>
  <c r="G658"/>
  <c r="J55"/>
  <c r="I55"/>
  <c r="M55"/>
  <c r="X55"/>
  <c r="V55"/>
  <c r="W55"/>
  <c r="Y55"/>
  <c r="Z55"/>
  <c r="Q55"/>
  <c r="P55"/>
  <c r="K55"/>
  <c r="R55"/>
  <c r="O55"/>
  <c r="N55"/>
  <c r="S55"/>
  <c r="H55"/>
  <c r="G55"/>
  <c r="T55"/>
  <c r="U55"/>
  <c r="L55"/>
  <c r="Z603"/>
  <c r="N603"/>
  <c r="V603"/>
  <c r="X603"/>
  <c r="Y603"/>
  <c r="H603"/>
  <c r="I603"/>
  <c r="M603"/>
  <c r="U603"/>
  <c r="R603"/>
  <c r="W603"/>
  <c r="Q603"/>
  <c r="T603"/>
  <c r="P603"/>
  <c r="J603"/>
  <c r="O603"/>
  <c r="K603"/>
  <c r="L603"/>
  <c r="S603"/>
  <c r="G603"/>
  <c r="AF523" i="1"/>
  <c r="AG523" s="1"/>
  <c r="F333" i="2"/>
  <c r="I28" i="19"/>
  <c r="AB553" i="1"/>
  <c r="AB313"/>
  <c r="F214" i="2"/>
  <c r="V153"/>
  <c r="W153"/>
  <c r="Z153"/>
  <c r="X153"/>
  <c r="Y153"/>
  <c r="K153"/>
  <c r="P153"/>
  <c r="S153"/>
  <c r="R153"/>
  <c r="T153"/>
  <c r="H153"/>
  <c r="M153"/>
  <c r="Q153"/>
  <c r="L153"/>
  <c r="U153"/>
  <c r="N153"/>
  <c r="J153"/>
  <c r="I153"/>
  <c r="O153"/>
  <c r="G153"/>
  <c r="AE255" i="1"/>
  <c r="AF255" s="1"/>
  <c r="AG255" s="1"/>
  <c r="AF245"/>
  <c r="AG245" s="1"/>
  <c r="K269" i="2"/>
  <c r="M269"/>
  <c r="H269"/>
  <c r="N269"/>
  <c r="R269"/>
  <c r="U269"/>
  <c r="Y269"/>
  <c r="G269"/>
  <c r="O269"/>
  <c r="L269"/>
  <c r="T269"/>
  <c r="V269"/>
  <c r="J269"/>
  <c r="S269"/>
  <c r="X269"/>
  <c r="I269"/>
  <c r="P269"/>
  <c r="Q269"/>
  <c r="W269"/>
  <c r="Z269"/>
  <c r="AA104"/>
  <c r="AB104" s="1"/>
  <c r="AD112" i="1"/>
  <c r="AC309"/>
  <c r="AC311" s="1"/>
  <c r="AC500"/>
  <c r="AC502" s="1"/>
  <c r="AA263" i="2"/>
  <c r="AB263" s="1"/>
  <c r="AA973"/>
  <c r="AB973" s="1"/>
  <c r="AA156"/>
  <c r="AB156" s="1"/>
  <c r="AA327"/>
  <c r="AB327" s="1"/>
  <c r="AD91" i="1"/>
  <c r="F110" i="2" s="1"/>
  <c r="AD302" i="1"/>
  <c r="AD491"/>
  <c r="AD541"/>
  <c r="AD303"/>
  <c r="AD494"/>
  <c r="AD547"/>
  <c r="F661" i="2" s="1"/>
  <c r="AD299" i="1"/>
  <c r="AD545"/>
  <c r="F606" i="2" s="1"/>
  <c r="AD549" i="1"/>
  <c r="AD543"/>
  <c r="F551" i="2" s="1"/>
  <c r="AE609" i="1"/>
  <c r="AF609" s="1"/>
  <c r="AG609" s="1"/>
  <c r="AF427"/>
  <c r="AG427" s="1"/>
  <c r="AE228"/>
  <c r="H548" i="2"/>
  <c r="N548"/>
  <c r="Z548"/>
  <c r="X548"/>
  <c r="Y548"/>
  <c r="V548"/>
  <c r="M548"/>
  <c r="R548"/>
  <c r="Q548"/>
  <c r="P548"/>
  <c r="J548"/>
  <c r="T548"/>
  <c r="U548"/>
  <c r="O548"/>
  <c r="W548"/>
  <c r="I548"/>
  <c r="L548"/>
  <c r="K548"/>
  <c r="S548"/>
  <c r="G548"/>
  <c r="J107"/>
  <c r="M107"/>
  <c r="X107"/>
  <c r="Z107"/>
  <c r="Y107"/>
  <c r="R107"/>
  <c r="S107"/>
  <c r="I107"/>
  <c r="Q107"/>
  <c r="V107"/>
  <c r="W107"/>
  <c r="O107"/>
  <c r="P107"/>
  <c r="N107"/>
  <c r="T107"/>
  <c r="G107"/>
  <c r="K107"/>
  <c r="U107"/>
  <c r="H107"/>
  <c r="L107"/>
  <c r="AA655"/>
  <c r="AB655" s="1"/>
  <c r="AA545"/>
  <c r="AB545" s="1"/>
  <c r="AA984"/>
  <c r="AB984" s="1"/>
  <c r="AE448" i="1"/>
  <c r="AE148"/>
  <c r="AE169"/>
  <c r="AF169" s="1"/>
  <c r="AG169" s="1"/>
  <c r="AF158"/>
  <c r="AG158" s="1"/>
  <c r="I28" i="17"/>
  <c r="I28" i="16"/>
  <c r="I28" i="23"/>
  <c r="H330" i="2"/>
  <c r="Y330"/>
  <c r="V330"/>
  <c r="N330"/>
  <c r="X330"/>
  <c r="Z330"/>
  <c r="Q330"/>
  <c r="P330"/>
  <c r="I330"/>
  <c r="U330"/>
  <c r="R330"/>
  <c r="O330"/>
  <c r="W330"/>
  <c r="J330"/>
  <c r="M330"/>
  <c r="T330"/>
  <c r="L330"/>
  <c r="S330"/>
  <c r="K330"/>
  <c r="G330"/>
  <c r="AF539" i="1"/>
  <c r="AG539" s="1"/>
  <c r="F444" i="2"/>
  <c r="AE77" i="1"/>
  <c r="AE72"/>
  <c r="AF72" s="1"/>
  <c r="AG72" s="1"/>
  <c r="AE600"/>
  <c r="AF600" s="1"/>
  <c r="AG600" s="1"/>
  <c r="AF61"/>
  <c r="AG61" s="1"/>
  <c r="AE108"/>
  <c r="AF108" s="1"/>
  <c r="AG108" s="1"/>
  <c r="AE96"/>
  <c r="AF96" s="1"/>
  <c r="AG96" s="1"/>
  <c r="F58" i="2"/>
  <c r="F60" s="1"/>
  <c r="AE95" i="1"/>
  <c r="AF95" s="1"/>
  <c r="AG95" s="1"/>
  <c r="AE109"/>
  <c r="AF109" s="1"/>
  <c r="AG109" s="1"/>
  <c r="AE107"/>
  <c r="AE110"/>
  <c r="AF110" s="1"/>
  <c r="AG110" s="1"/>
  <c r="AF137"/>
  <c r="AG137" s="1"/>
  <c r="AG128"/>
  <c r="AA600" i="2"/>
  <c r="AB600" s="1"/>
  <c r="K490"/>
  <c r="L490"/>
  <c r="N490"/>
  <c r="V490"/>
  <c r="I490"/>
  <c r="H490"/>
  <c r="W490"/>
  <c r="R490"/>
  <c r="U490"/>
  <c r="Y490"/>
  <c r="Z490"/>
  <c r="O490"/>
  <c r="Q490"/>
  <c r="S490"/>
  <c r="T490"/>
  <c r="X490"/>
  <c r="P490"/>
  <c r="G490"/>
  <c r="J490"/>
  <c r="M490"/>
  <c r="AA208"/>
  <c r="AB208" s="1"/>
  <c r="I28" i="14"/>
  <c r="I28" i="21"/>
  <c r="I28" i="22"/>
  <c r="AF531" i="1"/>
  <c r="AG531" s="1"/>
  <c r="F389" i="2"/>
  <c r="AA52"/>
  <c r="AB52" s="1"/>
  <c r="F335"/>
  <c r="AA548" l="1"/>
  <c r="AB548" s="1"/>
  <c r="AA603"/>
  <c r="AB603" s="1"/>
  <c r="AA658"/>
  <c r="AB658" s="1"/>
  <c r="AA490"/>
  <c r="AB490" s="1"/>
  <c r="AE112" i="1"/>
  <c r="AF112" s="1"/>
  <c r="AG112" s="1"/>
  <c r="AF107"/>
  <c r="AG107" s="1"/>
  <c r="AA330" i="2"/>
  <c r="AB330" s="1"/>
  <c r="F496"/>
  <c r="AD551" i="1"/>
  <c r="AC553"/>
  <c r="AC313"/>
  <c r="F217" i="2"/>
  <c r="AA153"/>
  <c r="AB153" s="1"/>
  <c r="M214"/>
  <c r="K214"/>
  <c r="S214"/>
  <c r="V214"/>
  <c r="Z214"/>
  <c r="Q214"/>
  <c r="N214"/>
  <c r="J214"/>
  <c r="U214"/>
  <c r="I214"/>
  <c r="H214"/>
  <c r="T214"/>
  <c r="Y214"/>
  <c r="P214"/>
  <c r="G214"/>
  <c r="L214"/>
  <c r="R214"/>
  <c r="W214"/>
  <c r="X214"/>
  <c r="O214"/>
  <c r="AD309" i="1"/>
  <c r="AD311" s="1"/>
  <c r="AA269" i="2"/>
  <c r="AB269" s="1"/>
  <c r="X444"/>
  <c r="X446" s="1"/>
  <c r="X688" s="1"/>
  <c r="X760" s="1"/>
  <c r="Y444"/>
  <c r="Y446" s="1"/>
  <c r="Y688" s="1"/>
  <c r="Y760" s="1"/>
  <c r="V444"/>
  <c r="V446" s="1"/>
  <c r="V688" s="1"/>
  <c r="V760" s="1"/>
  <c r="Z444"/>
  <c r="Z446" s="1"/>
  <c r="Z688" s="1"/>
  <c r="Z760" s="1"/>
  <c r="I444"/>
  <c r="I446" s="1"/>
  <c r="I688" s="1"/>
  <c r="I760" s="1"/>
  <c r="P444"/>
  <c r="P446" s="1"/>
  <c r="P688" s="1"/>
  <c r="P760" s="1"/>
  <c r="O444"/>
  <c r="O446" s="1"/>
  <c r="O688" s="1"/>
  <c r="O760" s="1"/>
  <c r="M444"/>
  <c r="M446" s="1"/>
  <c r="M688" s="1"/>
  <c r="M760" s="1"/>
  <c r="R444"/>
  <c r="R446" s="1"/>
  <c r="R688" s="1"/>
  <c r="R760" s="1"/>
  <c r="N444"/>
  <c r="N446" s="1"/>
  <c r="N688" s="1"/>
  <c r="N760" s="1"/>
  <c r="K444"/>
  <c r="K446" s="1"/>
  <c r="K688" s="1"/>
  <c r="K760" s="1"/>
  <c r="U444"/>
  <c r="U446" s="1"/>
  <c r="U688" s="1"/>
  <c r="U760" s="1"/>
  <c r="Q444"/>
  <c r="Q446" s="1"/>
  <c r="Q688" s="1"/>
  <c r="Q760" s="1"/>
  <c r="H444"/>
  <c r="H446" s="1"/>
  <c r="H688" s="1"/>
  <c r="H760" s="1"/>
  <c r="J444"/>
  <c r="J446" s="1"/>
  <c r="J688" s="1"/>
  <c r="J760" s="1"/>
  <c r="T444"/>
  <c r="T446" s="1"/>
  <c r="T688" s="1"/>
  <c r="T760" s="1"/>
  <c r="W444"/>
  <c r="W446" s="1"/>
  <c r="W688" s="1"/>
  <c r="W760" s="1"/>
  <c r="G444"/>
  <c r="L444"/>
  <c r="L446" s="1"/>
  <c r="L688" s="1"/>
  <c r="L760" s="1"/>
  <c r="S444"/>
  <c r="S446" s="1"/>
  <c r="S688" s="1"/>
  <c r="S760" s="1"/>
  <c r="F446"/>
  <c r="F688" s="1"/>
  <c r="F760" s="1"/>
  <c r="F686"/>
  <c r="E836" s="1"/>
  <c r="F758"/>
  <c r="J58"/>
  <c r="M58"/>
  <c r="M60" s="1"/>
  <c r="I58"/>
  <c r="I60" s="1"/>
  <c r="V58"/>
  <c r="X58"/>
  <c r="W58"/>
  <c r="W60" s="1"/>
  <c r="Y58"/>
  <c r="Z58"/>
  <c r="Z60" s="1"/>
  <c r="R58"/>
  <c r="R60" s="1"/>
  <c r="N58"/>
  <c r="N60" s="1"/>
  <c r="P58"/>
  <c r="P60" s="1"/>
  <c r="O58"/>
  <c r="O60" s="1"/>
  <c r="Q58"/>
  <c r="K58"/>
  <c r="S58"/>
  <c r="S60" s="1"/>
  <c r="G58"/>
  <c r="G60" s="1"/>
  <c r="H58"/>
  <c r="H60" s="1"/>
  <c r="T58"/>
  <c r="T60" s="1"/>
  <c r="U58"/>
  <c r="L58"/>
  <c r="L60" s="1"/>
  <c r="AE192" i="1"/>
  <c r="AF148"/>
  <c r="AG148" s="1"/>
  <c r="H606" i="2"/>
  <c r="N606"/>
  <c r="V606"/>
  <c r="X606"/>
  <c r="Z606"/>
  <c r="Y606"/>
  <c r="Q606"/>
  <c r="O606"/>
  <c r="W606"/>
  <c r="T606"/>
  <c r="P606"/>
  <c r="U606"/>
  <c r="M606"/>
  <c r="I606"/>
  <c r="J606"/>
  <c r="R606"/>
  <c r="K606"/>
  <c r="S606"/>
  <c r="L606"/>
  <c r="G606"/>
  <c r="I110"/>
  <c r="J110"/>
  <c r="M110"/>
  <c r="W110"/>
  <c r="X110"/>
  <c r="Y110"/>
  <c r="V110"/>
  <c r="Z110"/>
  <c r="R110"/>
  <c r="N110"/>
  <c r="O110"/>
  <c r="K110"/>
  <c r="S110"/>
  <c r="Q110"/>
  <c r="P110"/>
  <c r="G110"/>
  <c r="T110"/>
  <c r="H110"/>
  <c r="L110"/>
  <c r="U110"/>
  <c r="AC504" i="1"/>
  <c r="AC601"/>
  <c r="AC101"/>
  <c r="AC104" s="1"/>
  <c r="F272" i="2"/>
  <c r="V333"/>
  <c r="Z333"/>
  <c r="Z335" s="1"/>
  <c r="X333"/>
  <c r="X335" s="1"/>
  <c r="X690" s="1"/>
  <c r="Y333"/>
  <c r="Y335" s="1"/>
  <c r="P333"/>
  <c r="P335" s="1"/>
  <c r="I333"/>
  <c r="O333"/>
  <c r="O335" s="1"/>
  <c r="M333"/>
  <c r="H333"/>
  <c r="U333"/>
  <c r="U335" s="1"/>
  <c r="U689" s="1"/>
  <c r="U761" s="1"/>
  <c r="Q333"/>
  <c r="Q335" s="1"/>
  <c r="Q689" s="1"/>
  <c r="Q761" s="1"/>
  <c r="J333"/>
  <c r="K333"/>
  <c r="T333"/>
  <c r="T335" s="1"/>
  <c r="N333"/>
  <c r="N335" s="1"/>
  <c r="R333"/>
  <c r="S333"/>
  <c r="S335" s="1"/>
  <c r="S690" s="1"/>
  <c r="S762" s="1"/>
  <c r="G333"/>
  <c r="G335" s="1"/>
  <c r="L333"/>
  <c r="L335" s="1"/>
  <c r="L819" s="1"/>
  <c r="W333"/>
  <c r="W335" s="1"/>
  <c r="W819" s="1"/>
  <c r="V493"/>
  <c r="X493"/>
  <c r="Z493"/>
  <c r="H493"/>
  <c r="Y493"/>
  <c r="N493"/>
  <c r="W493"/>
  <c r="M493"/>
  <c r="Q493"/>
  <c r="T493"/>
  <c r="P493"/>
  <c r="I493"/>
  <c r="O493"/>
  <c r="J493"/>
  <c r="R493"/>
  <c r="U493"/>
  <c r="L493"/>
  <c r="K493"/>
  <c r="S493"/>
  <c r="G493"/>
  <c r="I335"/>
  <c r="H335"/>
  <c r="H819" s="1"/>
  <c r="AA55"/>
  <c r="AB55" s="1"/>
  <c r="K60"/>
  <c r="Y60"/>
  <c r="U60"/>
  <c r="AE241" i="1"/>
  <c r="AF228"/>
  <c r="AG228" s="1"/>
  <c r="X60" i="2"/>
  <c r="Z389"/>
  <c r="Z391" s="1"/>
  <c r="Z687" s="1"/>
  <c r="Z759" s="1"/>
  <c r="X389"/>
  <c r="X391" s="1"/>
  <c r="X687" s="1"/>
  <c r="X759" s="1"/>
  <c r="V389"/>
  <c r="V391" s="1"/>
  <c r="V687" s="1"/>
  <c r="V759" s="1"/>
  <c r="Y389"/>
  <c r="Y391" s="1"/>
  <c r="Y687" s="1"/>
  <c r="Y759" s="1"/>
  <c r="M389"/>
  <c r="M391" s="1"/>
  <c r="M687" s="1"/>
  <c r="M759" s="1"/>
  <c r="O389"/>
  <c r="O391" s="1"/>
  <c r="O687" s="1"/>
  <c r="O759" s="1"/>
  <c r="I389"/>
  <c r="I391" s="1"/>
  <c r="I687" s="1"/>
  <c r="P389"/>
  <c r="P391" s="1"/>
  <c r="P687" s="1"/>
  <c r="N389"/>
  <c r="N391" s="1"/>
  <c r="N687" s="1"/>
  <c r="H389"/>
  <c r="H391" s="1"/>
  <c r="H687" s="1"/>
  <c r="U389"/>
  <c r="U391" s="1"/>
  <c r="U687" s="1"/>
  <c r="U759" s="1"/>
  <c r="R389"/>
  <c r="R391" s="1"/>
  <c r="R687" s="1"/>
  <c r="R759" s="1"/>
  <c r="Q389"/>
  <c r="Q391" s="1"/>
  <c r="Q687" s="1"/>
  <c r="Q759" s="1"/>
  <c r="K389"/>
  <c r="K391" s="1"/>
  <c r="K687" s="1"/>
  <c r="J389"/>
  <c r="J391" s="1"/>
  <c r="J687" s="1"/>
  <c r="T389"/>
  <c r="T391" s="1"/>
  <c r="T687" s="1"/>
  <c r="T759" s="1"/>
  <c r="S389"/>
  <c r="S391" s="1"/>
  <c r="S687" s="1"/>
  <c r="S759" s="1"/>
  <c r="G389"/>
  <c r="W389"/>
  <c r="W391" s="1"/>
  <c r="W687" s="1"/>
  <c r="W759" s="1"/>
  <c r="L389"/>
  <c r="L391" s="1"/>
  <c r="L687" s="1"/>
  <c r="F391"/>
  <c r="F687" s="1"/>
  <c r="F759" s="1"/>
  <c r="AE80" i="1"/>
  <c r="AF77"/>
  <c r="AG77" s="1"/>
  <c r="AE450"/>
  <c r="AF448"/>
  <c r="AG448" s="1"/>
  <c r="H551" i="2"/>
  <c r="Z551"/>
  <c r="V551"/>
  <c r="X551"/>
  <c r="N551"/>
  <c r="Y551"/>
  <c r="W551"/>
  <c r="R551"/>
  <c r="O551"/>
  <c r="M551"/>
  <c r="Q551"/>
  <c r="U551"/>
  <c r="J551"/>
  <c r="P551"/>
  <c r="T551"/>
  <c r="I551"/>
  <c r="K551"/>
  <c r="L551"/>
  <c r="S551"/>
  <c r="G551"/>
  <c r="H661"/>
  <c r="Z661"/>
  <c r="N661"/>
  <c r="Y661"/>
  <c r="V661"/>
  <c r="X661"/>
  <c r="U661"/>
  <c r="I661"/>
  <c r="R661"/>
  <c r="M661"/>
  <c r="Q661"/>
  <c r="W661"/>
  <c r="O661"/>
  <c r="T661"/>
  <c r="P661"/>
  <c r="J661"/>
  <c r="K661"/>
  <c r="L661"/>
  <c r="S661"/>
  <c r="G661"/>
  <c r="AB599" i="1"/>
  <c r="AB94"/>
  <c r="AB98" s="1"/>
  <c r="AB122" s="1"/>
  <c r="F159" i="2" s="1"/>
  <c r="J335"/>
  <c r="J778" s="1"/>
  <c r="AA107"/>
  <c r="AB107" s="1"/>
  <c r="K335"/>
  <c r="K778" s="1"/>
  <c r="M335"/>
  <c r="M689" s="1"/>
  <c r="R335"/>
  <c r="R689" s="1"/>
  <c r="R761" s="1"/>
  <c r="V335"/>
  <c r="AD500" i="1"/>
  <c r="AD502" s="1"/>
  <c r="Q60" i="2"/>
  <c r="V60"/>
  <c r="J60"/>
  <c r="AA493" l="1"/>
  <c r="AB493" s="1"/>
  <c r="AA551"/>
  <c r="AB551" s="1"/>
  <c r="P758"/>
  <c r="P686"/>
  <c r="P778"/>
  <c r="P690"/>
  <c r="P762" s="1"/>
  <c r="P689"/>
  <c r="P819"/>
  <c r="G686"/>
  <c r="G758"/>
  <c r="AA335"/>
  <c r="G689"/>
  <c r="G819"/>
  <c r="G778"/>
  <c r="G690"/>
  <c r="T758"/>
  <c r="T686"/>
  <c r="T836" s="1"/>
  <c r="T689"/>
  <c r="T761" s="1"/>
  <c r="T690"/>
  <c r="T762" s="1"/>
  <c r="T778"/>
  <c r="T819"/>
  <c r="Z686"/>
  <c r="Z758"/>
  <c r="Z689"/>
  <c r="Z761" s="1"/>
  <c r="Z690"/>
  <c r="Z778"/>
  <c r="Z819"/>
  <c r="AA60"/>
  <c r="AB60" s="1"/>
  <c r="M761"/>
  <c r="N758"/>
  <c r="N686"/>
  <c r="N778"/>
  <c r="N819"/>
  <c r="N689"/>
  <c r="N690"/>
  <c r="N762" s="1"/>
  <c r="O686"/>
  <c r="O836" s="1"/>
  <c r="O758"/>
  <c r="O690"/>
  <c r="O762" s="1"/>
  <c r="O778"/>
  <c r="O819"/>
  <c r="O689"/>
  <c r="O761" s="1"/>
  <c r="AE452" i="1"/>
  <c r="AF450"/>
  <c r="AG450" s="1"/>
  <c r="L759" i="2"/>
  <c r="P759"/>
  <c r="Y758"/>
  <c r="Y686"/>
  <c r="I758"/>
  <c r="I686"/>
  <c r="AE205" i="1"/>
  <c r="AF192"/>
  <c r="AG192" s="1"/>
  <c r="AA214" i="2"/>
  <c r="AB214" s="1"/>
  <c r="AC599" i="1"/>
  <c r="AC94"/>
  <c r="AC98" s="1"/>
  <c r="AC122" s="1"/>
  <c r="F162" i="2" s="1"/>
  <c r="L778"/>
  <c r="I690"/>
  <c r="I762" s="1"/>
  <c r="X689"/>
  <c r="X761" s="1"/>
  <c r="S819"/>
  <c r="U690"/>
  <c r="U762" s="1"/>
  <c r="I689"/>
  <c r="S778"/>
  <c r="W689"/>
  <c r="W761" s="1"/>
  <c r="Y778"/>
  <c r="R686"/>
  <c r="R836" s="1"/>
  <c r="R758"/>
  <c r="Q686"/>
  <c r="Q836" s="1"/>
  <c r="Q758"/>
  <c r="V758"/>
  <c r="V686"/>
  <c r="K758"/>
  <c r="K686"/>
  <c r="J758"/>
  <c r="J686"/>
  <c r="N759"/>
  <c r="X758"/>
  <c r="X686"/>
  <c r="AA606"/>
  <c r="AB606" s="1"/>
  <c r="AA444"/>
  <c r="AB444" s="1"/>
  <c r="G446"/>
  <c r="AD313" i="1"/>
  <c r="AD553"/>
  <c r="F220" i="2"/>
  <c r="X217"/>
  <c r="H217"/>
  <c r="V217"/>
  <c r="N217"/>
  <c r="Y217"/>
  <c r="Z217"/>
  <c r="J217"/>
  <c r="R217"/>
  <c r="W217"/>
  <c r="T217"/>
  <c r="I217"/>
  <c r="O217"/>
  <c r="M217"/>
  <c r="Q217"/>
  <c r="U217"/>
  <c r="P217"/>
  <c r="S217"/>
  <c r="K217"/>
  <c r="L217"/>
  <c r="G217"/>
  <c r="H496"/>
  <c r="N496"/>
  <c r="X496"/>
  <c r="Y496"/>
  <c r="Z496"/>
  <c r="V496"/>
  <c r="P496"/>
  <c r="U496"/>
  <c r="I496"/>
  <c r="R496"/>
  <c r="W496"/>
  <c r="M496"/>
  <c r="T496"/>
  <c r="J496"/>
  <c r="O496"/>
  <c r="Q496"/>
  <c r="S496"/>
  <c r="K496"/>
  <c r="L496"/>
  <c r="G496"/>
  <c r="K690"/>
  <c r="K762" s="1"/>
  <c r="I778"/>
  <c r="M778"/>
  <c r="U778"/>
  <c r="R778"/>
  <c r="J689"/>
  <c r="V778"/>
  <c r="W778"/>
  <c r="AA661"/>
  <c r="AB661" s="1"/>
  <c r="AD601" i="1"/>
  <c r="AD504"/>
  <c r="AD101"/>
  <c r="AD104" s="1"/>
  <c r="F275" i="2"/>
  <c r="M758"/>
  <c r="M686"/>
  <c r="AE91" i="1"/>
  <c r="AF80"/>
  <c r="AG80" s="1"/>
  <c r="AE549"/>
  <c r="AF549" s="1"/>
  <c r="AG549" s="1"/>
  <c r="AE302"/>
  <c r="AF302" s="1"/>
  <c r="AG302" s="1"/>
  <c r="AE541"/>
  <c r="AE547"/>
  <c r="AE303"/>
  <c r="AF303" s="1"/>
  <c r="AG303" s="1"/>
  <c r="AE491"/>
  <c r="AF491" s="1"/>
  <c r="AG491" s="1"/>
  <c r="AE494"/>
  <c r="AF494" s="1"/>
  <c r="AG494" s="1"/>
  <c r="AE545"/>
  <c r="AE543"/>
  <c r="AE299"/>
  <c r="AF299" s="1"/>
  <c r="AG299" s="1"/>
  <c r="AA389" i="2"/>
  <c r="AB389" s="1"/>
  <c r="G391"/>
  <c r="K759"/>
  <c r="H759"/>
  <c r="AE257" i="1"/>
  <c r="AF241"/>
  <c r="AG241" s="1"/>
  <c r="H758" i="2"/>
  <c r="H686"/>
  <c r="L758"/>
  <c r="L686"/>
  <c r="H272"/>
  <c r="X272"/>
  <c r="Y272"/>
  <c r="Z272"/>
  <c r="V272"/>
  <c r="N272"/>
  <c r="O272"/>
  <c r="W272"/>
  <c r="M272"/>
  <c r="Q272"/>
  <c r="P272"/>
  <c r="T272"/>
  <c r="I272"/>
  <c r="U272"/>
  <c r="J272"/>
  <c r="R272"/>
  <c r="K272"/>
  <c r="S272"/>
  <c r="L272"/>
  <c r="G272"/>
  <c r="AA110"/>
  <c r="AB110" s="1"/>
  <c r="AA58"/>
  <c r="AB58" s="1"/>
  <c r="K689"/>
  <c r="H778"/>
  <c r="R690"/>
  <c r="R762" s="1"/>
  <c r="J690"/>
  <c r="J762" s="1"/>
  <c r="X778"/>
  <c r="L690"/>
  <c r="L762" s="1"/>
  <c r="Q778"/>
  <c r="M819"/>
  <c r="Q819"/>
  <c r="J819"/>
  <c r="L689"/>
  <c r="V689"/>
  <c r="V761" s="1"/>
  <c r="Y819"/>
  <c r="V819"/>
  <c r="V690"/>
  <c r="V762" s="1"/>
  <c r="J159"/>
  <c r="N159"/>
  <c r="T159"/>
  <c r="I159"/>
  <c r="M159"/>
  <c r="P159"/>
  <c r="Y159"/>
  <c r="G159"/>
  <c r="L159"/>
  <c r="Q159"/>
  <c r="R159"/>
  <c r="U159"/>
  <c r="X159"/>
  <c r="Z159"/>
  <c r="H159"/>
  <c r="K159"/>
  <c r="O159"/>
  <c r="V159"/>
  <c r="W159"/>
  <c r="S159"/>
  <c r="J759"/>
  <c r="I759"/>
  <c r="S686"/>
  <c r="S836" s="1"/>
  <c r="S758"/>
  <c r="W686"/>
  <c r="W758"/>
  <c r="U758"/>
  <c r="U686"/>
  <c r="U836" s="1"/>
  <c r="AA333"/>
  <c r="AB333" s="1"/>
  <c r="K819"/>
  <c r="U819"/>
  <c r="H689"/>
  <c r="H690"/>
  <c r="H762" s="1"/>
  <c r="X819"/>
  <c r="I819"/>
  <c r="S689"/>
  <c r="S761" s="1"/>
  <c r="R819"/>
  <c r="M690"/>
  <c r="M762" s="1"/>
  <c r="Q690"/>
  <c r="Q762" s="1"/>
  <c r="Y690"/>
  <c r="W690"/>
  <c r="W762" s="1"/>
  <c r="Y689"/>
  <c r="Y761" s="1"/>
  <c r="H836" l="1"/>
  <c r="D29" i="15"/>
  <c r="L29" s="1"/>
  <c r="AF545" i="1"/>
  <c r="AG545" s="1"/>
  <c r="F609" i="2"/>
  <c r="I14" i="22"/>
  <c r="H761" i="2"/>
  <c r="D31" i="15"/>
  <c r="I14" i="19"/>
  <c r="I14" i="20"/>
  <c r="I14" i="17"/>
  <c r="AF541" i="1"/>
  <c r="AG541" s="1"/>
  <c r="F499" i="2"/>
  <c r="AE551" i="1"/>
  <c r="AF551" s="1"/>
  <c r="AG551" s="1"/>
  <c r="X275" i="2"/>
  <c r="N275"/>
  <c r="Y275"/>
  <c r="Z275"/>
  <c r="H275"/>
  <c r="V275"/>
  <c r="U275"/>
  <c r="I275"/>
  <c r="M275"/>
  <c r="Q275"/>
  <c r="T275"/>
  <c r="R275"/>
  <c r="W275"/>
  <c r="P275"/>
  <c r="J275"/>
  <c r="O275"/>
  <c r="S275"/>
  <c r="K275"/>
  <c r="L275"/>
  <c r="G275"/>
  <c r="AD599" i="1"/>
  <c r="AD94"/>
  <c r="AD98" s="1"/>
  <c r="AD122" s="1"/>
  <c r="F165" i="2" s="1"/>
  <c r="D31" i="16"/>
  <c r="I761" i="2"/>
  <c r="G162"/>
  <c r="M162"/>
  <c r="Q162"/>
  <c r="W162"/>
  <c r="Y162"/>
  <c r="Z162"/>
  <c r="V162"/>
  <c r="X162"/>
  <c r="S162"/>
  <c r="O162"/>
  <c r="R162"/>
  <c r="I162"/>
  <c r="J162"/>
  <c r="N162"/>
  <c r="P162"/>
  <c r="T162"/>
  <c r="K162"/>
  <c r="H162"/>
  <c r="U162"/>
  <c r="L162"/>
  <c r="D29" i="21"/>
  <c r="L29" s="1"/>
  <c r="N836" i="2"/>
  <c r="AA819"/>
  <c r="AB819" s="1"/>
  <c r="G836"/>
  <c r="D29" i="14"/>
  <c r="L29" s="1"/>
  <c r="AA686" i="2"/>
  <c r="AB686" s="1"/>
  <c r="G687"/>
  <c r="AA391"/>
  <c r="AB391" s="1"/>
  <c r="AF547" i="1"/>
  <c r="AG547" s="1"/>
  <c r="F664" i="2"/>
  <c r="K836"/>
  <c r="D29" i="22"/>
  <c r="L29" s="1"/>
  <c r="AE478" i="1"/>
  <c r="AF452"/>
  <c r="AG452" s="1"/>
  <c r="AA778" i="2"/>
  <c r="AB778" s="1"/>
  <c r="D31" i="20"/>
  <c r="I14" i="23"/>
  <c r="L761" i="2"/>
  <c r="D31" i="19"/>
  <c r="I14" i="15"/>
  <c r="AE259" i="1"/>
  <c r="AF259" s="1"/>
  <c r="AG259" s="1"/>
  <c r="AF257"/>
  <c r="AG257" s="1"/>
  <c r="AF543"/>
  <c r="AG543" s="1"/>
  <c r="F554" i="2"/>
  <c r="M836"/>
  <c r="D29" i="20"/>
  <c r="L29" s="1"/>
  <c r="J761" i="2"/>
  <c r="D31" i="17"/>
  <c r="AA496" i="2"/>
  <c r="AB496" s="1"/>
  <c r="AA217"/>
  <c r="AB217" s="1"/>
  <c r="H220"/>
  <c r="X220"/>
  <c r="Z220"/>
  <c r="V220"/>
  <c r="N220"/>
  <c r="Y220"/>
  <c r="J220"/>
  <c r="W220"/>
  <c r="T220"/>
  <c r="P220"/>
  <c r="R220"/>
  <c r="O220"/>
  <c r="M220"/>
  <c r="J28" i="20" s="1"/>
  <c r="K28" s="1"/>
  <c r="I220" i="2"/>
  <c r="Q220"/>
  <c r="U220"/>
  <c r="K220"/>
  <c r="L220"/>
  <c r="J28" i="19" s="1"/>
  <c r="K28" s="1"/>
  <c r="S220" i="2"/>
  <c r="G220"/>
  <c r="I836"/>
  <c r="D29" i="16"/>
  <c r="L29" s="1"/>
  <c r="G762" i="2"/>
  <c r="AA690"/>
  <c r="AB690" s="1"/>
  <c r="AA758"/>
  <c r="AB758" s="1"/>
  <c r="AB335"/>
  <c r="D31" i="23"/>
  <c r="P761" i="2"/>
  <c r="J28" i="21"/>
  <c r="K28" s="1"/>
  <c r="I14"/>
  <c r="AA159" i="2"/>
  <c r="AB159" s="1"/>
  <c r="I14" i="14"/>
  <c r="I14" i="16"/>
  <c r="K761" i="2"/>
  <c r="D31" i="22"/>
  <c r="AA272" i="2"/>
  <c r="AB272" s="1"/>
  <c r="L836"/>
  <c r="D29" i="19"/>
  <c r="L29" s="1"/>
  <c r="AF91" i="1"/>
  <c r="AG91" s="1"/>
  <c r="F113" i="2"/>
  <c r="AA446"/>
  <c r="AB446" s="1"/>
  <c r="G688"/>
  <c r="J836"/>
  <c r="D29" i="17"/>
  <c r="L29" s="1"/>
  <c r="AE261" i="1"/>
  <c r="AF205"/>
  <c r="AG205" s="1"/>
  <c r="N761" i="2"/>
  <c r="D31" i="21"/>
  <c r="AA689" i="2"/>
  <c r="AB689" s="1"/>
  <c r="D31" i="14"/>
  <c r="G761" i="2"/>
  <c r="D29" i="23"/>
  <c r="L29" s="1"/>
  <c r="P836" i="2"/>
  <c r="AA275" l="1"/>
  <c r="AB275" s="1"/>
  <c r="AA761"/>
  <c r="AB761" s="1"/>
  <c r="Y554"/>
  <c r="Y556" s="1"/>
  <c r="V554"/>
  <c r="V556" s="1"/>
  <c r="Z554"/>
  <c r="Z556" s="1"/>
  <c r="X554"/>
  <c r="X556" s="1"/>
  <c r="P554"/>
  <c r="P556" s="1"/>
  <c r="M554"/>
  <c r="M556" s="1"/>
  <c r="O554"/>
  <c r="O556" s="1"/>
  <c r="I554"/>
  <c r="I556" s="1"/>
  <c r="H554"/>
  <c r="H556" s="1"/>
  <c r="R554"/>
  <c r="R556" s="1"/>
  <c r="J554"/>
  <c r="J556" s="1"/>
  <c r="T554"/>
  <c r="T556" s="1"/>
  <c r="N554"/>
  <c r="N556" s="1"/>
  <c r="K554"/>
  <c r="K556" s="1"/>
  <c r="U554"/>
  <c r="U556" s="1"/>
  <c r="Q554"/>
  <c r="Q556" s="1"/>
  <c r="W554"/>
  <c r="W556" s="1"/>
  <c r="L554"/>
  <c r="L556" s="1"/>
  <c r="S554"/>
  <c r="S556" s="1"/>
  <c r="G554"/>
  <c r="F556"/>
  <c r="AE611" i="1"/>
  <c r="AF611" s="1"/>
  <c r="AG611" s="1"/>
  <c r="AF478"/>
  <c r="AG478" s="1"/>
  <c r="AE487"/>
  <c r="AE305"/>
  <c r="AF305" s="1"/>
  <c r="AG305" s="1"/>
  <c r="AE489"/>
  <c r="AF489" s="1"/>
  <c r="AG489" s="1"/>
  <c r="AE495"/>
  <c r="AF495" s="1"/>
  <c r="AG495" s="1"/>
  <c r="AE298"/>
  <c r="AF298" s="1"/>
  <c r="AG298" s="1"/>
  <c r="AE295"/>
  <c r="AE488"/>
  <c r="AF488" s="1"/>
  <c r="AG488" s="1"/>
  <c r="AE493"/>
  <c r="AF493" s="1"/>
  <c r="AG493" s="1"/>
  <c r="AE297"/>
  <c r="AF297" s="1"/>
  <c r="AG297" s="1"/>
  <c r="AE490"/>
  <c r="AF490" s="1"/>
  <c r="AG490" s="1"/>
  <c r="AE301"/>
  <c r="AF301" s="1"/>
  <c r="AG301" s="1"/>
  <c r="AE300"/>
  <c r="AF300" s="1"/>
  <c r="AG300" s="1"/>
  <c r="AE492"/>
  <c r="AF492" s="1"/>
  <c r="AG492" s="1"/>
  <c r="AE496"/>
  <c r="AF496" s="1"/>
  <c r="AG496" s="1"/>
  <c r="AE304"/>
  <c r="AF304" s="1"/>
  <c r="AG304" s="1"/>
  <c r="AE296"/>
  <c r="AF296" s="1"/>
  <c r="AG296" s="1"/>
  <c r="I36" i="17"/>
  <c r="H36"/>
  <c r="J28" i="16"/>
  <c r="K28" s="1"/>
  <c r="AE289" i="1"/>
  <c r="AF261"/>
  <c r="Z664" i="2"/>
  <c r="Z666" s="1"/>
  <c r="X664"/>
  <c r="X666" s="1"/>
  <c r="Y664"/>
  <c r="Y666" s="1"/>
  <c r="V664"/>
  <c r="V666" s="1"/>
  <c r="O664"/>
  <c r="O666" s="1"/>
  <c r="M664"/>
  <c r="M666" s="1"/>
  <c r="P664"/>
  <c r="P666" s="1"/>
  <c r="I664"/>
  <c r="I666" s="1"/>
  <c r="N664"/>
  <c r="N666" s="1"/>
  <c r="K664"/>
  <c r="K666" s="1"/>
  <c r="H664"/>
  <c r="H666" s="1"/>
  <c r="Q664"/>
  <c r="Q666" s="1"/>
  <c r="R664"/>
  <c r="R666" s="1"/>
  <c r="T664"/>
  <c r="T666" s="1"/>
  <c r="J664"/>
  <c r="J666" s="1"/>
  <c r="U664"/>
  <c r="U666" s="1"/>
  <c r="W664"/>
  <c r="W666" s="1"/>
  <c r="L664"/>
  <c r="L666" s="1"/>
  <c r="S664"/>
  <c r="S666" s="1"/>
  <c r="G664"/>
  <c r="F666"/>
  <c r="AA162"/>
  <c r="AB162" s="1"/>
  <c r="K499"/>
  <c r="K501" s="1"/>
  <c r="K691" s="1"/>
  <c r="Y499"/>
  <c r="Y501" s="1"/>
  <c r="Y691" s="1"/>
  <c r="Y763" s="1"/>
  <c r="Z499"/>
  <c r="Z501" s="1"/>
  <c r="Z691" s="1"/>
  <c r="Z763" s="1"/>
  <c r="X499"/>
  <c r="X501" s="1"/>
  <c r="X691" s="1"/>
  <c r="X763" s="1"/>
  <c r="V499"/>
  <c r="V501" s="1"/>
  <c r="V691" s="1"/>
  <c r="V763" s="1"/>
  <c r="I499"/>
  <c r="I501" s="1"/>
  <c r="I691" s="1"/>
  <c r="M499"/>
  <c r="M501" s="1"/>
  <c r="M691" s="1"/>
  <c r="M763" s="1"/>
  <c r="P499"/>
  <c r="P501" s="1"/>
  <c r="P691" s="1"/>
  <c r="O499"/>
  <c r="O501" s="1"/>
  <c r="O691" s="1"/>
  <c r="O763" s="1"/>
  <c r="R499"/>
  <c r="R501" s="1"/>
  <c r="R691" s="1"/>
  <c r="R763" s="1"/>
  <c r="N499"/>
  <c r="N501" s="1"/>
  <c r="N691" s="1"/>
  <c r="U499"/>
  <c r="U501" s="1"/>
  <c r="U691" s="1"/>
  <c r="U763" s="1"/>
  <c r="J499"/>
  <c r="J501" s="1"/>
  <c r="J691" s="1"/>
  <c r="T499"/>
  <c r="T501" s="1"/>
  <c r="T691" s="1"/>
  <c r="T763" s="1"/>
  <c r="H499"/>
  <c r="H501" s="1"/>
  <c r="H691" s="1"/>
  <c r="Q499"/>
  <c r="Q501" s="1"/>
  <c r="Q691" s="1"/>
  <c r="Q763" s="1"/>
  <c r="W499"/>
  <c r="W501" s="1"/>
  <c r="W691" s="1"/>
  <c r="W763" s="1"/>
  <c r="L499"/>
  <c r="L501" s="1"/>
  <c r="L691" s="1"/>
  <c r="G499"/>
  <c r="S499"/>
  <c r="S501" s="1"/>
  <c r="S691" s="1"/>
  <c r="S763" s="1"/>
  <c r="F501"/>
  <c r="F691" s="1"/>
  <c r="F763" s="1"/>
  <c r="I36" i="20"/>
  <c r="I39" s="1"/>
  <c r="H36"/>
  <c r="I36" i="19"/>
  <c r="H36"/>
  <c r="J28" i="17"/>
  <c r="K28" s="1"/>
  <c r="I113" i="2"/>
  <c r="I115" s="1"/>
  <c r="M113"/>
  <c r="M115" s="1"/>
  <c r="J113"/>
  <c r="J115" s="1"/>
  <c r="Y113"/>
  <c r="Y115" s="1"/>
  <c r="V113"/>
  <c r="V115" s="1"/>
  <c r="W113"/>
  <c r="W115" s="1"/>
  <c r="X113"/>
  <c r="X115" s="1"/>
  <c r="Z113"/>
  <c r="Z115" s="1"/>
  <c r="Q113"/>
  <c r="Q115" s="1"/>
  <c r="O113"/>
  <c r="O115" s="1"/>
  <c r="R113"/>
  <c r="R115" s="1"/>
  <c r="S113"/>
  <c r="S115" s="1"/>
  <c r="N113"/>
  <c r="N115" s="1"/>
  <c r="P113"/>
  <c r="P115" s="1"/>
  <c r="K113"/>
  <c r="K115" s="1"/>
  <c r="T113"/>
  <c r="T115" s="1"/>
  <c r="G113"/>
  <c r="G115" s="1"/>
  <c r="H113"/>
  <c r="H115" s="1"/>
  <c r="L113"/>
  <c r="L115" s="1"/>
  <c r="U113"/>
  <c r="F115"/>
  <c r="I36" i="16"/>
  <c r="H36"/>
  <c r="AA687" i="2"/>
  <c r="AB687" s="1"/>
  <c r="G759"/>
  <c r="AA759" s="1"/>
  <c r="AB759" s="1"/>
  <c r="W165"/>
  <c r="I165"/>
  <c r="J14" i="16" s="1"/>
  <c r="V165" i="2"/>
  <c r="X165"/>
  <c r="Y165"/>
  <c r="Z165"/>
  <c r="J165"/>
  <c r="J14" i="17" s="1"/>
  <c r="M165" i="2"/>
  <c r="J14" i="20" s="1"/>
  <c r="N165" i="2"/>
  <c r="K165"/>
  <c r="J14" i="22" s="1"/>
  <c r="S165" i="2"/>
  <c r="O165"/>
  <c r="Q165"/>
  <c r="R165"/>
  <c r="P165"/>
  <c r="H165"/>
  <c r="J14" i="15" s="1"/>
  <c r="K14" s="1"/>
  <c r="F31" s="1"/>
  <c r="G165" i="2"/>
  <c r="T165"/>
  <c r="L165"/>
  <c r="U165"/>
  <c r="V609"/>
  <c r="V611" s="1"/>
  <c r="V693" s="1"/>
  <c r="V765" s="1"/>
  <c r="X609"/>
  <c r="X611" s="1"/>
  <c r="X693" s="1"/>
  <c r="X765" s="1"/>
  <c r="Y609"/>
  <c r="Y611" s="1"/>
  <c r="Y693" s="1"/>
  <c r="Y765" s="1"/>
  <c r="Z609"/>
  <c r="Z611" s="1"/>
  <c r="Z693" s="1"/>
  <c r="Z765" s="1"/>
  <c r="O609"/>
  <c r="O611" s="1"/>
  <c r="O693" s="1"/>
  <c r="O765" s="1"/>
  <c r="M609"/>
  <c r="M611" s="1"/>
  <c r="M693" s="1"/>
  <c r="M765" s="1"/>
  <c r="I609"/>
  <c r="I611" s="1"/>
  <c r="I693" s="1"/>
  <c r="I765" s="1"/>
  <c r="P609"/>
  <c r="P611" s="1"/>
  <c r="P693" s="1"/>
  <c r="P765" s="1"/>
  <c r="N609"/>
  <c r="N611" s="1"/>
  <c r="N693" s="1"/>
  <c r="N765" s="1"/>
  <c r="K609"/>
  <c r="K611" s="1"/>
  <c r="K693" s="1"/>
  <c r="K765" s="1"/>
  <c r="H609"/>
  <c r="H611" s="1"/>
  <c r="H693" s="1"/>
  <c r="H765" s="1"/>
  <c r="R609"/>
  <c r="R611" s="1"/>
  <c r="R693" s="1"/>
  <c r="R765" s="1"/>
  <c r="J609"/>
  <c r="J611" s="1"/>
  <c r="J693" s="1"/>
  <c r="J765" s="1"/>
  <c r="U609"/>
  <c r="U611" s="1"/>
  <c r="U693" s="1"/>
  <c r="U765" s="1"/>
  <c r="Q609"/>
  <c r="Q611" s="1"/>
  <c r="Q693" s="1"/>
  <c r="Q765" s="1"/>
  <c r="T609"/>
  <c r="T611" s="1"/>
  <c r="T693" s="1"/>
  <c r="T765" s="1"/>
  <c r="L609"/>
  <c r="L611" s="1"/>
  <c r="L693" s="1"/>
  <c r="L765" s="1"/>
  <c r="W609"/>
  <c r="W611" s="1"/>
  <c r="W693" s="1"/>
  <c r="W765" s="1"/>
  <c r="S609"/>
  <c r="S611" s="1"/>
  <c r="S693" s="1"/>
  <c r="S765" s="1"/>
  <c r="G609"/>
  <c r="F611"/>
  <c r="F693" s="1"/>
  <c r="J28" i="22"/>
  <c r="K28" s="1"/>
  <c r="J14" i="21"/>
  <c r="K14" s="1"/>
  <c r="I36"/>
  <c r="I39" s="1"/>
  <c r="H36"/>
  <c r="AA688" i="2"/>
  <c r="AB688" s="1"/>
  <c r="G760"/>
  <c r="AA760" s="1"/>
  <c r="AB760" s="1"/>
  <c r="AA762"/>
  <c r="AB762" s="1"/>
  <c r="I36" i="14"/>
  <c r="H36"/>
  <c r="I36" i="15"/>
  <c r="H36"/>
  <c r="I36" i="23"/>
  <c r="H36"/>
  <c r="I36" i="22"/>
  <c r="H36"/>
  <c r="J28" i="23"/>
  <c r="K28" s="1"/>
  <c r="AA220" i="2"/>
  <c r="AB220" s="1"/>
  <c r="J28" i="14"/>
  <c r="K28" s="1"/>
  <c r="J28" i="15"/>
  <c r="K28" s="1"/>
  <c r="F836" i="2"/>
  <c r="J14" i="23"/>
  <c r="I31" i="21" l="1"/>
  <c r="H31"/>
  <c r="J31"/>
  <c r="K36" i="15"/>
  <c r="L36" s="1"/>
  <c r="G31" i="21"/>
  <c r="K36" i="22"/>
  <c r="L36" s="1"/>
  <c r="K14" i="23"/>
  <c r="E31" s="1"/>
  <c r="K14" i="17"/>
  <c r="J31" s="1"/>
  <c r="K14" i="22"/>
  <c r="K14" i="16"/>
  <c r="J31" s="1"/>
  <c r="J763" i="2"/>
  <c r="K763"/>
  <c r="AA664"/>
  <c r="AB664" s="1"/>
  <c r="G666"/>
  <c r="U715"/>
  <c r="U853"/>
  <c r="Q853"/>
  <c r="Q715"/>
  <c r="I853"/>
  <c r="I715"/>
  <c r="D22" i="16" s="1"/>
  <c r="V853" i="2"/>
  <c r="V715"/>
  <c r="AE309" i="1"/>
  <c r="AF295"/>
  <c r="AG295" s="1"/>
  <c r="F692" i="2"/>
  <c r="F764"/>
  <c r="W764"/>
  <c r="W692"/>
  <c r="N692"/>
  <c r="N764"/>
  <c r="H764"/>
  <c r="H692"/>
  <c r="P764"/>
  <c r="P692"/>
  <c r="Y692"/>
  <c r="Y764"/>
  <c r="K36" i="16"/>
  <c r="L36" s="1"/>
  <c r="F765" i="2"/>
  <c r="AA165"/>
  <c r="AB165" s="1"/>
  <c r="AA113"/>
  <c r="AB113" s="1"/>
  <c r="U115"/>
  <c r="U804" s="1"/>
  <c r="L763"/>
  <c r="I763"/>
  <c r="F715"/>
  <c r="F853"/>
  <c r="W715"/>
  <c r="W853"/>
  <c r="R853"/>
  <c r="R715"/>
  <c r="N853"/>
  <c r="N715"/>
  <c r="D22" i="21" s="1"/>
  <c r="O715" i="2"/>
  <c r="O855" s="1"/>
  <c r="O853"/>
  <c r="Z853"/>
  <c r="Z715"/>
  <c r="AF289" i="1"/>
  <c r="AG289" s="1"/>
  <c r="AG261"/>
  <c r="L764" i="2"/>
  <c r="L692"/>
  <c r="D30" i="19" s="1"/>
  <c r="L30" s="1"/>
  <c r="K692" i="2"/>
  <c r="D30" i="22" s="1"/>
  <c r="L30" s="1"/>
  <c r="K764" i="2"/>
  <c r="R764"/>
  <c r="R692"/>
  <c r="M764"/>
  <c r="M692"/>
  <c r="D30" i="20" s="1"/>
  <c r="L30" s="1"/>
  <c r="V692" i="2"/>
  <c r="V764"/>
  <c r="J31" i="15"/>
  <c r="I31"/>
  <c r="G31"/>
  <c r="K36" i="23"/>
  <c r="L36" s="1"/>
  <c r="K36" i="14"/>
  <c r="L36" s="1"/>
  <c r="E31" i="21"/>
  <c r="K31" s="1"/>
  <c r="L31" s="1"/>
  <c r="K36" i="19"/>
  <c r="L36" s="1"/>
  <c r="J14"/>
  <c r="K36" i="17"/>
  <c r="L36" s="1"/>
  <c r="K36" i="21"/>
  <c r="L36" s="1"/>
  <c r="H39"/>
  <c r="P781" i="2"/>
  <c r="H799"/>
  <c r="H798"/>
  <c r="M804"/>
  <c r="M781"/>
  <c r="N804"/>
  <c r="W797"/>
  <c r="N798"/>
  <c r="W804"/>
  <c r="W781"/>
  <c r="P797"/>
  <c r="P793"/>
  <c r="H793"/>
  <c r="M793"/>
  <c r="P798"/>
  <c r="P805"/>
  <c r="H797"/>
  <c r="H781"/>
  <c r="M799"/>
  <c r="M797"/>
  <c r="N797"/>
  <c r="N805"/>
  <c r="P799"/>
  <c r="P804"/>
  <c r="H804"/>
  <c r="H805"/>
  <c r="M805"/>
  <c r="M798"/>
  <c r="N793"/>
  <c r="N781"/>
  <c r="W805"/>
  <c r="W798"/>
  <c r="N799"/>
  <c r="W793"/>
  <c r="W799"/>
  <c r="O805"/>
  <c r="I781"/>
  <c r="I797"/>
  <c r="Y781"/>
  <c r="L793"/>
  <c r="S805"/>
  <c r="S781"/>
  <c r="Q781"/>
  <c r="Q805"/>
  <c r="Z798"/>
  <c r="Z797"/>
  <c r="R781"/>
  <c r="R804"/>
  <c r="J799"/>
  <c r="V781"/>
  <c r="V804"/>
  <c r="T804"/>
  <c r="X798"/>
  <c r="X797"/>
  <c r="U797"/>
  <c r="O781"/>
  <c r="I798"/>
  <c r="Y793"/>
  <c r="L799"/>
  <c r="Q793"/>
  <c r="J781"/>
  <c r="V793"/>
  <c r="Q797"/>
  <c r="Z781"/>
  <c r="Z804"/>
  <c r="J793"/>
  <c r="V805"/>
  <c r="U798"/>
  <c r="U781"/>
  <c r="O797"/>
  <c r="O793"/>
  <c r="I805"/>
  <c r="I804"/>
  <c r="Y799"/>
  <c r="Y797"/>
  <c r="L798"/>
  <c r="L781"/>
  <c r="S799"/>
  <c r="S804"/>
  <c r="Q798"/>
  <c r="Q799"/>
  <c r="Z799"/>
  <c r="R793"/>
  <c r="R798"/>
  <c r="J798"/>
  <c r="J804"/>
  <c r="V799"/>
  <c r="T781"/>
  <c r="T797"/>
  <c r="X793"/>
  <c r="O804"/>
  <c r="I793"/>
  <c r="Y798"/>
  <c r="L804"/>
  <c r="Z793"/>
  <c r="T798"/>
  <c r="X799"/>
  <c r="R805"/>
  <c r="J805"/>
  <c r="V797"/>
  <c r="T799"/>
  <c r="S793"/>
  <c r="Z805"/>
  <c r="R799"/>
  <c r="R797"/>
  <c r="J797"/>
  <c r="V798"/>
  <c r="T805"/>
  <c r="X805"/>
  <c r="Q804"/>
  <c r="X781"/>
  <c r="U805"/>
  <c r="O798"/>
  <c r="O799"/>
  <c r="I799"/>
  <c r="Y804"/>
  <c r="Y805"/>
  <c r="L805"/>
  <c r="L797"/>
  <c r="S798"/>
  <c r="S797"/>
  <c r="T793"/>
  <c r="X804"/>
  <c r="K781"/>
  <c r="K793"/>
  <c r="K798"/>
  <c r="K804"/>
  <c r="K799"/>
  <c r="K797"/>
  <c r="K805"/>
  <c r="G799"/>
  <c r="G798"/>
  <c r="G797"/>
  <c r="G804"/>
  <c r="G805"/>
  <c r="G781"/>
  <c r="G793"/>
  <c r="AA499"/>
  <c r="AB499" s="1"/>
  <c r="G501"/>
  <c r="H763"/>
  <c r="D30" i="15"/>
  <c r="L30" s="1"/>
  <c r="N763" i="2"/>
  <c r="D30" i="21"/>
  <c r="L30" s="1"/>
  <c r="L853" i="2"/>
  <c r="L715"/>
  <c r="D22" i="19" s="1"/>
  <c r="T853" i="2"/>
  <c r="T715"/>
  <c r="T855" s="1"/>
  <c r="K853"/>
  <c r="K715"/>
  <c r="D22" i="22" s="1"/>
  <c r="M853" i="2"/>
  <c r="M715"/>
  <c r="D22" i="20" s="1"/>
  <c r="X715" i="2"/>
  <c r="X855" s="1"/>
  <c r="X853"/>
  <c r="S764"/>
  <c r="S692"/>
  <c r="U692"/>
  <c r="U764"/>
  <c r="J764"/>
  <c r="J692"/>
  <c r="D30" i="17" s="1"/>
  <c r="L30" s="1"/>
  <c r="O692" i="2"/>
  <c r="O764"/>
  <c r="Z692"/>
  <c r="Z764"/>
  <c r="E31" i="15"/>
  <c r="H31"/>
  <c r="F31" i="21"/>
  <c r="AA115" i="2"/>
  <c r="AB115" s="1"/>
  <c r="K14" i="20"/>
  <c r="J31" s="1"/>
  <c r="J14" i="14"/>
  <c r="F31" i="23"/>
  <c r="AA609" i="2"/>
  <c r="AB609" s="1"/>
  <c r="G611"/>
  <c r="K36" i="20"/>
  <c r="L36" s="1"/>
  <c r="H39"/>
  <c r="P763" i="2"/>
  <c r="D30" i="23"/>
  <c r="L30" s="1"/>
  <c r="S715" i="2"/>
  <c r="S855" s="1"/>
  <c r="S853"/>
  <c r="J853"/>
  <c r="J715"/>
  <c r="D22" i="17" s="1"/>
  <c r="H715" i="2"/>
  <c r="D22" i="15" s="1"/>
  <c r="H853" i="2"/>
  <c r="P853"/>
  <c r="P715"/>
  <c r="D22" i="23" s="1"/>
  <c r="Y715" i="2"/>
  <c r="Y855" s="1"/>
  <c r="Y853"/>
  <c r="AE602" i="1"/>
  <c r="AF602" s="1"/>
  <c r="AG602" s="1"/>
  <c r="AE102"/>
  <c r="AF102" s="1"/>
  <c r="AG102" s="1"/>
  <c r="AE500"/>
  <c r="AF487"/>
  <c r="AG487" s="1"/>
  <c r="AA554" i="2"/>
  <c r="AB554" s="1"/>
  <c r="G556"/>
  <c r="Q764"/>
  <c r="Q692"/>
  <c r="T692"/>
  <c r="T764"/>
  <c r="I764"/>
  <c r="I692"/>
  <c r="D30" i="16" s="1"/>
  <c r="L30" s="1"/>
  <c r="X692" i="2"/>
  <c r="X764"/>
  <c r="G31" i="23"/>
  <c r="I31" l="1"/>
  <c r="H31"/>
  <c r="AA804" i="2"/>
  <c r="AB804" s="1"/>
  <c r="U799"/>
  <c r="U793"/>
  <c r="Z855"/>
  <c r="J31" i="23"/>
  <c r="AA781" i="2"/>
  <c r="AB781" s="1"/>
  <c r="R855"/>
  <c r="V855"/>
  <c r="Q855"/>
  <c r="W855"/>
  <c r="U855"/>
  <c r="AF309" i="1"/>
  <c r="AG309" s="1"/>
  <c r="AE311"/>
  <c r="H31" i="22"/>
  <c r="E31"/>
  <c r="G31"/>
  <c r="F31"/>
  <c r="I31"/>
  <c r="AA805" i="2"/>
  <c r="AB805" s="1"/>
  <c r="K14" i="19"/>
  <c r="I31" i="17"/>
  <c r="E31"/>
  <c r="F31"/>
  <c r="G31"/>
  <c r="H31"/>
  <c r="AA798" i="2"/>
  <c r="AB798" s="1"/>
  <c r="J31" i="22"/>
  <c r="AA501" i="2"/>
  <c r="AB501" s="1"/>
  <c r="G691"/>
  <c r="I31" i="20"/>
  <c r="E31"/>
  <c r="K31" s="1"/>
  <c r="L31" s="1"/>
  <c r="F31"/>
  <c r="G31"/>
  <c r="H31"/>
  <c r="G692" i="2"/>
  <c r="AA692" s="1"/>
  <c r="AB692" s="1"/>
  <c r="G764"/>
  <c r="AA764" s="1"/>
  <c r="AB764" s="1"/>
  <c r="AA556"/>
  <c r="AB556" s="1"/>
  <c r="G693"/>
  <c r="AA611"/>
  <c r="AB611" s="1"/>
  <c r="K14" i="14"/>
  <c r="J31" s="1"/>
  <c r="I855" i="2"/>
  <c r="P855"/>
  <c r="H855"/>
  <c r="J855"/>
  <c r="N855"/>
  <c r="L855"/>
  <c r="M855"/>
  <c r="K855"/>
  <c r="AA799"/>
  <c r="AB799" s="1"/>
  <c r="K31" i="15"/>
  <c r="L31" s="1"/>
  <c r="AA793" i="2"/>
  <c r="AB793" s="1"/>
  <c r="AA797"/>
  <c r="AB797" s="1"/>
  <c r="AF500" i="1"/>
  <c r="AG500" s="1"/>
  <c r="AE502"/>
  <c r="AA666" i="2"/>
  <c r="AB666" s="1"/>
  <c r="G715"/>
  <c r="G855" s="1"/>
  <c r="G853"/>
  <c r="AA853" s="1"/>
  <c r="AB853" s="1"/>
  <c r="I31" i="16"/>
  <c r="F31"/>
  <c r="H31"/>
  <c r="G31"/>
  <c r="E31"/>
  <c r="K31" i="23" l="1"/>
  <c r="L31" s="1"/>
  <c r="AA855" i="2"/>
  <c r="AB855" s="1"/>
  <c r="K31" i="16"/>
  <c r="L31" s="1"/>
  <c r="G765" i="2"/>
  <c r="AA693"/>
  <c r="AA715"/>
  <c r="AB715" s="1"/>
  <c r="D22" i="14"/>
  <c r="G763" i="2"/>
  <c r="AA763" s="1"/>
  <c r="AB763" s="1"/>
  <c r="AA691"/>
  <c r="AB691" s="1"/>
  <c r="D30" i="14"/>
  <c r="L30" s="1"/>
  <c r="E31" i="19"/>
  <c r="F31"/>
  <c r="I31"/>
  <c r="H31"/>
  <c r="G31"/>
  <c r="AE313" i="1"/>
  <c r="AE553"/>
  <c r="AF553" s="1"/>
  <c r="AG553" s="1"/>
  <c r="AF311"/>
  <c r="AG311" s="1"/>
  <c r="F223" i="2"/>
  <c r="K31" i="22"/>
  <c r="L31" s="1"/>
  <c r="AE601" i="1"/>
  <c r="AF601" s="1"/>
  <c r="AG601" s="1"/>
  <c r="AE504"/>
  <c r="AF504" s="1"/>
  <c r="AG504" s="1"/>
  <c r="AF502"/>
  <c r="AG502" s="1"/>
  <c r="F278" i="2"/>
  <c r="AE101" i="1"/>
  <c r="G31" i="14"/>
  <c r="H31"/>
  <c r="F31"/>
  <c r="I31"/>
  <c r="E31"/>
  <c r="K31" i="17"/>
  <c r="L31" s="1"/>
  <c r="J31" i="19"/>
  <c r="K31" i="14" l="1"/>
  <c r="L31" s="1"/>
  <c r="V223" i="2"/>
  <c r="V225" s="1"/>
  <c r="X223"/>
  <c r="X225" s="1"/>
  <c r="Z223"/>
  <c r="Z225" s="1"/>
  <c r="Y223"/>
  <c r="Y225" s="1"/>
  <c r="M223"/>
  <c r="P223"/>
  <c r="O223"/>
  <c r="O225" s="1"/>
  <c r="I223"/>
  <c r="J223"/>
  <c r="U223"/>
  <c r="K223"/>
  <c r="N223"/>
  <c r="H223"/>
  <c r="R223"/>
  <c r="Q223"/>
  <c r="T223"/>
  <c r="L223"/>
  <c r="W223"/>
  <c r="W225" s="1"/>
  <c r="G223"/>
  <c r="S223"/>
  <c r="F225"/>
  <c r="AA765"/>
  <c r="AB765" s="1"/>
  <c r="AB693"/>
  <c r="K31" i="19"/>
  <c r="L31" s="1"/>
  <c r="X278" i="2"/>
  <c r="X280" s="1"/>
  <c r="Y278"/>
  <c r="Y280" s="1"/>
  <c r="Z278"/>
  <c r="Z280" s="1"/>
  <c r="V278"/>
  <c r="V280" s="1"/>
  <c r="I278"/>
  <c r="I280" s="1"/>
  <c r="M278"/>
  <c r="M280" s="1"/>
  <c r="P278"/>
  <c r="P280" s="1"/>
  <c r="O278"/>
  <c r="O280" s="1"/>
  <c r="U278"/>
  <c r="U280" s="1"/>
  <c r="Q278"/>
  <c r="Q280" s="1"/>
  <c r="N278"/>
  <c r="N280" s="1"/>
  <c r="K278"/>
  <c r="K280" s="1"/>
  <c r="H278"/>
  <c r="H280" s="1"/>
  <c r="R278"/>
  <c r="R280" s="1"/>
  <c r="T278"/>
  <c r="T280" s="1"/>
  <c r="J278"/>
  <c r="J280" s="1"/>
  <c r="W278"/>
  <c r="W280" s="1"/>
  <c r="G278"/>
  <c r="S278"/>
  <c r="S280" s="1"/>
  <c r="L278"/>
  <c r="L280" s="1"/>
  <c r="F280"/>
  <c r="AE599" i="1"/>
  <c r="AF599" s="1"/>
  <c r="AG599" s="1"/>
  <c r="AF313"/>
  <c r="AG313" s="1"/>
  <c r="AE94"/>
  <c r="AE104"/>
  <c r="AF104" s="1"/>
  <c r="AG104" s="1"/>
  <c r="AF101"/>
  <c r="AG101" s="1"/>
  <c r="AA278" i="2" l="1"/>
  <c r="AB278" s="1"/>
  <c r="G280"/>
  <c r="AA280" s="1"/>
  <c r="AB280" s="1"/>
  <c r="S225"/>
  <c r="S792" s="1"/>
  <c r="T225"/>
  <c r="N225"/>
  <c r="I225"/>
  <c r="I792" s="1"/>
  <c r="Y757"/>
  <c r="Y1161"/>
  <c r="Y685"/>
  <c r="Y713" s="1"/>
  <c r="Z780"/>
  <c r="Q779"/>
  <c r="T780"/>
  <c r="X780"/>
  <c r="T779"/>
  <c r="W780"/>
  <c r="I780"/>
  <c r="P779"/>
  <c r="X779"/>
  <c r="Y780"/>
  <c r="W779"/>
  <c r="H779"/>
  <c r="I779"/>
  <c r="P780"/>
  <c r="Y779"/>
  <c r="Z779"/>
  <c r="H780"/>
  <c r="Q780"/>
  <c r="S780"/>
  <c r="O779"/>
  <c r="M780"/>
  <c r="V779"/>
  <c r="L779"/>
  <c r="N780"/>
  <c r="J779"/>
  <c r="O780"/>
  <c r="M779"/>
  <c r="N779"/>
  <c r="V780"/>
  <c r="R779"/>
  <c r="J780"/>
  <c r="U779"/>
  <c r="S779"/>
  <c r="L780"/>
  <c r="R780"/>
  <c r="U780"/>
  <c r="K779"/>
  <c r="K780"/>
  <c r="L225"/>
  <c r="L792" s="1"/>
  <c r="H225"/>
  <c r="H792" s="1"/>
  <c r="J225"/>
  <c r="J792" s="1"/>
  <c r="M225"/>
  <c r="M792" s="1"/>
  <c r="V757"/>
  <c r="V685"/>
  <c r="V713" s="1"/>
  <c r="V1161"/>
  <c r="AE98" i="1"/>
  <c r="AF94"/>
  <c r="AG94" s="1"/>
  <c r="W685" i="2"/>
  <c r="W713" s="1"/>
  <c r="W757"/>
  <c r="W1161"/>
  <c r="R225"/>
  <c r="R792" s="1"/>
  <c r="U225"/>
  <c r="U792" s="1"/>
  <c r="P225"/>
  <c r="P792" s="1"/>
  <c r="X757"/>
  <c r="X685"/>
  <c r="X713" s="1"/>
  <c r="X1161"/>
  <c r="F845"/>
  <c r="F757"/>
  <c r="F1161"/>
  <c r="F685"/>
  <c r="W792"/>
  <c r="X792"/>
  <c r="Y792"/>
  <c r="Z792"/>
  <c r="O792"/>
  <c r="V792"/>
  <c r="T792"/>
  <c r="N792"/>
  <c r="AA223"/>
  <c r="AB223" s="1"/>
  <c r="G225"/>
  <c r="Q225"/>
  <c r="Q792" s="1"/>
  <c r="K225"/>
  <c r="O757"/>
  <c r="O1161"/>
  <c r="O820" s="1"/>
  <c r="O685"/>
  <c r="O845"/>
  <c r="Z757"/>
  <c r="Z1161"/>
  <c r="Z820" s="1"/>
  <c r="Z685"/>
  <c r="Z713" s="1"/>
  <c r="G780" l="1"/>
  <c r="AA780" s="1"/>
  <c r="AB780" s="1"/>
  <c r="G779"/>
  <c r="AA779" s="1"/>
  <c r="AB779" s="1"/>
  <c r="G757"/>
  <c r="AA225"/>
  <c r="G685"/>
  <c r="G1161"/>
  <c r="G845"/>
  <c r="E835"/>
  <c r="F713"/>
  <c r="F717" s="1"/>
  <c r="F698"/>
  <c r="AF98" i="1"/>
  <c r="AG98" s="1"/>
  <c r="AE122"/>
  <c r="M685" i="2"/>
  <c r="M757"/>
  <c r="M1161"/>
  <c r="M820" s="1"/>
  <c r="M845"/>
  <c r="G792"/>
  <c r="X820"/>
  <c r="W820"/>
  <c r="O835"/>
  <c r="O713"/>
  <c r="K757"/>
  <c r="K1161"/>
  <c r="K820" s="1"/>
  <c r="K685"/>
  <c r="K845"/>
  <c r="P685"/>
  <c r="P757"/>
  <c r="P1161"/>
  <c r="P820" s="1"/>
  <c r="P845"/>
  <c r="U1161"/>
  <c r="U820" s="1"/>
  <c r="U685"/>
  <c r="U757"/>
  <c r="U845"/>
  <c r="R1161"/>
  <c r="R820" s="1"/>
  <c r="R685"/>
  <c r="R757"/>
  <c r="R845"/>
  <c r="H757"/>
  <c r="H1161"/>
  <c r="H820" s="1"/>
  <c r="H685"/>
  <c r="H845"/>
  <c r="L1161"/>
  <c r="L820" s="1"/>
  <c r="L757"/>
  <c r="L685"/>
  <c r="L845"/>
  <c r="I685"/>
  <c r="I757"/>
  <c r="I1161"/>
  <c r="I820" s="1"/>
  <c r="I845"/>
  <c r="Q757"/>
  <c r="Q685"/>
  <c r="Q1161"/>
  <c r="Q820" s="1"/>
  <c r="Q845"/>
  <c r="F808"/>
  <c r="F851"/>
  <c r="F857" s="1"/>
  <c r="N1161"/>
  <c r="N820" s="1"/>
  <c r="N685"/>
  <c r="N757"/>
  <c r="N845"/>
  <c r="T757"/>
  <c r="T685"/>
  <c r="T1161"/>
  <c r="T820" s="1"/>
  <c r="T845"/>
  <c r="S685"/>
  <c r="S1161"/>
  <c r="S820" s="1"/>
  <c r="S757"/>
  <c r="S845"/>
  <c r="K792"/>
  <c r="J757"/>
  <c r="J685"/>
  <c r="J1161"/>
  <c r="J820" s="1"/>
  <c r="J845"/>
  <c r="G820"/>
  <c r="V820"/>
  <c r="Y820"/>
  <c r="D15" i="17" l="1"/>
  <c r="Q835" i="2"/>
  <c r="Q713"/>
  <c r="D15" i="15"/>
  <c r="D15" i="20"/>
  <c r="S713" i="2"/>
  <c r="S835"/>
  <c r="I835"/>
  <c r="D28" i="16"/>
  <c r="L28" s="1"/>
  <c r="I713" i="2"/>
  <c r="L835"/>
  <c r="D28" i="19"/>
  <c r="L28" s="1"/>
  <c r="L713" i="2"/>
  <c r="D28" i="15"/>
  <c r="L28" s="1"/>
  <c r="H835" i="2"/>
  <c r="H713"/>
  <c r="D28" i="23"/>
  <c r="L28" s="1"/>
  <c r="P713" i="2"/>
  <c r="P835"/>
  <c r="F168"/>
  <c r="AF122" i="1"/>
  <c r="AG122" s="1"/>
  <c r="AA757" i="2"/>
  <c r="AB757" s="1"/>
  <c r="AB225"/>
  <c r="AA820"/>
  <c r="AB820" s="1"/>
  <c r="D15" i="14"/>
  <c r="D15" i="21"/>
  <c r="J713" i="2"/>
  <c r="D28" i="17"/>
  <c r="L28" s="1"/>
  <c r="J835" i="2"/>
  <c r="T835"/>
  <c r="T713"/>
  <c r="N713"/>
  <c r="D28" i="21"/>
  <c r="L28" s="1"/>
  <c r="N835" i="2"/>
  <c r="R713"/>
  <c r="R835"/>
  <c r="U835"/>
  <c r="U713"/>
  <c r="D15" i="22"/>
  <c r="M713" i="2"/>
  <c r="M835"/>
  <c r="D28" i="20"/>
  <c r="L28" s="1"/>
  <c r="G713" i="2"/>
  <c r="D28" i="14"/>
  <c r="L28" s="1"/>
  <c r="AA685" i="2"/>
  <c r="AB685" s="1"/>
  <c r="G835"/>
  <c r="F810"/>
  <c r="F873"/>
  <c r="D15" i="16"/>
  <c r="D15" i="19"/>
  <c r="D15" i="23"/>
  <c r="K835" i="2"/>
  <c r="K713"/>
  <c r="D28" i="22"/>
  <c r="L28" s="1"/>
  <c r="E837" i="2"/>
  <c r="F908"/>
  <c r="F700"/>
  <c r="AA792"/>
  <c r="AB792" s="1"/>
  <c r="AA1161"/>
  <c r="AB1161" s="1"/>
  <c r="Z168" l="1"/>
  <c r="Z170" s="1"/>
  <c r="Z702" s="1"/>
  <c r="Z817" s="1"/>
  <c r="Z821" s="1"/>
  <c r="I168"/>
  <c r="W168"/>
  <c r="W170" s="1"/>
  <c r="W702" s="1"/>
  <c r="W817" s="1"/>
  <c r="W821" s="1"/>
  <c r="J168"/>
  <c r="X168"/>
  <c r="X170" s="1"/>
  <c r="X702" s="1"/>
  <c r="X817" s="1"/>
  <c r="X821" s="1"/>
  <c r="Y168"/>
  <c r="Y170" s="1"/>
  <c r="Y702" s="1"/>
  <c r="Y817" s="1"/>
  <c r="Y821" s="1"/>
  <c r="M168"/>
  <c r="V168"/>
  <c r="V170" s="1"/>
  <c r="V702" s="1"/>
  <c r="V817" s="1"/>
  <c r="V821" s="1"/>
  <c r="N168"/>
  <c r="P168"/>
  <c r="K168"/>
  <c r="S168"/>
  <c r="Q168"/>
  <c r="R168"/>
  <c r="O168"/>
  <c r="O170" s="1"/>
  <c r="O702" s="1"/>
  <c r="T168"/>
  <c r="G168"/>
  <c r="H168"/>
  <c r="L168"/>
  <c r="U168"/>
  <c r="F170"/>
  <c r="F1206" s="1"/>
  <c r="F914"/>
  <c r="F917" s="1"/>
  <c r="F939"/>
  <c r="F980"/>
  <c r="F815"/>
  <c r="F835"/>
  <c r="AA713"/>
  <c r="AB713" s="1"/>
  <c r="AA168" l="1"/>
  <c r="AB168" s="1"/>
  <c r="U170"/>
  <c r="U679" s="1"/>
  <c r="T170"/>
  <c r="T679" s="1"/>
  <c r="S170"/>
  <c r="S1206" s="1"/>
  <c r="V884"/>
  <c r="V919"/>
  <c r="J170"/>
  <c r="F986"/>
  <c r="F989" s="1"/>
  <c r="F1025"/>
  <c r="F1031" s="1"/>
  <c r="F1034" s="1"/>
  <c r="F702"/>
  <c r="F817" s="1"/>
  <c r="F821" s="1"/>
  <c r="W786"/>
  <c r="V678"/>
  <c r="Y796"/>
  <c r="Z796"/>
  <c r="X679"/>
  <c r="X678"/>
  <c r="W679"/>
  <c r="W796"/>
  <c r="X796"/>
  <c r="V796"/>
  <c r="V786"/>
  <c r="Y786"/>
  <c r="Z679"/>
  <c r="X786"/>
  <c r="V679"/>
  <c r="Z786"/>
  <c r="Y678"/>
  <c r="Z678"/>
  <c r="Y679"/>
  <c r="W678"/>
  <c r="S679"/>
  <c r="S796"/>
  <c r="J796"/>
  <c r="S786"/>
  <c r="U678"/>
  <c r="J678"/>
  <c r="J679"/>
  <c r="U796"/>
  <c r="O796"/>
  <c r="O786"/>
  <c r="O679"/>
  <c r="J786"/>
  <c r="T786"/>
  <c r="S678"/>
  <c r="S682" s="1"/>
  <c r="O678"/>
  <c r="F1202"/>
  <c r="F1203"/>
  <c r="F1200"/>
  <c r="F1198"/>
  <c r="F1199"/>
  <c r="F1204"/>
  <c r="F1201"/>
  <c r="F1205"/>
  <c r="G170"/>
  <c r="G796" s="1"/>
  <c r="Q170"/>
  <c r="Q786" s="1"/>
  <c r="N170"/>
  <c r="N679" s="1"/>
  <c r="X919"/>
  <c r="X991" s="1"/>
  <c r="X884"/>
  <c r="Z919"/>
  <c r="Z991" s="1"/>
  <c r="Z884"/>
  <c r="H170"/>
  <c r="H678" s="1"/>
  <c r="R170"/>
  <c r="R679" s="1"/>
  <c r="P170"/>
  <c r="P1206" s="1"/>
  <c r="Y884"/>
  <c r="Y919"/>
  <c r="Y991" s="1"/>
  <c r="I170"/>
  <c r="I1206" s="1"/>
  <c r="L170"/>
  <c r="L678" s="1"/>
  <c r="F17" i="4"/>
  <c r="G17" s="1"/>
  <c r="O817" i="2"/>
  <c r="O821" s="1"/>
  <c r="E16" i="24" s="1"/>
  <c r="K170" i="2"/>
  <c r="K678" s="1"/>
  <c r="M170"/>
  <c r="M679" s="1"/>
  <c r="W884"/>
  <c r="W919"/>
  <c r="W1133" l="1"/>
  <c r="W800" s="1"/>
  <c r="T796"/>
  <c r="X682"/>
  <c r="T678"/>
  <c r="T682" s="1"/>
  <c r="U786"/>
  <c r="U1133" s="1"/>
  <c r="U800" s="1"/>
  <c r="Z682"/>
  <c r="Z711" s="1"/>
  <c r="Z717" s="1"/>
  <c r="W682"/>
  <c r="W729" s="1"/>
  <c r="W750" s="1"/>
  <c r="N678"/>
  <c r="D44" i="21" s="1"/>
  <c r="D45" s="1"/>
  <c r="M1206" i="2"/>
  <c r="G786"/>
  <c r="G1133" s="1"/>
  <c r="O682"/>
  <c r="O711" s="1"/>
  <c r="O717" s="1"/>
  <c r="K679"/>
  <c r="K682" s="1"/>
  <c r="K1206"/>
  <c r="R678"/>
  <c r="N796"/>
  <c r="S1133"/>
  <c r="S800" s="1"/>
  <c r="H1206"/>
  <c r="Y682"/>
  <c r="Y711" s="1"/>
  <c r="Y717" s="1"/>
  <c r="I1232"/>
  <c r="D44" i="22"/>
  <c r="D45" s="1"/>
  <c r="M702" i="2"/>
  <c r="D14" i="20"/>
  <c r="M1200" i="2"/>
  <c r="M1199"/>
  <c r="M1198"/>
  <c r="M1202"/>
  <c r="M1201"/>
  <c r="M1204"/>
  <c r="M1203"/>
  <c r="M1205"/>
  <c r="D14" i="23"/>
  <c r="P702" i="2"/>
  <c r="P1202"/>
  <c r="P1201"/>
  <c r="P1203"/>
  <c r="P1205"/>
  <c r="P1198"/>
  <c r="P1199"/>
  <c r="P1200"/>
  <c r="P1204"/>
  <c r="D14" i="15"/>
  <c r="H702" i="2"/>
  <c r="H1202"/>
  <c r="H1201"/>
  <c r="H1198"/>
  <c r="H1203"/>
  <c r="H1205"/>
  <c r="H1204"/>
  <c r="H1200"/>
  <c r="H1199"/>
  <c r="T1133"/>
  <c r="T800" s="1"/>
  <c r="V1133"/>
  <c r="V800" s="1"/>
  <c r="J702"/>
  <c r="D14" i="17"/>
  <c r="J1199" i="2"/>
  <c r="J1198"/>
  <c r="J1203"/>
  <c r="J1205"/>
  <c r="J1204"/>
  <c r="J1200"/>
  <c r="J1202"/>
  <c r="J1201"/>
  <c r="S1232"/>
  <c r="S1292"/>
  <c r="S1293" s="1"/>
  <c r="U702"/>
  <c r="U1205"/>
  <c r="U1204"/>
  <c r="U1198"/>
  <c r="U1203"/>
  <c r="U1199"/>
  <c r="U1201"/>
  <c r="U1202"/>
  <c r="U1200"/>
  <c r="Q1206"/>
  <c r="K796"/>
  <c r="Q678"/>
  <c r="H679"/>
  <c r="H786"/>
  <c r="P679"/>
  <c r="M1232"/>
  <c r="M1283"/>
  <c r="D14" i="16"/>
  <c r="I702" i="2"/>
  <c r="I1203"/>
  <c r="I1201"/>
  <c r="I1205"/>
  <c r="I1200"/>
  <c r="I1198"/>
  <c r="I1202"/>
  <c r="I1204"/>
  <c r="I1199"/>
  <c r="H1232"/>
  <c r="O834"/>
  <c r="W711"/>
  <c r="W717" s="1"/>
  <c r="Z1133"/>
  <c r="Z800" s="1"/>
  <c r="Y1133"/>
  <c r="Y800" s="1"/>
  <c r="F919"/>
  <c r="F884"/>
  <c r="E842"/>
  <c r="F823"/>
  <c r="T702"/>
  <c r="T1204"/>
  <c r="T1205"/>
  <c r="T1203"/>
  <c r="T1198"/>
  <c r="T1200"/>
  <c r="T1202"/>
  <c r="T1201"/>
  <c r="T1199"/>
  <c r="F42" i="4"/>
  <c r="O919" i="2"/>
  <c r="O884"/>
  <c r="O842"/>
  <c r="P1232"/>
  <c r="Q702"/>
  <c r="Q1198"/>
  <c r="Q1205"/>
  <c r="Q1199"/>
  <c r="Q1204"/>
  <c r="Q1202"/>
  <c r="Q1200"/>
  <c r="Q1201"/>
  <c r="Q1203"/>
  <c r="F1210"/>
  <c r="F1207"/>
  <c r="F1175" s="1"/>
  <c r="T729"/>
  <c r="T750" s="1"/>
  <c r="B22" i="24" s="1"/>
  <c r="T711" i="2"/>
  <c r="T717" s="1"/>
  <c r="T834"/>
  <c r="C23" i="4"/>
  <c r="L702" i="2"/>
  <c r="D14" i="19"/>
  <c r="L1200" i="2"/>
  <c r="L1202"/>
  <c r="L1201"/>
  <c r="L1203"/>
  <c r="L1199"/>
  <c r="L1198"/>
  <c r="L1204"/>
  <c r="L1205"/>
  <c r="R702"/>
  <c r="R1199"/>
  <c r="R1201"/>
  <c r="R1202"/>
  <c r="R1200"/>
  <c r="R1204"/>
  <c r="R1205"/>
  <c r="R1203"/>
  <c r="R1198"/>
  <c r="D14" i="21"/>
  <c r="N702" i="2"/>
  <c r="N1201"/>
  <c r="N1203"/>
  <c r="N1198"/>
  <c r="N1205"/>
  <c r="N1204"/>
  <c r="N1199"/>
  <c r="N1202"/>
  <c r="N1200"/>
  <c r="AA170"/>
  <c r="AB170" s="1"/>
  <c r="G702"/>
  <c r="D14" i="14"/>
  <c r="G1199" i="2"/>
  <c r="G1200"/>
  <c r="G1203"/>
  <c r="G1205"/>
  <c r="G1198"/>
  <c r="G1204"/>
  <c r="G1202"/>
  <c r="G1201"/>
  <c r="Y729"/>
  <c r="Y750" s="1"/>
  <c r="V991"/>
  <c r="V950"/>
  <c r="R682"/>
  <c r="I679"/>
  <c r="Q679"/>
  <c r="G679"/>
  <c r="M796"/>
  <c r="P678"/>
  <c r="I796"/>
  <c r="R796"/>
  <c r="N786"/>
  <c r="I786"/>
  <c r="U682"/>
  <c r="I678"/>
  <c r="M786"/>
  <c r="T1206"/>
  <c r="C22" i="4"/>
  <c r="S711" i="2"/>
  <c r="S717" s="1"/>
  <c r="S834"/>
  <c r="S729"/>
  <c r="S750" s="1"/>
  <c r="B21" i="24" s="1"/>
  <c r="D44" i="15"/>
  <c r="D45" s="1"/>
  <c r="H682" i="2"/>
  <c r="K1232"/>
  <c r="W991"/>
  <c r="W950"/>
  <c r="K702"/>
  <c r="D14" i="22"/>
  <c r="K1201" i="2"/>
  <c r="K1199"/>
  <c r="K1204"/>
  <c r="K1203"/>
  <c r="K1205"/>
  <c r="K1198"/>
  <c r="K1200"/>
  <c r="K1202"/>
  <c r="J1133"/>
  <c r="J800" s="1"/>
  <c r="O1133"/>
  <c r="O800" s="1"/>
  <c r="D44" i="17"/>
  <c r="D45" s="1"/>
  <c r="J682" i="2"/>
  <c r="X1133"/>
  <c r="X800" s="1"/>
  <c r="X711"/>
  <c r="X717" s="1"/>
  <c r="X729"/>
  <c r="X750" s="1"/>
  <c r="S702"/>
  <c r="S1204"/>
  <c r="S1205"/>
  <c r="S1199"/>
  <c r="S1198"/>
  <c r="S1202"/>
  <c r="S1200"/>
  <c r="S1201"/>
  <c r="S1203"/>
  <c r="L1206"/>
  <c r="R1206"/>
  <c r="N1206"/>
  <c r="G1206"/>
  <c r="G678"/>
  <c r="K786"/>
  <c r="Q796"/>
  <c r="Q1133" s="1"/>
  <c r="Q800" s="1"/>
  <c r="H796"/>
  <c r="P796"/>
  <c r="L679"/>
  <c r="L682" s="1"/>
  <c r="M678"/>
  <c r="P786"/>
  <c r="L786"/>
  <c r="R786"/>
  <c r="L796"/>
  <c r="V682"/>
  <c r="J1206"/>
  <c r="U1206"/>
  <c r="O729" l="1"/>
  <c r="O750" s="1"/>
  <c r="B16" i="24" s="1"/>
  <c r="Z729" i="2"/>
  <c r="Z750" s="1"/>
  <c r="Z897" s="1"/>
  <c r="N682"/>
  <c r="Q682"/>
  <c r="AA796"/>
  <c r="AB796" s="1"/>
  <c r="F1177"/>
  <c r="AA786"/>
  <c r="AB786" s="1"/>
  <c r="C14" i="4"/>
  <c r="L711" i="2"/>
  <c r="L717" s="1"/>
  <c r="L729"/>
  <c r="L750" s="1"/>
  <c r="B13" i="24" s="1"/>
  <c r="L834" i="2"/>
  <c r="M682"/>
  <c r="D44" i="20"/>
  <c r="D45" s="1"/>
  <c r="V729" i="2"/>
  <c r="V750" s="1"/>
  <c r="V711"/>
  <c r="V717" s="1"/>
  <c r="P1133"/>
  <c r="P800" s="1"/>
  <c r="AA1206"/>
  <c r="AB1206" s="1"/>
  <c r="G1232"/>
  <c r="S1229"/>
  <c r="S1207"/>
  <c r="S1224"/>
  <c r="S817"/>
  <c r="S821" s="1"/>
  <c r="E21" i="24" s="1"/>
  <c r="F22" i="4"/>
  <c r="K1228" i="2"/>
  <c r="K1229"/>
  <c r="D16" i="22"/>
  <c r="F15"/>
  <c r="F16" s="1"/>
  <c r="F44"/>
  <c r="F45" s="1"/>
  <c r="F22"/>
  <c r="E15"/>
  <c r="E22"/>
  <c r="E44"/>
  <c r="G15"/>
  <c r="G16" s="1"/>
  <c r="G22"/>
  <c r="G44"/>
  <c r="G45" s="1"/>
  <c r="H15"/>
  <c r="H16" s="1"/>
  <c r="H44"/>
  <c r="H45" s="1"/>
  <c r="H22"/>
  <c r="I44"/>
  <c r="I45" s="1"/>
  <c r="I15"/>
  <c r="I16" s="1"/>
  <c r="I22"/>
  <c r="J22"/>
  <c r="J15"/>
  <c r="J16" s="1"/>
  <c r="J44"/>
  <c r="J45" s="1"/>
  <c r="L14"/>
  <c r="C24" i="4"/>
  <c r="C21" s="1"/>
  <c r="U711" i="2"/>
  <c r="U717" s="1"/>
  <c r="U834"/>
  <c r="U729"/>
  <c r="U750" s="1"/>
  <c r="B23" i="24" s="1"/>
  <c r="B20" s="1"/>
  <c r="AA1204" i="2"/>
  <c r="AB1204" s="1"/>
  <c r="G1230"/>
  <c r="G1226"/>
  <c r="AA1200"/>
  <c r="AB1200" s="1"/>
  <c r="N1258"/>
  <c r="N1230"/>
  <c r="N1227"/>
  <c r="N1263"/>
  <c r="R1229"/>
  <c r="R1228"/>
  <c r="L1231"/>
  <c r="L1229"/>
  <c r="D16" i="19"/>
  <c r="F22"/>
  <c r="F15"/>
  <c r="F16" s="1"/>
  <c r="E22"/>
  <c r="E15"/>
  <c r="G22"/>
  <c r="G15"/>
  <c r="G16" s="1"/>
  <c r="H15"/>
  <c r="H16" s="1"/>
  <c r="H22"/>
  <c r="I15"/>
  <c r="I16" s="1"/>
  <c r="I22"/>
  <c r="J22"/>
  <c r="L14"/>
  <c r="J15"/>
  <c r="J16" s="1"/>
  <c r="Q1229" i="2"/>
  <c r="Q1230"/>
  <c r="F19" i="4"/>
  <c r="Q817" i="2"/>
  <c r="Q821" s="1"/>
  <c r="E18" i="24" s="1"/>
  <c r="T1227" i="2"/>
  <c r="T1229"/>
  <c r="V867"/>
  <c r="Y867"/>
  <c r="W867"/>
  <c r="X867"/>
  <c r="F867"/>
  <c r="Z867"/>
  <c r="I1230"/>
  <c r="I1231"/>
  <c r="L14" i="16"/>
  <c r="D16"/>
  <c r="F22"/>
  <c r="F15"/>
  <c r="F16" s="1"/>
  <c r="E22"/>
  <c r="E15"/>
  <c r="G15"/>
  <c r="G16" s="1"/>
  <c r="G22"/>
  <c r="H15"/>
  <c r="H16" s="1"/>
  <c r="H22"/>
  <c r="I22"/>
  <c r="I15"/>
  <c r="I16" s="1"/>
  <c r="J15"/>
  <c r="J16" s="1"/>
  <c r="J22"/>
  <c r="U1225" i="2"/>
  <c r="U1231"/>
  <c r="J1230"/>
  <c r="J1225"/>
  <c r="H1231"/>
  <c r="H1228"/>
  <c r="P1226"/>
  <c r="P1229"/>
  <c r="D16" i="23"/>
  <c r="F15"/>
  <c r="F16" s="1"/>
  <c r="F22"/>
  <c r="E15"/>
  <c r="E22"/>
  <c r="G15"/>
  <c r="G16" s="1"/>
  <c r="G22"/>
  <c r="H22"/>
  <c r="H15"/>
  <c r="H16" s="1"/>
  <c r="I15"/>
  <c r="I16" s="1"/>
  <c r="I22"/>
  <c r="J15"/>
  <c r="J16" s="1"/>
  <c r="L14"/>
  <c r="J22"/>
  <c r="M1227" i="2"/>
  <c r="M1263"/>
  <c r="M1226"/>
  <c r="M1253"/>
  <c r="F1178"/>
  <c r="F1174"/>
  <c r="F1173"/>
  <c r="K1133"/>
  <c r="K800" s="1"/>
  <c r="L1133"/>
  <c r="L800" s="1"/>
  <c r="AA678"/>
  <c r="AB678" s="1"/>
  <c r="G682"/>
  <c r="D44" i="14"/>
  <c r="D45" s="1"/>
  <c r="L1232" i="2"/>
  <c r="S1228"/>
  <c r="S1230"/>
  <c r="X694"/>
  <c r="X698" s="1"/>
  <c r="X803"/>
  <c r="X802"/>
  <c r="X801"/>
  <c r="X766"/>
  <c r="Z803"/>
  <c r="Z694"/>
  <c r="Z698" s="1"/>
  <c r="Z802"/>
  <c r="Z766"/>
  <c r="Z801"/>
  <c r="K1231"/>
  <c r="K1227"/>
  <c r="S802"/>
  <c r="S766"/>
  <c r="S694"/>
  <c r="S698" s="1"/>
  <c r="S801"/>
  <c r="S803"/>
  <c r="D44" i="16"/>
  <c r="D45" s="1"/>
  <c r="I682" i="2"/>
  <c r="Y897"/>
  <c r="Y849"/>
  <c r="G1228"/>
  <c r="AA1202"/>
  <c r="AB1202" s="1"/>
  <c r="G1229"/>
  <c r="AA1203"/>
  <c r="AB1203" s="1"/>
  <c r="G817"/>
  <c r="F9" i="4"/>
  <c r="AA702" i="2"/>
  <c r="AB702" s="1"/>
  <c r="N1225"/>
  <c r="N1248"/>
  <c r="N1273"/>
  <c r="N1229"/>
  <c r="R1224"/>
  <c r="R1207"/>
  <c r="R1226"/>
  <c r="R817"/>
  <c r="R821" s="1"/>
  <c r="E19" i="24" s="1"/>
  <c r="F20" i="4"/>
  <c r="L1225" i="2"/>
  <c r="L1226"/>
  <c r="Q1228"/>
  <c r="Q1224"/>
  <c r="Q1207"/>
  <c r="T1225"/>
  <c r="T1207"/>
  <c r="T1224"/>
  <c r="F23" i="4"/>
  <c r="T817" i="2"/>
  <c r="T821" s="1"/>
  <c r="E22" i="24" s="1"/>
  <c r="F991" i="2"/>
  <c r="F950"/>
  <c r="F921"/>
  <c r="I1225"/>
  <c r="I1226"/>
  <c r="I817"/>
  <c r="I821" s="1"/>
  <c r="E10" i="24" s="1"/>
  <c r="F11" i="4"/>
  <c r="Q711" i="2"/>
  <c r="Q717" s="1"/>
  <c r="Q834"/>
  <c r="C19" i="4"/>
  <c r="Q729" i="2"/>
  <c r="Q750" s="1"/>
  <c r="B18" i="24" s="1"/>
  <c r="Q1232" i="2"/>
  <c r="U1227"/>
  <c r="U1230"/>
  <c r="J1226"/>
  <c r="J1207"/>
  <c r="J1224"/>
  <c r="H1230"/>
  <c r="H1227"/>
  <c r="P1230"/>
  <c r="P1231"/>
  <c r="P817"/>
  <c r="P821" s="1"/>
  <c r="E17" i="24" s="1"/>
  <c r="F18" i="4"/>
  <c r="M1258" i="2"/>
  <c r="M1230"/>
  <c r="M1248"/>
  <c r="M1225"/>
  <c r="N729"/>
  <c r="N750" s="1"/>
  <c r="B15" i="24" s="1"/>
  <c r="N711" i="2"/>
  <c r="N717" s="1"/>
  <c r="N834"/>
  <c r="C16" i="4"/>
  <c r="K729" i="2"/>
  <c r="K750" s="1"/>
  <c r="B12" i="24" s="1"/>
  <c r="K834" i="2"/>
  <c r="K711"/>
  <c r="K717" s="1"/>
  <c r="C13" i="4"/>
  <c r="F1179" i="2"/>
  <c r="R1133"/>
  <c r="R800" s="1"/>
  <c r="AA679"/>
  <c r="AB679" s="1"/>
  <c r="F1180"/>
  <c r="U1232"/>
  <c r="J1232"/>
  <c r="R1232"/>
  <c r="S1226"/>
  <c r="S1231"/>
  <c r="X849"/>
  <c r="X897"/>
  <c r="K1224"/>
  <c r="K1207"/>
  <c r="K1225"/>
  <c r="C10" i="4"/>
  <c r="H834" i="2"/>
  <c r="H711"/>
  <c r="H717" s="1"/>
  <c r="H729"/>
  <c r="H750" s="1"/>
  <c r="B9" i="24" s="1"/>
  <c r="M1133" i="2"/>
  <c r="M800" s="1"/>
  <c r="N1133"/>
  <c r="N800" s="1"/>
  <c r="R834"/>
  <c r="R711"/>
  <c r="R717" s="1"/>
  <c r="C20" i="4"/>
  <c r="R729" i="2"/>
  <c r="R750" s="1"/>
  <c r="B19" i="24" s="1"/>
  <c r="Y694" i="2"/>
  <c r="Y698" s="1"/>
  <c r="Y801"/>
  <c r="Y803"/>
  <c r="Y766"/>
  <c r="Y802"/>
  <c r="AA1201"/>
  <c r="AB1201" s="1"/>
  <c r="G1227"/>
  <c r="G1231"/>
  <c r="AA1205"/>
  <c r="AB1205" s="1"/>
  <c r="D16" i="14"/>
  <c r="F15"/>
  <c r="F16" s="1"/>
  <c r="F44"/>
  <c r="F45" s="1"/>
  <c r="E15"/>
  <c r="E22"/>
  <c r="E44"/>
  <c r="G15"/>
  <c r="G16" s="1"/>
  <c r="G22"/>
  <c r="G44"/>
  <c r="G45" s="1"/>
  <c r="H15"/>
  <c r="H16" s="1"/>
  <c r="H22"/>
  <c r="H44"/>
  <c r="H45" s="1"/>
  <c r="I15"/>
  <c r="I16" s="1"/>
  <c r="I44"/>
  <c r="I45" s="1"/>
  <c r="I22"/>
  <c r="J22"/>
  <c r="J44"/>
  <c r="J45" s="1"/>
  <c r="J15"/>
  <c r="J16" s="1"/>
  <c r="L14"/>
  <c r="F22"/>
  <c r="N1268" i="2"/>
  <c r="N1228"/>
  <c r="N1207"/>
  <c r="N1224"/>
  <c r="N1243"/>
  <c r="L14" i="21"/>
  <c r="F44"/>
  <c r="F45" s="1"/>
  <c r="F15"/>
  <c r="F16" s="1"/>
  <c r="F22"/>
  <c r="E44"/>
  <c r="E15"/>
  <c r="E22"/>
  <c r="G15"/>
  <c r="G16" s="1"/>
  <c r="G22"/>
  <c r="G44"/>
  <c r="G45" s="1"/>
  <c r="H44"/>
  <c r="H45" s="1"/>
  <c r="H15"/>
  <c r="H16" s="1"/>
  <c r="H22"/>
  <c r="I44"/>
  <c r="I45" s="1"/>
  <c r="I15"/>
  <c r="I16" s="1"/>
  <c r="I22"/>
  <c r="J44"/>
  <c r="J45" s="1"/>
  <c r="J15"/>
  <c r="J16" s="1"/>
  <c r="J22"/>
  <c r="D16"/>
  <c r="R1230" i="2"/>
  <c r="R1225"/>
  <c r="L1224"/>
  <c r="L1207"/>
  <c r="L1228"/>
  <c r="T897"/>
  <c r="T864"/>
  <c r="T849"/>
  <c r="C48" i="4"/>
  <c r="F1181" i="2"/>
  <c r="Q1226"/>
  <c r="Q1231"/>
  <c r="T1226"/>
  <c r="T1230"/>
  <c r="W766"/>
  <c r="W802"/>
  <c r="W803"/>
  <c r="W694"/>
  <c r="W698" s="1"/>
  <c r="W801"/>
  <c r="O694"/>
  <c r="O698" s="1"/>
  <c r="O766"/>
  <c r="O803"/>
  <c r="O802"/>
  <c r="O801"/>
  <c r="I1224"/>
  <c r="I1207"/>
  <c r="I1229"/>
  <c r="U1228"/>
  <c r="U1207"/>
  <c r="U1224"/>
  <c r="J1228"/>
  <c r="J1229"/>
  <c r="F12" i="4"/>
  <c r="J817" i="2"/>
  <c r="J821" s="1"/>
  <c r="E11" i="24" s="1"/>
  <c r="H1226" i="2"/>
  <c r="H1207"/>
  <c r="H1224"/>
  <c r="D16" i="15"/>
  <c r="F15"/>
  <c r="F16" s="1"/>
  <c r="F44"/>
  <c r="F45" s="1"/>
  <c r="F22"/>
  <c r="E15"/>
  <c r="E22"/>
  <c r="E44"/>
  <c r="G44"/>
  <c r="G45" s="1"/>
  <c r="G15"/>
  <c r="G16" s="1"/>
  <c r="G22"/>
  <c r="H15"/>
  <c r="H16" s="1"/>
  <c r="H44"/>
  <c r="H45" s="1"/>
  <c r="H22"/>
  <c r="I15"/>
  <c r="I16" s="1"/>
  <c r="I44"/>
  <c r="I45" s="1"/>
  <c r="I22"/>
  <c r="J22"/>
  <c r="J44"/>
  <c r="J45" s="1"/>
  <c r="L14"/>
  <c r="J15"/>
  <c r="J16" s="1"/>
  <c r="P1224" i="2"/>
  <c r="P1207"/>
  <c r="P1228"/>
  <c r="M1229"/>
  <c r="M1273"/>
  <c r="M1243"/>
  <c r="M1224"/>
  <c r="M1207"/>
  <c r="M817"/>
  <c r="M821" s="1"/>
  <c r="E14" i="24" s="1"/>
  <c r="F15" i="4"/>
  <c r="G800" i="2"/>
  <c r="F1176"/>
  <c r="D44" i="19"/>
  <c r="D45" s="1"/>
  <c r="N1232" i="2"/>
  <c r="N1283"/>
  <c r="S1227"/>
  <c r="S1225"/>
  <c r="J729"/>
  <c r="J750" s="1"/>
  <c r="B11" i="24" s="1"/>
  <c r="J711" i="2"/>
  <c r="J717" s="1"/>
  <c r="J834"/>
  <c r="C12" i="4"/>
  <c r="K1226" i="2"/>
  <c r="K1230"/>
  <c r="F13" i="4"/>
  <c r="K817" i="2"/>
  <c r="K821" s="1"/>
  <c r="E12" i="24" s="1"/>
  <c r="S849" i="2"/>
  <c r="S864"/>
  <c r="S897"/>
  <c r="C47" i="4"/>
  <c r="T1232" i="2"/>
  <c r="I1133"/>
  <c r="I800" s="1"/>
  <c r="D44" i="23"/>
  <c r="D45" s="1"/>
  <c r="P682" i="2"/>
  <c r="G1224"/>
  <c r="G1207"/>
  <c r="AA1198"/>
  <c r="AA1199"/>
  <c r="AB1199" s="1"/>
  <c r="G1225"/>
  <c r="N1226"/>
  <c r="N1253"/>
  <c r="N1231"/>
  <c r="N1278"/>
  <c r="F16" i="4"/>
  <c r="N817" i="2"/>
  <c r="N821" s="1"/>
  <c r="E15" i="24" s="1"/>
  <c r="R1231" i="2"/>
  <c r="R1227"/>
  <c r="L1230"/>
  <c r="L1227"/>
  <c r="F14" i="4"/>
  <c r="L817" i="2"/>
  <c r="L821" s="1"/>
  <c r="E13" i="24" s="1"/>
  <c r="T801" i="2"/>
  <c r="T694"/>
  <c r="T698" s="1"/>
  <c r="T802"/>
  <c r="T803"/>
  <c r="T766"/>
  <c r="Q1227"/>
  <c r="Q1225"/>
  <c r="O950"/>
  <c r="O991"/>
  <c r="T1228"/>
  <c r="T1231"/>
  <c r="W897"/>
  <c r="W849"/>
  <c r="O897"/>
  <c r="C42" i="4"/>
  <c r="O864" i="2"/>
  <c r="O849"/>
  <c r="I1228"/>
  <c r="I1227"/>
  <c r="H1133"/>
  <c r="H800" s="1"/>
  <c r="U1226"/>
  <c r="U1229"/>
  <c r="U817"/>
  <c r="U821" s="1"/>
  <c r="E23" i="24" s="1"/>
  <c r="F24" i="4"/>
  <c r="J1227" i="2"/>
  <c r="J1231"/>
  <c r="D16" i="17"/>
  <c r="F22"/>
  <c r="F44"/>
  <c r="F45" s="1"/>
  <c r="F15"/>
  <c r="F16" s="1"/>
  <c r="E22"/>
  <c r="E44"/>
  <c r="E15"/>
  <c r="G15"/>
  <c r="G16" s="1"/>
  <c r="G22"/>
  <c r="G44"/>
  <c r="G45" s="1"/>
  <c r="H15"/>
  <c r="H16" s="1"/>
  <c r="H44"/>
  <c r="H45" s="1"/>
  <c r="H22"/>
  <c r="I44"/>
  <c r="I45" s="1"/>
  <c r="I22"/>
  <c r="I15"/>
  <c r="I16" s="1"/>
  <c r="J44"/>
  <c r="J45" s="1"/>
  <c r="J15"/>
  <c r="J16" s="1"/>
  <c r="J22"/>
  <c r="L14"/>
  <c r="H1225" i="2"/>
  <c r="H1229"/>
  <c r="F10" i="4"/>
  <c r="H817" i="2"/>
  <c r="H821" s="1"/>
  <c r="E9" i="24" s="1"/>
  <c r="P1225" i="2"/>
  <c r="P1227"/>
  <c r="M1231"/>
  <c r="M1278"/>
  <c r="M1228"/>
  <c r="M1268"/>
  <c r="D16" i="20"/>
  <c r="F22"/>
  <c r="F15"/>
  <c r="F16" s="1"/>
  <c r="E15"/>
  <c r="E22"/>
  <c r="G15"/>
  <c r="G16" s="1"/>
  <c r="G22"/>
  <c r="H15"/>
  <c r="H16" s="1"/>
  <c r="H22"/>
  <c r="I15"/>
  <c r="I16" s="1"/>
  <c r="I22"/>
  <c r="J15"/>
  <c r="J16" s="1"/>
  <c r="J22"/>
  <c r="L14"/>
  <c r="E20" i="24" l="1"/>
  <c r="Z849" i="2"/>
  <c r="Y806"/>
  <c r="Y910" s="1"/>
  <c r="S806"/>
  <c r="S840" s="1"/>
  <c r="I44" i="20"/>
  <c r="I45" s="1"/>
  <c r="H44"/>
  <c r="H45" s="1"/>
  <c r="G44"/>
  <c r="G45" s="1"/>
  <c r="Z808" i="2"/>
  <c r="Z873" s="1"/>
  <c r="X808"/>
  <c r="X873" s="1"/>
  <c r="J44" i="20"/>
  <c r="J45" s="1"/>
  <c r="F44"/>
  <c r="F45" s="1"/>
  <c r="E44"/>
  <c r="K44" s="1"/>
  <c r="L44" s="1"/>
  <c r="Z806" i="2"/>
  <c r="Z910" s="1"/>
  <c r="F44" i="16"/>
  <c r="F45" s="1"/>
  <c r="T806" i="2"/>
  <c r="T840" s="1"/>
  <c r="W806"/>
  <c r="W910" s="1"/>
  <c r="I44" i="16"/>
  <c r="I45" s="1"/>
  <c r="P729" i="2"/>
  <c r="P750" s="1"/>
  <c r="B17" i="24" s="1"/>
  <c r="P711" i="2"/>
  <c r="P717" s="1"/>
  <c r="P834"/>
  <c r="C18" i="4"/>
  <c r="K842" i="2"/>
  <c r="K919"/>
  <c r="F38" i="4"/>
  <c r="K884" i="2"/>
  <c r="K15" i="15"/>
  <c r="E16"/>
  <c r="J884" i="2"/>
  <c r="J919"/>
  <c r="F37" i="4"/>
  <c r="J842" i="2"/>
  <c r="O908"/>
  <c r="O837"/>
  <c r="O700"/>
  <c r="T903"/>
  <c r="T928" s="1"/>
  <c r="T969"/>
  <c r="K22" i="21"/>
  <c r="L22" s="1"/>
  <c r="X903" i="2"/>
  <c r="X969"/>
  <c r="X975" s="1"/>
  <c r="E1179"/>
  <c r="F43" i="4"/>
  <c r="P884" i="2"/>
  <c r="P842"/>
  <c r="P919"/>
  <c r="Q803"/>
  <c r="Q766"/>
  <c r="Q802"/>
  <c r="Q694"/>
  <c r="Q698" s="1"/>
  <c r="Q801"/>
  <c r="Q806" s="1"/>
  <c r="Y903"/>
  <c r="Y928" s="1"/>
  <c r="Y969"/>
  <c r="Y975" s="1"/>
  <c r="K22" i="23"/>
  <c r="L22" s="1"/>
  <c r="W889" i="2"/>
  <c r="W891" s="1"/>
  <c r="W877"/>
  <c r="W869"/>
  <c r="U694"/>
  <c r="U698" s="1"/>
  <c r="U802"/>
  <c r="U801"/>
  <c r="U766"/>
  <c r="U803"/>
  <c r="AA1133"/>
  <c r="AB1133" s="1"/>
  <c r="O806"/>
  <c r="H44" i="16"/>
  <c r="H45" s="1"/>
  <c r="G44"/>
  <c r="G45" s="1"/>
  <c r="W903" i="2"/>
  <c r="W928" s="1"/>
  <c r="W969"/>
  <c r="W975" s="1"/>
  <c r="K15" i="21"/>
  <c r="E16"/>
  <c r="K22" i="14"/>
  <c r="L22" s="1"/>
  <c r="K22" i="17"/>
  <c r="L22" s="1"/>
  <c r="T837" i="2"/>
  <c r="T908"/>
  <c r="D23" i="4"/>
  <c r="E23" s="1"/>
  <c r="G23" s="1"/>
  <c r="T700" i="2"/>
  <c r="N919"/>
  <c r="N884"/>
  <c r="N842"/>
  <c r="F41" i="4"/>
  <c r="AA800" i="2"/>
  <c r="AB800" s="1"/>
  <c r="K22" i="15"/>
  <c r="L22" s="1"/>
  <c r="E45" i="14"/>
  <c r="K45" s="1"/>
  <c r="L45" s="1"/>
  <c r="K44"/>
  <c r="L44" s="1"/>
  <c r="R897" i="2"/>
  <c r="R849"/>
  <c r="R864"/>
  <c r="C45" i="4"/>
  <c r="H803" i="2"/>
  <c r="H694"/>
  <c r="H698" s="1"/>
  <c r="H766"/>
  <c r="H801"/>
  <c r="H802"/>
  <c r="K766"/>
  <c r="K802"/>
  <c r="K803"/>
  <c r="K801"/>
  <c r="K694"/>
  <c r="K698" s="1"/>
  <c r="F931"/>
  <c r="R919"/>
  <c r="R842"/>
  <c r="R884"/>
  <c r="F45" i="4"/>
  <c r="AA817" i="2"/>
  <c r="AB817" s="1"/>
  <c r="G821"/>
  <c r="E8" i="24" s="1"/>
  <c r="E24" s="1"/>
  <c r="S851" i="2"/>
  <c r="S857" s="1"/>
  <c r="Z908"/>
  <c r="Z700"/>
  <c r="X877"/>
  <c r="X869"/>
  <c r="X889"/>
  <c r="X891" s="1"/>
  <c r="Q842"/>
  <c r="Q884"/>
  <c r="F44" i="4"/>
  <c r="Q919" i="2"/>
  <c r="K15" i="22"/>
  <c r="E16"/>
  <c r="Z969" i="2"/>
  <c r="Z975" s="1"/>
  <c r="Z903"/>
  <c r="V849"/>
  <c r="V897"/>
  <c r="L801"/>
  <c r="L803"/>
  <c r="L766"/>
  <c r="L694"/>
  <c r="L698" s="1"/>
  <c r="L802"/>
  <c r="W808"/>
  <c r="X810"/>
  <c r="X823" s="1"/>
  <c r="J44" i="16"/>
  <c r="J45" s="1"/>
  <c r="E44"/>
  <c r="E44" i="19"/>
  <c r="L919" i="2"/>
  <c r="L884"/>
  <c r="L842"/>
  <c r="F39" i="4"/>
  <c r="AA1207" i="2"/>
  <c r="AB1207" s="1"/>
  <c r="AB1198"/>
  <c r="S903"/>
  <c r="S928" s="1"/>
  <c r="S969"/>
  <c r="J801"/>
  <c r="J766"/>
  <c r="J802"/>
  <c r="J803"/>
  <c r="J694"/>
  <c r="J698" s="1"/>
  <c r="T1177"/>
  <c r="T1176"/>
  <c r="T1178"/>
  <c r="T1180"/>
  <c r="T1173"/>
  <c r="T1175"/>
  <c r="T1174"/>
  <c r="T1179"/>
  <c r="T1181"/>
  <c r="T808"/>
  <c r="C22" i="24" s="1"/>
  <c r="D22" s="1"/>
  <c r="F22" s="1"/>
  <c r="K15" i="20"/>
  <c r="E16"/>
  <c r="E45" i="17"/>
  <c r="K45" s="1"/>
  <c r="L45" s="1"/>
  <c r="K44"/>
  <c r="L44" s="1"/>
  <c r="U884" i="2"/>
  <c r="F49" i="4"/>
  <c r="U842" i="2"/>
  <c r="U919"/>
  <c r="K22" i="20"/>
  <c r="L22" s="1"/>
  <c r="H919" i="2"/>
  <c r="H884"/>
  <c r="H842"/>
  <c r="F35" i="4"/>
  <c r="K15" i="17"/>
  <c r="E16"/>
  <c r="O969" i="2"/>
  <c r="O903"/>
  <c r="O928" s="1"/>
  <c r="O1036"/>
  <c r="F68" i="4"/>
  <c r="J897" i="2"/>
  <c r="J849"/>
  <c r="C37" i="4"/>
  <c r="J864" i="2"/>
  <c r="M842"/>
  <c r="F40" i="4"/>
  <c r="M919" i="2"/>
  <c r="M884"/>
  <c r="K44" i="15"/>
  <c r="L44" s="1"/>
  <c r="E45"/>
  <c r="K45" s="1"/>
  <c r="L45" s="1"/>
  <c r="W908" i="2"/>
  <c r="W700"/>
  <c r="E45" i="21"/>
  <c r="K45" s="1"/>
  <c r="L45" s="1"/>
  <c r="K44"/>
  <c r="L44" s="1"/>
  <c r="K15" i="14"/>
  <c r="E16"/>
  <c r="H897" i="2"/>
  <c r="C35" i="4"/>
  <c r="H849" i="2"/>
  <c r="H864"/>
  <c r="N897"/>
  <c r="N849"/>
  <c r="N864"/>
  <c r="C41" i="4"/>
  <c r="I884" i="2"/>
  <c r="I842"/>
  <c r="F36" i="4"/>
  <c r="I919" i="2"/>
  <c r="F48" i="4"/>
  <c r="T842" i="2"/>
  <c r="T884"/>
  <c r="T919"/>
  <c r="S1173"/>
  <c r="S1176"/>
  <c r="S1174"/>
  <c r="S1175"/>
  <c r="S1179"/>
  <c r="S1180"/>
  <c r="S1177"/>
  <c r="S1178"/>
  <c r="S1181"/>
  <c r="S808"/>
  <c r="C21" i="24" s="1"/>
  <c r="F1182" i="2"/>
  <c r="F1190" s="1"/>
  <c r="K22" i="16"/>
  <c r="L22" s="1"/>
  <c r="F877" i="2"/>
  <c r="F879" s="1"/>
  <c r="F889"/>
  <c r="F891" s="1"/>
  <c r="F869"/>
  <c r="V889"/>
  <c r="V891" s="1"/>
  <c r="V869"/>
  <c r="V877"/>
  <c r="K15" i="19"/>
  <c r="E16"/>
  <c r="U897" i="2"/>
  <c r="C49" i="4"/>
  <c r="C46" s="1"/>
  <c r="U864" i="2"/>
  <c r="U849"/>
  <c r="K22" i="22"/>
  <c r="L22" s="1"/>
  <c r="S919" i="2"/>
  <c r="S842"/>
  <c r="F47" i="4"/>
  <c r="S884" i="2"/>
  <c r="V802"/>
  <c r="V766"/>
  <c r="V803"/>
  <c r="V801"/>
  <c r="V694"/>
  <c r="V698" s="1"/>
  <c r="L864"/>
  <c r="L849"/>
  <c r="L897"/>
  <c r="C39" i="4"/>
  <c r="O808" i="2"/>
  <c r="C16" i="24" s="1"/>
  <c r="D16" s="1"/>
  <c r="F16" s="1"/>
  <c r="Y808" i="2"/>
  <c r="X806"/>
  <c r="H44" i="23"/>
  <c r="H45" s="1"/>
  <c r="G44"/>
  <c r="G45" s="1"/>
  <c r="E44"/>
  <c r="G44" i="19"/>
  <c r="G45" s="1"/>
  <c r="Y908" i="2"/>
  <c r="Y700"/>
  <c r="R766"/>
  <c r="R802"/>
  <c r="R801"/>
  <c r="R694"/>
  <c r="R698" s="1"/>
  <c r="R803"/>
  <c r="K897"/>
  <c r="K849"/>
  <c r="K864"/>
  <c r="C38" i="4"/>
  <c r="N801" i="2"/>
  <c r="N766"/>
  <c r="N803"/>
  <c r="N802"/>
  <c r="N694"/>
  <c r="N698" s="1"/>
  <c r="C44" i="4"/>
  <c r="Q897" i="2"/>
  <c r="Q849"/>
  <c r="Q864"/>
  <c r="F1036"/>
  <c r="F1038" s="1"/>
  <c r="F993"/>
  <c r="I729"/>
  <c r="I750" s="1"/>
  <c r="B10" i="24" s="1"/>
  <c r="I834" i="2"/>
  <c r="I711"/>
  <c r="I717" s="1"/>
  <c r="C11" i="4"/>
  <c r="D22"/>
  <c r="S837" i="2"/>
  <c r="S908"/>
  <c r="S700"/>
  <c r="X908"/>
  <c r="X700"/>
  <c r="G834"/>
  <c r="G729"/>
  <c r="AA682"/>
  <c r="AB682" s="1"/>
  <c r="C9" i="4"/>
  <c r="G711" i="2"/>
  <c r="K15" i="23"/>
  <c r="E16"/>
  <c r="K15" i="16"/>
  <c r="E16"/>
  <c r="Z869" i="2"/>
  <c r="Z877"/>
  <c r="Z889"/>
  <c r="Z891" s="1"/>
  <c r="Y869"/>
  <c r="Y889"/>
  <c r="Y891" s="1"/>
  <c r="Y877"/>
  <c r="K22" i="19"/>
  <c r="L22" s="1"/>
  <c r="E45" i="22"/>
  <c r="K45" s="1"/>
  <c r="L45" s="1"/>
  <c r="K44"/>
  <c r="L44" s="1"/>
  <c r="M711" i="2"/>
  <c r="M717" s="1"/>
  <c r="C15" i="4"/>
  <c r="M834" i="2"/>
  <c r="M729"/>
  <c r="M750" s="1"/>
  <c r="B14" i="24" s="1"/>
  <c r="X879" i="2"/>
  <c r="J44" i="23"/>
  <c r="J45" s="1"/>
  <c r="I44"/>
  <c r="I45" s="1"/>
  <c r="F44"/>
  <c r="F45" s="1"/>
  <c r="J44" i="19"/>
  <c r="J45" s="1"/>
  <c r="I44"/>
  <c r="I45" s="1"/>
  <c r="H44"/>
  <c r="H45" s="1"/>
  <c r="F44"/>
  <c r="F45" s="1"/>
  <c r="F21" i="4"/>
  <c r="F25" s="1"/>
  <c r="D21" i="24" l="1"/>
  <c r="Z851" i="2"/>
  <c r="Z857" s="1"/>
  <c r="Y851"/>
  <c r="Y857" s="1"/>
  <c r="Z879"/>
  <c r="X882"/>
  <c r="X886" s="1"/>
  <c r="W851"/>
  <c r="W857" s="1"/>
  <c r="S910"/>
  <c r="E45" i="20"/>
  <c r="K45" s="1"/>
  <c r="L45" s="1"/>
  <c r="Z810" i="2"/>
  <c r="Z823" s="1"/>
  <c r="T851"/>
  <c r="T857" s="1"/>
  <c r="U806"/>
  <c r="U910" s="1"/>
  <c r="T910"/>
  <c r="T941" s="1"/>
  <c r="D37" i="15"/>
  <c r="E37" s="1"/>
  <c r="J806" i="2"/>
  <c r="D39" i="17" s="1"/>
  <c r="D37" i="22"/>
  <c r="F37" s="1"/>
  <c r="F39" s="1"/>
  <c r="Z882" i="2"/>
  <c r="Z886" s="1"/>
  <c r="F46" i="4"/>
  <c r="D37" i="19"/>
  <c r="H37" s="1"/>
  <c r="H39" s="1"/>
  <c r="D16" i="4"/>
  <c r="E16" s="1"/>
  <c r="G16" s="1"/>
  <c r="N908" i="2"/>
  <c r="N837"/>
  <c r="N700"/>
  <c r="L15" i="19"/>
  <c r="K16"/>
  <c r="L16" s="1"/>
  <c r="J903" i="2"/>
  <c r="J928" s="1"/>
  <c r="J969"/>
  <c r="O1014"/>
  <c r="O1020" s="1"/>
  <c r="O975"/>
  <c r="L15" i="20"/>
  <c r="K16"/>
  <c r="L16" s="1"/>
  <c r="S975" i="2"/>
  <c r="S1014"/>
  <c r="S1020" s="1"/>
  <c r="K44" i="19"/>
  <c r="L44" s="1"/>
  <c r="E45"/>
  <c r="K45" s="1"/>
  <c r="L45" s="1"/>
  <c r="Z928" i="2"/>
  <c r="Q950"/>
  <c r="Q991"/>
  <c r="Q1036" s="1"/>
  <c r="Z939"/>
  <c r="Z980"/>
  <c r="Z914"/>
  <c r="Z917" s="1"/>
  <c r="G919"/>
  <c r="G842"/>
  <c r="F842" s="1"/>
  <c r="AA821"/>
  <c r="AB821" s="1"/>
  <c r="G884"/>
  <c r="AA884" s="1"/>
  <c r="AB884" s="1"/>
  <c r="F34" i="4"/>
  <c r="K908" i="2"/>
  <c r="K837"/>
  <c r="D13" i="4"/>
  <c r="E13" s="1"/>
  <c r="G13" s="1"/>
  <c r="K700" i="2"/>
  <c r="D26" i="22"/>
  <c r="K1177" i="2"/>
  <c r="K1178"/>
  <c r="K1174"/>
  <c r="K1175"/>
  <c r="K1173"/>
  <c r="K1176"/>
  <c r="K1179"/>
  <c r="K1180"/>
  <c r="K1181"/>
  <c r="K808"/>
  <c r="C12" i="24" s="1"/>
  <c r="D12" s="1"/>
  <c r="F12" s="1"/>
  <c r="H908" i="2"/>
  <c r="H837"/>
  <c r="D10" i="4"/>
  <c r="E10" s="1"/>
  <c r="G10" s="1"/>
  <c r="H700" i="2"/>
  <c r="T980"/>
  <c r="T939"/>
  <c r="U840"/>
  <c r="D24" i="4"/>
  <c r="E24" s="1"/>
  <c r="G24" s="1"/>
  <c r="U908" i="2"/>
  <c r="U837"/>
  <c r="U700"/>
  <c r="Q840"/>
  <c r="Q910"/>
  <c r="Q851"/>
  <c r="Q857" s="1"/>
  <c r="X928"/>
  <c r="K991"/>
  <c r="K1036" s="1"/>
  <c r="K950"/>
  <c r="P864"/>
  <c r="P897"/>
  <c r="C43" i="4"/>
  <c r="P849" i="2"/>
  <c r="Z941"/>
  <c r="Z982"/>
  <c r="Z1027" s="1"/>
  <c r="L806"/>
  <c r="G750"/>
  <c r="B8" i="24" s="1"/>
  <c r="AA729" i="2"/>
  <c r="AB729" s="1"/>
  <c r="I864"/>
  <c r="I897"/>
  <c r="I849"/>
  <c r="C36" i="4"/>
  <c r="D26" i="21"/>
  <c r="N1174" i="2"/>
  <c r="N1178"/>
  <c r="N1179"/>
  <c r="N1180"/>
  <c r="N1177"/>
  <c r="N1175"/>
  <c r="N1173"/>
  <c r="N1182" s="1"/>
  <c r="N1176"/>
  <c r="N1181"/>
  <c r="N808"/>
  <c r="C15" i="24" s="1"/>
  <c r="D15" s="1"/>
  <c r="F15" s="1"/>
  <c r="R908" i="2"/>
  <c r="R837"/>
  <c r="D20" i="4"/>
  <c r="E20" s="1"/>
  <c r="G20" s="1"/>
  <c r="R700" i="2"/>
  <c r="V908"/>
  <c r="V700"/>
  <c r="S950"/>
  <c r="S991"/>
  <c r="S1036" s="1"/>
  <c r="D47" i="4"/>
  <c r="S873" i="2"/>
  <c r="S810"/>
  <c r="H969"/>
  <c r="H903"/>
  <c r="D12" i="4"/>
  <c r="E12" s="1"/>
  <c r="G12" s="1"/>
  <c r="J908" i="2"/>
  <c r="J837"/>
  <c r="J700"/>
  <c r="L991"/>
  <c r="L1036" s="1"/>
  <c r="L950"/>
  <c r="W873"/>
  <c r="W879" s="1"/>
  <c r="W882" s="1"/>
  <c r="W886" s="1"/>
  <c r="W810"/>
  <c r="W823" s="1"/>
  <c r="L15" i="22"/>
  <c r="K16"/>
  <c r="L16" s="1"/>
  <c r="F943" i="2"/>
  <c r="F945" s="1"/>
  <c r="F934"/>
  <c r="F935" s="1"/>
  <c r="F962"/>
  <c r="W962" s="1"/>
  <c r="F958"/>
  <c r="D26" i="15"/>
  <c r="H1174" i="2"/>
  <c r="H1178"/>
  <c r="H1179"/>
  <c r="H1180"/>
  <c r="H1177"/>
  <c r="H1176"/>
  <c r="H1173"/>
  <c r="H1175"/>
  <c r="H1181"/>
  <c r="H808"/>
  <c r="C9" i="24" s="1"/>
  <c r="D9" s="1"/>
  <c r="F9" s="1"/>
  <c r="Q1174" i="2"/>
  <c r="Q1176"/>
  <c r="Q1179"/>
  <c r="Q1180"/>
  <c r="Q1177"/>
  <c r="Q1178"/>
  <c r="Q1173"/>
  <c r="Q1175"/>
  <c r="Q1181"/>
  <c r="Q808"/>
  <c r="C18" i="24" s="1"/>
  <c r="D18" s="1"/>
  <c r="F18" s="1"/>
  <c r="T1014" i="2"/>
  <c r="T1020" s="1"/>
  <c r="T975"/>
  <c r="O939"/>
  <c r="O980"/>
  <c r="P803"/>
  <c r="P802"/>
  <c r="P801"/>
  <c r="P766"/>
  <c r="P694"/>
  <c r="P698" s="1"/>
  <c r="T1182"/>
  <c r="T1186" s="1"/>
  <c r="T1212" s="1"/>
  <c r="T1247" s="1"/>
  <c r="D37" i="17"/>
  <c r="Y914" i="2"/>
  <c r="Y917" s="1"/>
  <c r="Y939"/>
  <c r="Y980"/>
  <c r="O873"/>
  <c r="D42" i="4"/>
  <c r="E42" s="1"/>
  <c r="G42" s="1"/>
  <c r="O810" i="2"/>
  <c r="O815" s="1"/>
  <c r="O867" s="1"/>
  <c r="E22" i="4"/>
  <c r="I803" i="2"/>
  <c r="I766"/>
  <c r="I694"/>
  <c r="I698" s="1"/>
  <c r="I801"/>
  <c r="I802"/>
  <c r="R1177"/>
  <c r="R1176"/>
  <c r="R1174"/>
  <c r="R1180"/>
  <c r="R1173"/>
  <c r="R1175"/>
  <c r="R1178"/>
  <c r="R1179"/>
  <c r="R1181"/>
  <c r="R808"/>
  <c r="C19" i="24" s="1"/>
  <c r="D19" s="1"/>
  <c r="F19" s="1"/>
  <c r="W982" i="2"/>
  <c r="W1027" s="1"/>
  <c r="W941"/>
  <c r="Y873"/>
  <c r="Y879" s="1"/>
  <c r="Y882" s="1"/>
  <c r="Y886" s="1"/>
  <c r="Y810"/>
  <c r="Y823" s="1"/>
  <c r="U969"/>
  <c r="U903"/>
  <c r="U928" s="1"/>
  <c r="F1188"/>
  <c r="F1195"/>
  <c r="F1189"/>
  <c r="F1185"/>
  <c r="F1186"/>
  <c r="F1187"/>
  <c r="F1193"/>
  <c r="T950"/>
  <c r="T991"/>
  <c r="T1036" s="1"/>
  <c r="I991"/>
  <c r="I1036" s="1"/>
  <c r="I950"/>
  <c r="N969"/>
  <c r="N903"/>
  <c r="N928" s="1"/>
  <c r="L15" i="17"/>
  <c r="K16"/>
  <c r="L16" s="1"/>
  <c r="H991" i="2"/>
  <c r="H1036" s="1"/>
  <c r="H950"/>
  <c r="D26" i="17"/>
  <c r="J1177" i="2"/>
  <c r="J1176"/>
  <c r="J1173"/>
  <c r="J1178"/>
  <c r="J1174"/>
  <c r="J1175"/>
  <c r="J1179"/>
  <c r="J1180"/>
  <c r="J1181"/>
  <c r="J808"/>
  <c r="C11" i="24" s="1"/>
  <c r="D11" s="1"/>
  <c r="F11" s="1"/>
  <c r="D26" i="19"/>
  <c r="L1173" i="2"/>
  <c r="L1175"/>
  <c r="L1174"/>
  <c r="L1178"/>
  <c r="L1179"/>
  <c r="L1180"/>
  <c r="L1177"/>
  <c r="L1176"/>
  <c r="L1181"/>
  <c r="L808"/>
  <c r="C13" i="24" s="1"/>
  <c r="D13" s="1"/>
  <c r="F13" s="1"/>
  <c r="V903" i="2"/>
  <c r="V928" s="1"/>
  <c r="V969"/>
  <c r="V975" s="1"/>
  <c r="S982"/>
  <c r="S1027" s="1"/>
  <c r="S941"/>
  <c r="R969"/>
  <c r="R903"/>
  <c r="J991"/>
  <c r="J1036" s="1"/>
  <c r="J950"/>
  <c r="Y941"/>
  <c r="Y982"/>
  <c r="Y1027" s="1"/>
  <c r="R806"/>
  <c r="V808"/>
  <c r="F882"/>
  <c r="F886" s="1"/>
  <c r="K806"/>
  <c r="F1192"/>
  <c r="N806"/>
  <c r="D37" i="21"/>
  <c r="X910" i="2"/>
  <c r="X914" s="1"/>
  <c r="X917" s="1"/>
  <c r="X851"/>
  <c r="X857" s="1"/>
  <c r="L969"/>
  <c r="L903"/>
  <c r="L15" i="23"/>
  <c r="K16"/>
  <c r="L16" s="1"/>
  <c r="X980" i="2"/>
  <c r="X939"/>
  <c r="M897"/>
  <c r="C40" i="4"/>
  <c r="M849" i="2"/>
  <c r="M864"/>
  <c r="C25" i="4"/>
  <c r="Q969" i="2"/>
  <c r="Q903"/>
  <c r="Q928" s="1"/>
  <c r="M802"/>
  <c r="M801"/>
  <c r="M766"/>
  <c r="M694"/>
  <c r="M698" s="1"/>
  <c r="M803"/>
  <c r="L15" i="16"/>
  <c r="K16"/>
  <c r="L16" s="1"/>
  <c r="AA711" i="2"/>
  <c r="AB711" s="1"/>
  <c r="G717"/>
  <c r="S914"/>
  <c r="S917" s="1"/>
  <c r="S921" s="1"/>
  <c r="S939"/>
  <c r="S980"/>
  <c r="F999"/>
  <c r="F1000"/>
  <c r="K969"/>
  <c r="K903"/>
  <c r="E45" i="23"/>
  <c r="K45" s="1"/>
  <c r="L45" s="1"/>
  <c r="K44"/>
  <c r="L44" s="1"/>
  <c r="L15" i="14"/>
  <c r="K16"/>
  <c r="L16" s="1"/>
  <c r="W980" i="2"/>
  <c r="W914"/>
  <c r="W917" s="1"/>
  <c r="W939"/>
  <c r="M950"/>
  <c r="M991"/>
  <c r="M1036" s="1"/>
  <c r="U991"/>
  <c r="U1036" s="1"/>
  <c r="U950"/>
  <c r="T873"/>
  <c r="D48" i="4"/>
  <c r="E48" s="1"/>
  <c r="G48" s="1"/>
  <c r="T810" i="2"/>
  <c r="E45" i="16"/>
  <c r="K45" s="1"/>
  <c r="L45" s="1"/>
  <c r="K44"/>
  <c r="L44" s="1"/>
  <c r="D14" i="4"/>
  <c r="E14" s="1"/>
  <c r="G14" s="1"/>
  <c r="L908" i="2"/>
  <c r="L837"/>
  <c r="L700"/>
  <c r="R950"/>
  <c r="R991"/>
  <c r="R1036" s="1"/>
  <c r="G37" i="22"/>
  <c r="G39" s="1"/>
  <c r="H37"/>
  <c r="H39" s="1"/>
  <c r="J37"/>
  <c r="J39" s="1"/>
  <c r="N950" i="2"/>
  <c r="N991"/>
  <c r="N1036" s="1"/>
  <c r="L15" i="21"/>
  <c r="K16"/>
  <c r="L16" s="1"/>
  <c r="O910" i="2"/>
  <c r="O840"/>
  <c r="O851"/>
  <c r="O857" s="1"/>
  <c r="U1173"/>
  <c r="U1178"/>
  <c r="U1180"/>
  <c r="U1176"/>
  <c r="U1174"/>
  <c r="U1175"/>
  <c r="U1179"/>
  <c r="U1177"/>
  <c r="U1181"/>
  <c r="U808"/>
  <c r="C23" i="24" s="1"/>
  <c r="D23" s="1"/>
  <c r="F23" s="1"/>
  <c r="D19" i="4"/>
  <c r="E19" s="1"/>
  <c r="G19" s="1"/>
  <c r="Q837" i="2"/>
  <c r="Q908"/>
  <c r="Q700"/>
  <c r="P991"/>
  <c r="P1036" s="1"/>
  <c r="P950"/>
  <c r="L15" i="15"/>
  <c r="K16"/>
  <c r="L16" s="1"/>
  <c r="F834" i="2"/>
  <c r="V806"/>
  <c r="S1182"/>
  <c r="S1189" s="1"/>
  <c r="S1215" s="1"/>
  <c r="S1267" s="1"/>
  <c r="H806"/>
  <c r="F1191"/>
  <c r="E1191" s="1"/>
  <c r="B24" i="24" l="1"/>
  <c r="D20"/>
  <c r="F20" s="1"/>
  <c r="F21"/>
  <c r="C20"/>
  <c r="F63" i="4"/>
  <c r="F61"/>
  <c r="F62"/>
  <c r="F64"/>
  <c r="F69"/>
  <c r="F67"/>
  <c r="F66"/>
  <c r="F71"/>
  <c r="F75"/>
  <c r="F74"/>
  <c r="F65"/>
  <c r="F73"/>
  <c r="F70"/>
  <c r="I37" i="15"/>
  <c r="I39" s="1"/>
  <c r="J37"/>
  <c r="J39" s="1"/>
  <c r="F50" i="4"/>
  <c r="J851" i="2"/>
  <c r="J857" s="1"/>
  <c r="J840"/>
  <c r="J910"/>
  <c r="H37" i="15"/>
  <c r="H39" s="1"/>
  <c r="G37"/>
  <c r="G39" s="1"/>
  <c r="T982" i="2"/>
  <c r="T1027" s="1"/>
  <c r="N1186"/>
  <c r="N1212" s="1"/>
  <c r="N1247" s="1"/>
  <c r="N1249" s="1"/>
  <c r="T914"/>
  <c r="T917" s="1"/>
  <c r="F37" i="15"/>
  <c r="F39" s="1"/>
  <c r="U851" i="2"/>
  <c r="U857" s="1"/>
  <c r="D21" i="4"/>
  <c r="E37" i="22"/>
  <c r="E39" s="1"/>
  <c r="J37" i="19"/>
  <c r="J39" s="1"/>
  <c r="I37" i="22"/>
  <c r="I39" s="1"/>
  <c r="P806" i="2"/>
  <c r="P910" s="1"/>
  <c r="E37" i="19"/>
  <c r="E39" s="1"/>
  <c r="I37"/>
  <c r="I39" s="1"/>
  <c r="G37"/>
  <c r="G39" s="1"/>
  <c r="F37"/>
  <c r="F39" s="1"/>
  <c r="D37" i="23"/>
  <c r="J37" s="1"/>
  <c r="J39" s="1"/>
  <c r="X921" i="2"/>
  <c r="X931"/>
  <c r="X934" s="1"/>
  <c r="Z921"/>
  <c r="Z931"/>
  <c r="Z934" s="1"/>
  <c r="M806"/>
  <c r="D37" i="20"/>
  <c r="L928" i="2"/>
  <c r="F37" i="21"/>
  <c r="F39" s="1"/>
  <c r="H37"/>
  <c r="E37"/>
  <c r="J37"/>
  <c r="J39" s="1"/>
  <c r="I37"/>
  <c r="G37"/>
  <c r="G39" s="1"/>
  <c r="V873" i="2"/>
  <c r="V879" s="1"/>
  <c r="V882" s="1"/>
  <c r="V886" s="1"/>
  <c r="V810"/>
  <c r="V823" s="1"/>
  <c r="R1014"/>
  <c r="R1020" s="1"/>
  <c r="R975"/>
  <c r="D37" i="4"/>
  <c r="E37" s="1"/>
  <c r="G37" s="1"/>
  <c r="J873" i="2"/>
  <c r="J810"/>
  <c r="N975"/>
  <c r="N1014"/>
  <c r="N1020" s="1"/>
  <c r="F1194"/>
  <c r="Y921"/>
  <c r="Y931"/>
  <c r="O1025"/>
  <c r="D44" i="4"/>
  <c r="E44" s="1"/>
  <c r="G44" s="1"/>
  <c r="Q873" i="2"/>
  <c r="Q810"/>
  <c r="H975"/>
  <c r="H1014"/>
  <c r="H1020" s="1"/>
  <c r="D41" i="4"/>
  <c r="E41" s="1"/>
  <c r="G41" s="1"/>
  <c r="N873" i="2"/>
  <c r="N810"/>
  <c r="N815" s="1"/>
  <c r="N867" s="1"/>
  <c r="L910"/>
  <c r="L914" s="1"/>
  <c r="L917" s="1"/>
  <c r="L840"/>
  <c r="D39" i="19"/>
  <c r="L851" i="2"/>
  <c r="L857" s="1"/>
  <c r="P969"/>
  <c r="P903"/>
  <c r="D38" i="4"/>
  <c r="E38" s="1"/>
  <c r="G38" s="1"/>
  <c r="K873" i="2"/>
  <c r="K810"/>
  <c r="J1182"/>
  <c r="J1192" s="1"/>
  <c r="J1218" s="1"/>
  <c r="J1277" s="1"/>
  <c r="R1182"/>
  <c r="R1186" s="1"/>
  <c r="R1212" s="1"/>
  <c r="R1247" s="1"/>
  <c r="I806"/>
  <c r="S931"/>
  <c r="Q1182"/>
  <c r="Q1192" s="1"/>
  <c r="Q1218" s="1"/>
  <c r="Q1277" s="1"/>
  <c r="F72" i="4"/>
  <c r="N1187" i="2"/>
  <c r="N1213" s="1"/>
  <c r="N1252" s="1"/>
  <c r="N1254" s="1"/>
  <c r="N1189"/>
  <c r="N1215" s="1"/>
  <c r="N1267" s="1"/>
  <c r="N1269" s="1"/>
  <c r="S1193"/>
  <c r="S1186"/>
  <c r="S1212" s="1"/>
  <c r="S1247" s="1"/>
  <c r="S1187"/>
  <c r="S1213" s="1"/>
  <c r="S1252" s="1"/>
  <c r="S1185"/>
  <c r="S1190"/>
  <c r="S1216" s="1"/>
  <c r="S1272" s="1"/>
  <c r="Q939"/>
  <c r="Q980"/>
  <c r="Q914"/>
  <c r="Q917" s="1"/>
  <c r="K928"/>
  <c r="S986"/>
  <c r="S1025"/>
  <c r="S1031" s="1"/>
  <c r="H910"/>
  <c r="H914" s="1"/>
  <c r="H917" s="1"/>
  <c r="H840"/>
  <c r="D39" i="15"/>
  <c r="H851" i="2"/>
  <c r="H857" s="1"/>
  <c r="D49" i="4"/>
  <c r="E49" s="1"/>
  <c r="G49" s="1"/>
  <c r="U873" i="2"/>
  <c r="U810"/>
  <c r="O941"/>
  <c r="O982"/>
  <c r="O1027" s="1"/>
  <c r="W1025"/>
  <c r="W1031" s="1"/>
  <c r="W1034" s="1"/>
  <c r="W1038" s="1"/>
  <c r="W986"/>
  <c r="W989" s="1"/>
  <c r="W993" s="1"/>
  <c r="AA717"/>
  <c r="AB717" s="1"/>
  <c r="G766"/>
  <c r="G803"/>
  <c r="AA803" s="1"/>
  <c r="AB803" s="1"/>
  <c r="G802"/>
  <c r="AA802" s="1"/>
  <c r="AB802" s="1"/>
  <c r="G694"/>
  <c r="G801"/>
  <c r="L939"/>
  <c r="L980"/>
  <c r="AE823"/>
  <c r="T823"/>
  <c r="T815"/>
  <c r="T867" s="1"/>
  <c r="H22" i="24" s="1"/>
  <c r="W921" i="2"/>
  <c r="W931"/>
  <c r="S1283"/>
  <c r="S1273"/>
  <c r="S1258"/>
  <c r="S1278"/>
  <c r="S1248"/>
  <c r="S1249" s="1"/>
  <c r="S1263"/>
  <c r="S1243"/>
  <c r="S1268"/>
  <c r="S1269" s="1"/>
  <c r="S1253"/>
  <c r="V910"/>
  <c r="V914" s="1"/>
  <c r="V917" s="1"/>
  <c r="V851"/>
  <c r="V857" s="1"/>
  <c r="K1014"/>
  <c r="K1020" s="1"/>
  <c r="K975"/>
  <c r="D26" i="20"/>
  <c r="M1174" i="2"/>
  <c r="M1178"/>
  <c r="M1179"/>
  <c r="M1180"/>
  <c r="M1177"/>
  <c r="M1176"/>
  <c r="M1173"/>
  <c r="M1182" s="1"/>
  <c r="M1175"/>
  <c r="M1181"/>
  <c r="M808"/>
  <c r="C14" i="24" s="1"/>
  <c r="D14" s="1"/>
  <c r="F14" s="1"/>
  <c r="Q1014" i="2"/>
  <c r="Q1020" s="1"/>
  <c r="Q975"/>
  <c r="X941"/>
  <c r="X982"/>
  <c r="X1027" s="1"/>
  <c r="D39" i="22"/>
  <c r="K840" i="2"/>
  <c r="K910"/>
  <c r="K914" s="1"/>
  <c r="K917" s="1"/>
  <c r="K851"/>
  <c r="K857" s="1"/>
  <c r="R1190"/>
  <c r="R1216" s="1"/>
  <c r="R1272" s="1"/>
  <c r="R928"/>
  <c r="D26" i="16"/>
  <c r="I1177" i="2"/>
  <c r="I1176"/>
  <c r="I1173"/>
  <c r="I1178"/>
  <c r="I1174"/>
  <c r="I1175"/>
  <c r="I1179"/>
  <c r="I1180"/>
  <c r="I1181"/>
  <c r="I808"/>
  <c r="C10" i="24" s="1"/>
  <c r="D10" s="1"/>
  <c r="F10" s="1"/>
  <c r="O889" i="2"/>
  <c r="O891" s="1"/>
  <c r="O877"/>
  <c r="O879" s="1"/>
  <c r="O869"/>
  <c r="T1188"/>
  <c r="T1214" s="1"/>
  <c r="T1262" s="1"/>
  <c r="T1185"/>
  <c r="T1193"/>
  <c r="T1219" s="1"/>
  <c r="T1282" s="1"/>
  <c r="T1189"/>
  <c r="T1215" s="1"/>
  <c r="T1267" s="1"/>
  <c r="D26" i="23"/>
  <c r="P1179" i="2"/>
  <c r="P1180"/>
  <c r="P1177"/>
  <c r="P1175"/>
  <c r="P1173"/>
  <c r="P1176"/>
  <c r="P1174"/>
  <c r="P1178"/>
  <c r="P1181"/>
  <c r="P808"/>
  <c r="C17" i="24" s="1"/>
  <c r="D17" s="1"/>
  <c r="F17" s="1"/>
  <c r="C74" i="4"/>
  <c r="F956" i="2"/>
  <c r="F948"/>
  <c r="F952" s="1"/>
  <c r="H928"/>
  <c r="E47" i="4"/>
  <c r="V980" i="2"/>
  <c r="V939"/>
  <c r="R980"/>
  <c r="R939"/>
  <c r="I969"/>
  <c r="I903"/>
  <c r="I928" s="1"/>
  <c r="Q941"/>
  <c r="Q982"/>
  <c r="Q1027" s="1"/>
  <c r="U939"/>
  <c r="U980"/>
  <c r="U914"/>
  <c r="U917" s="1"/>
  <c r="U982"/>
  <c r="U1027" s="1"/>
  <c r="U941"/>
  <c r="T1025"/>
  <c r="T1031" s="1"/>
  <c r="T986"/>
  <c r="T989" s="1"/>
  <c r="T993" s="1"/>
  <c r="T1000" s="1"/>
  <c r="T1001" s="1"/>
  <c r="H980"/>
  <c r="H939"/>
  <c r="G950"/>
  <c r="AA950" s="1"/>
  <c r="AB950" s="1"/>
  <c r="G991"/>
  <c r="AA919"/>
  <c r="AB919" s="1"/>
  <c r="J975"/>
  <c r="J1014"/>
  <c r="J1020" s="1"/>
  <c r="U1182"/>
  <c r="U1187" s="1"/>
  <c r="U1213" s="1"/>
  <c r="U1252" s="1"/>
  <c r="L1182"/>
  <c r="L1187" s="1"/>
  <c r="L1213" s="1"/>
  <c r="L1252" s="1"/>
  <c r="R1193"/>
  <c r="R1219" s="1"/>
  <c r="R1282" s="1"/>
  <c r="R1187"/>
  <c r="R1213" s="1"/>
  <c r="R1252" s="1"/>
  <c r="O914"/>
  <c r="O917" s="1"/>
  <c r="O931" s="1"/>
  <c r="N1192"/>
  <c r="N1218" s="1"/>
  <c r="N1277" s="1"/>
  <c r="N1279" s="1"/>
  <c r="N1191"/>
  <c r="N1217" s="1"/>
  <c r="N1257" s="1"/>
  <c r="N1259" s="1"/>
  <c r="T1190"/>
  <c r="T1216" s="1"/>
  <c r="T1272" s="1"/>
  <c r="T1192"/>
  <c r="T1218" s="1"/>
  <c r="T1277" s="1"/>
  <c r="M908"/>
  <c r="M837"/>
  <c r="D15" i="4"/>
  <c r="E15" s="1"/>
  <c r="G15" s="1"/>
  <c r="M700" i="2"/>
  <c r="M903"/>
  <c r="M928" s="1"/>
  <c r="M969"/>
  <c r="R910"/>
  <c r="R914" s="1"/>
  <c r="R917" s="1"/>
  <c r="R840"/>
  <c r="R851"/>
  <c r="R857" s="1"/>
  <c r="D45" i="4"/>
  <c r="E45" s="1"/>
  <c r="G45" s="1"/>
  <c r="R873" i="2"/>
  <c r="R810"/>
  <c r="I908"/>
  <c r="D11" i="4"/>
  <c r="E11" s="1"/>
  <c r="G11" s="1"/>
  <c r="I837" i="2"/>
  <c r="I700"/>
  <c r="Y1025"/>
  <c r="Y1031" s="1"/>
  <c r="Y1034" s="1"/>
  <c r="Y1038" s="1"/>
  <c r="Y986"/>
  <c r="Y989" s="1"/>
  <c r="Y993" s="1"/>
  <c r="E37" i="17"/>
  <c r="F37"/>
  <c r="F39" s="1"/>
  <c r="G37"/>
  <c r="G39" s="1"/>
  <c r="H37"/>
  <c r="H39" s="1"/>
  <c r="I37"/>
  <c r="I39" s="1"/>
  <c r="J37"/>
  <c r="J39" s="1"/>
  <c r="P908" i="2"/>
  <c r="D18" i="4"/>
  <c r="E18" s="1"/>
  <c r="G18" s="1"/>
  <c r="P837" i="2"/>
  <c r="P700"/>
  <c r="D39" i="23"/>
  <c r="P851" i="2"/>
  <c r="P857" s="1"/>
  <c r="H873"/>
  <c r="D35" i="4"/>
  <c r="E35" s="1"/>
  <c r="G35" s="1"/>
  <c r="H810" i="2"/>
  <c r="G897"/>
  <c r="AA750"/>
  <c r="G849"/>
  <c r="C34" i="4"/>
  <c r="G864" i="2"/>
  <c r="K980"/>
  <c r="K939"/>
  <c r="J982"/>
  <c r="J1027" s="1"/>
  <c r="J941"/>
  <c r="S1192"/>
  <c r="S1218" s="1"/>
  <c r="S1277" s="1"/>
  <c r="F1196"/>
  <c r="R1188"/>
  <c r="R1214" s="1"/>
  <c r="R1262" s="1"/>
  <c r="R1185"/>
  <c r="H1182"/>
  <c r="H1190" s="1"/>
  <c r="H1216" s="1"/>
  <c r="H1272" s="1"/>
  <c r="N1193"/>
  <c r="N1219" s="1"/>
  <c r="N1282" s="1"/>
  <c r="N1284" s="1"/>
  <c r="N1188"/>
  <c r="N1214" s="1"/>
  <c r="N1262" s="1"/>
  <c r="N1264" s="1"/>
  <c r="S989"/>
  <c r="S993" s="1"/>
  <c r="T1187"/>
  <c r="T1213" s="1"/>
  <c r="T1252" s="1"/>
  <c r="T1191"/>
  <c r="T1217" s="1"/>
  <c r="T1257" s="1"/>
  <c r="X1025"/>
  <c r="L1014"/>
  <c r="L1020" s="1"/>
  <c r="L975"/>
  <c r="N840"/>
  <c r="N910"/>
  <c r="N914" s="1"/>
  <c r="N917" s="1"/>
  <c r="N931" s="1"/>
  <c r="N934" s="1"/>
  <c r="N935" s="1"/>
  <c r="D39" i="21"/>
  <c r="N851" i="2"/>
  <c r="N857" s="1"/>
  <c r="L873"/>
  <c r="D39" i="4"/>
  <c r="E39" s="1"/>
  <c r="G39" s="1"/>
  <c r="L810" i="2"/>
  <c r="U1014"/>
  <c r="U1020" s="1"/>
  <c r="U975"/>
  <c r="E21" i="4"/>
  <c r="G21" s="1"/>
  <c r="G22"/>
  <c r="J980" i="2"/>
  <c r="J939"/>
  <c r="J914"/>
  <c r="J917" s="1"/>
  <c r="S815"/>
  <c r="S867" s="1"/>
  <c r="H21" i="24" s="1"/>
  <c r="S823" i="2"/>
  <c r="S825"/>
  <c r="Z986"/>
  <c r="Z989" s="1"/>
  <c r="Z993" s="1"/>
  <c r="Z1025"/>
  <c r="Z1031" s="1"/>
  <c r="Z1034" s="1"/>
  <c r="Z1038" s="1"/>
  <c r="C73" i="4"/>
  <c r="S1034" i="2"/>
  <c r="C68" i="4"/>
  <c r="N939" i="2"/>
  <c r="N980"/>
  <c r="K37" i="15"/>
  <c r="L37" s="1"/>
  <c r="E39"/>
  <c r="K39" s="1"/>
  <c r="L39" s="1"/>
  <c r="S1191" i="2"/>
  <c r="S1217" s="1"/>
  <c r="S1257" s="1"/>
  <c r="R1192"/>
  <c r="R1218" s="1"/>
  <c r="R1277" s="1"/>
  <c r="R1189"/>
  <c r="R1215" s="1"/>
  <c r="R1267" s="1"/>
  <c r="D37" i="16"/>
  <c r="F960" i="2"/>
  <c r="N1190"/>
  <c r="N1216" s="1"/>
  <c r="N1272" s="1"/>
  <c r="N1274" s="1"/>
  <c r="N1185"/>
  <c r="K1182"/>
  <c r="K1193" s="1"/>
  <c r="K1219" s="1"/>
  <c r="K1282" s="1"/>
  <c r="S1188"/>
  <c r="S1214" s="1"/>
  <c r="S1262" s="1"/>
  <c r="D74" i="4" l="1"/>
  <c r="D73"/>
  <c r="Q1188" i="2"/>
  <c r="Q1214" s="1"/>
  <c r="Q1262" s="1"/>
  <c r="Q1191"/>
  <c r="Q1217" s="1"/>
  <c r="Q1257" s="1"/>
  <c r="P840"/>
  <c r="S1254"/>
  <c r="T921"/>
  <c r="T931"/>
  <c r="S1264"/>
  <c r="L1188"/>
  <c r="L1214" s="1"/>
  <c r="L1262" s="1"/>
  <c r="L1190"/>
  <c r="L1216" s="1"/>
  <c r="L1272" s="1"/>
  <c r="L1185"/>
  <c r="L1186"/>
  <c r="L1212" s="1"/>
  <c r="L1247" s="1"/>
  <c r="K39" i="22"/>
  <c r="Q1190" i="2"/>
  <c r="Q1216" s="1"/>
  <c r="Q1272" s="1"/>
  <c r="S1259"/>
  <c r="O882"/>
  <c r="O886" s="1"/>
  <c r="Q1193"/>
  <c r="Q1219" s="1"/>
  <c r="Q1282" s="1"/>
  <c r="Q1189"/>
  <c r="Q1215" s="1"/>
  <c r="Q1267" s="1"/>
  <c r="Q1186"/>
  <c r="Q1212" s="1"/>
  <c r="Q1247" s="1"/>
  <c r="X986"/>
  <c r="X989" s="1"/>
  <c r="X993" s="1"/>
  <c r="L1193"/>
  <c r="L1219" s="1"/>
  <c r="L1282" s="1"/>
  <c r="I37" i="23"/>
  <c r="I39" s="1"/>
  <c r="G37"/>
  <c r="G39" s="1"/>
  <c r="E37"/>
  <c r="X1031" i="2"/>
  <c r="X1034" s="1"/>
  <c r="X1038" s="1"/>
  <c r="Q1185"/>
  <c r="Q1211" s="1"/>
  <c r="Q1242" s="1"/>
  <c r="K39" i="19"/>
  <c r="L39" s="1"/>
  <c r="K37"/>
  <c r="L37" s="1"/>
  <c r="Q1187" i="2"/>
  <c r="Q1213" s="1"/>
  <c r="Q1252" s="1"/>
  <c r="R1191"/>
  <c r="R1217" s="1"/>
  <c r="R1257" s="1"/>
  <c r="K37" i="22"/>
  <c r="L37" s="1"/>
  <c r="H37" i="23"/>
  <c r="H39" s="1"/>
  <c r="D46" i="4"/>
  <c r="F37" i="23"/>
  <c r="F39" s="1"/>
  <c r="L1191" i="2"/>
  <c r="L1217" s="1"/>
  <c r="L1257" s="1"/>
  <c r="H1192"/>
  <c r="H1218" s="1"/>
  <c r="H1277" s="1"/>
  <c r="H1188"/>
  <c r="H1214" s="1"/>
  <c r="H1262" s="1"/>
  <c r="H1191"/>
  <c r="H1217" s="1"/>
  <c r="H1257" s="1"/>
  <c r="H1189"/>
  <c r="H1215" s="1"/>
  <c r="H1267" s="1"/>
  <c r="H1185"/>
  <c r="H1186"/>
  <c r="H1212" s="1"/>
  <c r="H1247" s="1"/>
  <c r="E74" i="4"/>
  <c r="G74" s="1"/>
  <c r="K921" i="2"/>
  <c r="K931"/>
  <c r="H921"/>
  <c r="H931"/>
  <c r="H934" s="1"/>
  <c r="H935" s="1"/>
  <c r="I9" i="24" s="1"/>
  <c r="V921" i="2"/>
  <c r="V931"/>
  <c r="R921"/>
  <c r="R931"/>
  <c r="L921"/>
  <c r="L931"/>
  <c r="L823"/>
  <c r="L815"/>
  <c r="L867" s="1"/>
  <c r="H13" i="24" s="1"/>
  <c r="C65" i="4"/>
  <c r="H815" i="2"/>
  <c r="H867" s="1"/>
  <c r="H9" i="24" s="1"/>
  <c r="H823" i="2"/>
  <c r="N956"/>
  <c r="AA991"/>
  <c r="AB991" s="1"/>
  <c r="G1036"/>
  <c r="R1025"/>
  <c r="E46" i="4"/>
  <c r="G46" s="1"/>
  <c r="G47"/>
  <c r="T889" i="2"/>
  <c r="T891" s="1"/>
  <c r="T877"/>
  <c r="T879" s="1"/>
  <c r="T869"/>
  <c r="L1211"/>
  <c r="L1242" s="1"/>
  <c r="J1025"/>
  <c r="J1031" s="1"/>
  <c r="J986"/>
  <c r="J989" s="1"/>
  <c r="J993" s="1"/>
  <c r="C75" i="4"/>
  <c r="C72" s="1"/>
  <c r="C41" i="19"/>
  <c r="C47"/>
  <c r="K1025" i="2"/>
  <c r="AA864"/>
  <c r="AB864" s="1"/>
  <c r="G903"/>
  <c r="G969"/>
  <c r="AA897"/>
  <c r="AB897" s="1"/>
  <c r="R815"/>
  <c r="R867" s="1"/>
  <c r="H19" i="24" s="1"/>
  <c r="R823" i="2"/>
  <c r="M975"/>
  <c r="M1014"/>
  <c r="M1020" s="1"/>
  <c r="I975"/>
  <c r="I1014"/>
  <c r="I1020" s="1"/>
  <c r="D36" i="4"/>
  <c r="E36" s="1"/>
  <c r="G36" s="1"/>
  <c r="I873" i="2"/>
  <c r="I810"/>
  <c r="K982"/>
  <c r="K1027" s="1"/>
  <c r="K941"/>
  <c r="L1025"/>
  <c r="S1219"/>
  <c r="S1282" s="1"/>
  <c r="S1284" s="1"/>
  <c r="S1290"/>
  <c r="S1291" s="1"/>
  <c r="P928"/>
  <c r="Y943"/>
  <c r="Y945" s="1"/>
  <c r="Y958"/>
  <c r="Y960" s="1"/>
  <c r="Y934"/>
  <c r="J815"/>
  <c r="J867" s="1"/>
  <c r="H11" i="24" s="1"/>
  <c r="J823" i="2"/>
  <c r="C71" i="4"/>
  <c r="K1188" i="2"/>
  <c r="K1214" s="1"/>
  <c r="K1262" s="1"/>
  <c r="K1191"/>
  <c r="K1217" s="1"/>
  <c r="K1257" s="1"/>
  <c r="K1189"/>
  <c r="K1215" s="1"/>
  <c r="K1267" s="1"/>
  <c r="T1034"/>
  <c r="T1038" s="1"/>
  <c r="P1182"/>
  <c r="P1186" s="1"/>
  <c r="P1212" s="1"/>
  <c r="P1247" s="1"/>
  <c r="I1182"/>
  <c r="I1185" s="1"/>
  <c r="M1190"/>
  <c r="M1216" s="1"/>
  <c r="M1272" s="1"/>
  <c r="M1274" s="1"/>
  <c r="M1186"/>
  <c r="M1212" s="1"/>
  <c r="M1247" s="1"/>
  <c r="M1249" s="1"/>
  <c r="S1274"/>
  <c r="U1192"/>
  <c r="U1218" s="1"/>
  <c r="U1277" s="1"/>
  <c r="L1189"/>
  <c r="L1215" s="1"/>
  <c r="L1267" s="1"/>
  <c r="O986"/>
  <c r="J1187"/>
  <c r="J1213" s="1"/>
  <c r="J1252" s="1"/>
  <c r="J1186"/>
  <c r="J1212" s="1"/>
  <c r="J1247" s="1"/>
  <c r="G37" i="16"/>
  <c r="G39" s="1"/>
  <c r="H37"/>
  <c r="H39" s="1"/>
  <c r="F37"/>
  <c r="F39" s="1"/>
  <c r="I37"/>
  <c r="I39" s="1"/>
  <c r="E37"/>
  <c r="J37"/>
  <c r="J39" s="1"/>
  <c r="N1025" i="2"/>
  <c r="S889"/>
  <c r="S891" s="1"/>
  <c r="S877"/>
  <c r="S879" s="1"/>
  <c r="S869"/>
  <c r="H1211"/>
  <c r="H1242" s="1"/>
  <c r="C63" i="4"/>
  <c r="H1025" i="2"/>
  <c r="V982"/>
  <c r="V1027" s="1"/>
  <c r="V941"/>
  <c r="N1211"/>
  <c r="N1242" s="1"/>
  <c r="N1244" s="1"/>
  <c r="N1194"/>
  <c r="E73" i="4"/>
  <c r="S999" i="2"/>
  <c r="S1000"/>
  <c r="AB750"/>
  <c r="P939"/>
  <c r="P980"/>
  <c r="P914"/>
  <c r="P917" s="1"/>
  <c r="I939"/>
  <c r="I980"/>
  <c r="R982"/>
  <c r="R1027" s="1"/>
  <c r="R941"/>
  <c r="U1025"/>
  <c r="U1031" s="1"/>
  <c r="U986"/>
  <c r="U989" s="1"/>
  <c r="U993" s="1"/>
  <c r="V1025"/>
  <c r="T1211"/>
  <c r="T1242" s="1"/>
  <c r="T1194"/>
  <c r="M873"/>
  <c r="D40" i="4"/>
  <c r="E40" s="1"/>
  <c r="G40" s="1"/>
  <c r="M810" i="2"/>
  <c r="M815" s="1"/>
  <c r="M867" s="1"/>
  <c r="C64" i="4"/>
  <c r="W943" i="2"/>
  <c r="W945" s="1"/>
  <c r="W958"/>
  <c r="W960" s="1"/>
  <c r="W934"/>
  <c r="H941"/>
  <c r="H982"/>
  <c r="H1027" s="1"/>
  <c r="I910"/>
  <c r="I914" s="1"/>
  <c r="I917" s="1"/>
  <c r="I840"/>
  <c r="D39" i="16"/>
  <c r="I851" i="2"/>
  <c r="I857" s="1"/>
  <c r="J1185"/>
  <c r="J1190"/>
  <c r="J1216" s="1"/>
  <c r="J1272" s="1"/>
  <c r="J1193"/>
  <c r="J1219" s="1"/>
  <c r="J1282" s="1"/>
  <c r="J1188"/>
  <c r="J1214" s="1"/>
  <c r="J1262" s="1"/>
  <c r="C41" i="21"/>
  <c r="C47"/>
  <c r="M1192" i="2"/>
  <c r="M1218" s="1"/>
  <c r="M1277" s="1"/>
  <c r="M1279" s="1"/>
  <c r="M910"/>
  <c r="M840"/>
  <c r="D39" i="20"/>
  <c r="M851" i="2"/>
  <c r="M857" s="1"/>
  <c r="Z943"/>
  <c r="Z945" s="1"/>
  <c r="Z948" s="1"/>
  <c r="Z952" s="1"/>
  <c r="Z958"/>
  <c r="Z960" s="1"/>
  <c r="X958"/>
  <c r="X960" s="1"/>
  <c r="X943"/>
  <c r="X945" s="1"/>
  <c r="X948" s="1"/>
  <c r="X952" s="1"/>
  <c r="K1187"/>
  <c r="K1213" s="1"/>
  <c r="K1252" s="1"/>
  <c r="M1193"/>
  <c r="M1219" s="1"/>
  <c r="M1282" s="1"/>
  <c r="M1284" s="1"/>
  <c r="M1191"/>
  <c r="M1217" s="1"/>
  <c r="M1257" s="1"/>
  <c r="M1259" s="1"/>
  <c r="K1186"/>
  <c r="K1212" s="1"/>
  <c r="K1247" s="1"/>
  <c r="H1193"/>
  <c r="H1219" s="1"/>
  <c r="H1282" s="1"/>
  <c r="I1192"/>
  <c r="I1218" s="1"/>
  <c r="I1277" s="1"/>
  <c r="I1191"/>
  <c r="I1217" s="1"/>
  <c r="I1257" s="1"/>
  <c r="M1187"/>
  <c r="M1213" s="1"/>
  <c r="M1252" s="1"/>
  <c r="M1254" s="1"/>
  <c r="M1185"/>
  <c r="S1279"/>
  <c r="L39" i="22"/>
  <c r="K1190" i="2"/>
  <c r="K1216" s="1"/>
  <c r="K1272" s="1"/>
  <c r="J1189"/>
  <c r="J1215" s="1"/>
  <c r="J1267" s="1"/>
  <c r="R1211"/>
  <c r="R1242" s="1"/>
  <c r="C50" i="4"/>
  <c r="P982" i="2"/>
  <c r="P1027" s="1"/>
  <c r="P941"/>
  <c r="E39" i="17"/>
  <c r="K39" s="1"/>
  <c r="L39" s="1"/>
  <c r="K37"/>
  <c r="L37" s="1"/>
  <c r="M980" i="2"/>
  <c r="M939"/>
  <c r="M914"/>
  <c r="M917" s="1"/>
  <c r="M931" s="1"/>
  <c r="N943"/>
  <c r="N958"/>
  <c r="N962"/>
  <c r="S1038"/>
  <c r="J921"/>
  <c r="J931"/>
  <c r="N982"/>
  <c r="N1027" s="1"/>
  <c r="N941"/>
  <c r="AA849"/>
  <c r="AB849" s="1"/>
  <c r="O934"/>
  <c r="O958"/>
  <c r="O962"/>
  <c r="O943"/>
  <c r="O945" s="1"/>
  <c r="U1185"/>
  <c r="U1188"/>
  <c r="U1214" s="1"/>
  <c r="U1262" s="1"/>
  <c r="U1186"/>
  <c r="U1212" s="1"/>
  <c r="U1247" s="1"/>
  <c r="C41" i="17"/>
  <c r="C47"/>
  <c r="U921" i="2"/>
  <c r="U931"/>
  <c r="P873"/>
  <c r="D43" i="4"/>
  <c r="E43" s="1"/>
  <c r="G43" s="1"/>
  <c r="P810" i="2"/>
  <c r="C70" i="4"/>
  <c r="C41" i="22"/>
  <c r="C47"/>
  <c r="AA694" i="2"/>
  <c r="AB694" s="1"/>
  <c r="G698"/>
  <c r="Q1025"/>
  <c r="Q1031" s="1"/>
  <c r="Q986"/>
  <c r="Q989" s="1"/>
  <c r="Q993" s="1"/>
  <c r="S958"/>
  <c r="S943"/>
  <c r="S945" s="1"/>
  <c r="S962"/>
  <c r="S934"/>
  <c r="N877"/>
  <c r="N879" s="1"/>
  <c r="N889"/>
  <c r="N891" s="1"/>
  <c r="N869"/>
  <c r="C41" i="15"/>
  <c r="C47"/>
  <c r="E39" i="23"/>
  <c r="C67" i="4"/>
  <c r="E37" i="20"/>
  <c r="J37"/>
  <c r="J39" s="1"/>
  <c r="F37"/>
  <c r="F39" s="1"/>
  <c r="H37"/>
  <c r="I37"/>
  <c r="G37"/>
  <c r="G39" s="1"/>
  <c r="K1192" i="2"/>
  <c r="K1218" s="1"/>
  <c r="K1277" s="1"/>
  <c r="H1187"/>
  <c r="H1213" s="1"/>
  <c r="H1252" s="1"/>
  <c r="I1190"/>
  <c r="I1216" s="1"/>
  <c r="I1272" s="1"/>
  <c r="M1188"/>
  <c r="M1214" s="1"/>
  <c r="M1262" s="1"/>
  <c r="M1264" s="1"/>
  <c r="M1189"/>
  <c r="M1215" s="1"/>
  <c r="M1267" s="1"/>
  <c r="M1269" s="1"/>
  <c r="S994"/>
  <c r="K1185"/>
  <c r="U1190"/>
  <c r="U1216" s="1"/>
  <c r="U1272" s="1"/>
  <c r="U1193"/>
  <c r="U1219" s="1"/>
  <c r="U1282" s="1"/>
  <c r="AA801"/>
  <c r="AB801" s="1"/>
  <c r="D37" i="14"/>
  <c r="G806" i="2"/>
  <c r="AA766"/>
  <c r="AB766" s="1"/>
  <c r="D26" i="14"/>
  <c r="G1173" i="2"/>
  <c r="G1175"/>
  <c r="AA1175" s="1"/>
  <c r="AB1175" s="1"/>
  <c r="G1179"/>
  <c r="AA1179" s="1"/>
  <c r="AB1179" s="1"/>
  <c r="G1174"/>
  <c r="AA1174" s="1"/>
  <c r="AB1174" s="1"/>
  <c r="G1176"/>
  <c r="AA1176" s="1"/>
  <c r="AB1176" s="1"/>
  <c r="G1180"/>
  <c r="AA1180" s="1"/>
  <c r="AB1180" s="1"/>
  <c r="G1177"/>
  <c r="AA1177" s="1"/>
  <c r="AB1177" s="1"/>
  <c r="G1178"/>
  <c r="AA1178" s="1"/>
  <c r="AB1178" s="1"/>
  <c r="G1181"/>
  <c r="AA1181" s="1"/>
  <c r="AB1181" s="1"/>
  <c r="G808"/>
  <c r="C8" i="24" s="1"/>
  <c r="U815" i="2"/>
  <c r="U867" s="1"/>
  <c r="H23" i="24" s="1"/>
  <c r="H20" s="1"/>
  <c r="U823" i="2"/>
  <c r="Q921"/>
  <c r="Q931"/>
  <c r="S1194"/>
  <c r="S1211"/>
  <c r="S1242" s="1"/>
  <c r="S1244" s="1"/>
  <c r="K815"/>
  <c r="K867" s="1"/>
  <c r="H12" i="24" s="1"/>
  <c r="K823" i="2"/>
  <c r="P1014"/>
  <c r="P1020" s="1"/>
  <c r="P975"/>
  <c r="L982"/>
  <c r="L1027" s="1"/>
  <c r="L941"/>
  <c r="C61" i="4"/>
  <c r="Q815" i="2"/>
  <c r="Q867" s="1"/>
  <c r="H18" i="24" s="1"/>
  <c r="AD823" i="2"/>
  <c r="Q823"/>
  <c r="K37" i="21"/>
  <c r="L37" s="1"/>
  <c r="E39"/>
  <c r="K39" s="1"/>
  <c r="L39" s="1"/>
  <c r="L1192" i="2"/>
  <c r="L1218" s="1"/>
  <c r="L1277" s="1"/>
  <c r="O1031"/>
  <c r="O1034" s="1"/>
  <c r="O1038" s="1"/>
  <c r="U1189"/>
  <c r="U1215" s="1"/>
  <c r="U1267" s="1"/>
  <c r="U1191"/>
  <c r="U1217" s="1"/>
  <c r="U1257" s="1"/>
  <c r="J1191"/>
  <c r="J1217" s="1"/>
  <c r="J1257" s="1"/>
  <c r="S956" l="1"/>
  <c r="S935"/>
  <c r="I21" i="24" s="1"/>
  <c r="O956" i="2"/>
  <c r="O935"/>
  <c r="C24" i="24"/>
  <c r="D8"/>
  <c r="D75" i="4"/>
  <c r="D70"/>
  <c r="D63"/>
  <c r="V1031" i="2"/>
  <c r="V1034" s="1"/>
  <c r="V1038" s="1"/>
  <c r="S948"/>
  <c r="S952" s="1"/>
  <c r="T1268"/>
  <c r="T1269" s="1"/>
  <c r="T1283"/>
  <c r="T1284" s="1"/>
  <c r="T1243"/>
  <c r="T1244" s="1"/>
  <c r="T1278"/>
  <c r="T1279" s="1"/>
  <c r="T1258"/>
  <c r="T1259" s="1"/>
  <c r="T1248"/>
  <c r="T1249" s="1"/>
  <c r="T1263"/>
  <c r="T1264" s="1"/>
  <c r="T1273"/>
  <c r="T1274" s="1"/>
  <c r="T1253"/>
  <c r="T1254" s="1"/>
  <c r="T962"/>
  <c r="T943"/>
  <c r="T945" s="1"/>
  <c r="T958"/>
  <c r="T934"/>
  <c r="T935" s="1"/>
  <c r="I22" i="24" s="1"/>
  <c r="R1194" i="2"/>
  <c r="Q1194"/>
  <c r="K37" i="23"/>
  <c r="L37" s="1"/>
  <c r="S960" i="2"/>
  <c r="K39" i="23"/>
  <c r="L39" s="1"/>
  <c r="E75" i="4"/>
  <c r="G75" s="1"/>
  <c r="U1034" i="2"/>
  <c r="U1038" s="1"/>
  <c r="D72" i="4"/>
  <c r="I1188" i="2"/>
  <c r="I1214" s="1"/>
  <c r="I1262" s="1"/>
  <c r="P1190"/>
  <c r="P1216" s="1"/>
  <c r="P1272" s="1"/>
  <c r="P1188"/>
  <c r="P1214" s="1"/>
  <c r="P1262" s="1"/>
  <c r="W948"/>
  <c r="W952" s="1"/>
  <c r="Y948"/>
  <c r="Y952" s="1"/>
  <c r="Q1034"/>
  <c r="Q1038" s="1"/>
  <c r="H1194"/>
  <c r="K1031"/>
  <c r="P921"/>
  <c r="P931"/>
  <c r="P934" s="1"/>
  <c r="K877"/>
  <c r="K879" s="1"/>
  <c r="K889"/>
  <c r="K891" s="1"/>
  <c r="K869"/>
  <c r="Q1258"/>
  <c r="Q1259" s="1"/>
  <c r="Q1243"/>
  <c r="Q1244" s="1"/>
  <c r="Q1283"/>
  <c r="Q1284" s="1"/>
  <c r="Q1278"/>
  <c r="Q1279" s="1"/>
  <c r="Q1263"/>
  <c r="Q1264" s="1"/>
  <c r="Q1273"/>
  <c r="Q1274" s="1"/>
  <c r="Q1248"/>
  <c r="Q1249" s="1"/>
  <c r="Q1268"/>
  <c r="Q1269" s="1"/>
  <c r="Q1253"/>
  <c r="Q1254" s="1"/>
  <c r="H956"/>
  <c r="H889"/>
  <c r="H891" s="1"/>
  <c r="H877"/>
  <c r="H879" s="1"/>
  <c r="H869"/>
  <c r="R934"/>
  <c r="R943"/>
  <c r="R945" s="1"/>
  <c r="R962"/>
  <c r="R958"/>
  <c r="K1283"/>
  <c r="K1284" s="1"/>
  <c r="K1273"/>
  <c r="K1274" s="1"/>
  <c r="K1278"/>
  <c r="K1279" s="1"/>
  <c r="K1248"/>
  <c r="K1249" s="1"/>
  <c r="K1258"/>
  <c r="K1259" s="1"/>
  <c r="K1268"/>
  <c r="K1269" s="1"/>
  <c r="K1263"/>
  <c r="K1264" s="1"/>
  <c r="K1243"/>
  <c r="K1253"/>
  <c r="K1254" s="1"/>
  <c r="L986"/>
  <c r="L989" s="1"/>
  <c r="L993" s="1"/>
  <c r="Q889"/>
  <c r="Q891" s="1"/>
  <c r="Q877"/>
  <c r="Q879" s="1"/>
  <c r="Q869"/>
  <c r="D39" i="14"/>
  <c r="G840" i="2"/>
  <c r="F840" s="1"/>
  <c r="AA806"/>
  <c r="AB806" s="1"/>
  <c r="G910"/>
  <c r="G851"/>
  <c r="M1211"/>
  <c r="M1242" s="1"/>
  <c r="M1244" s="1"/>
  <c r="M1194"/>
  <c r="I921"/>
  <c r="I931"/>
  <c r="D68" i="4"/>
  <c r="E68" s="1"/>
  <c r="O989" i="2"/>
  <c r="O993" s="1"/>
  <c r="I823"/>
  <c r="I815"/>
  <c r="I867" s="1"/>
  <c r="H10" i="24" s="1"/>
  <c r="H1031" i="2"/>
  <c r="M934"/>
  <c r="M943"/>
  <c r="M958"/>
  <c r="M962"/>
  <c r="U1000"/>
  <c r="U999"/>
  <c r="Q943"/>
  <c r="Q945" s="1"/>
  <c r="Q962"/>
  <c r="Q958"/>
  <c r="Q934"/>
  <c r="Q935" s="1"/>
  <c r="I18" i="24" s="1"/>
  <c r="G908" i="2"/>
  <c r="D9" i="4"/>
  <c r="G837" i="2"/>
  <c r="F837" s="1"/>
  <c r="AA698"/>
  <c r="AB698" s="1"/>
  <c r="G700"/>
  <c r="AA700" s="1"/>
  <c r="AB700" s="1"/>
  <c r="P815"/>
  <c r="P867" s="1"/>
  <c r="H17" i="24" s="1"/>
  <c r="P823" i="2"/>
  <c r="U1248"/>
  <c r="U1249" s="1"/>
  <c r="U1258"/>
  <c r="U1259" s="1"/>
  <c r="U1283"/>
  <c r="U1284" s="1"/>
  <c r="U1243"/>
  <c r="U1253"/>
  <c r="U1254" s="1"/>
  <c r="U1268"/>
  <c r="U1269" s="1"/>
  <c r="U1278"/>
  <c r="U1279" s="1"/>
  <c r="U1273"/>
  <c r="U1274" s="1"/>
  <c r="U1263"/>
  <c r="U1264" s="1"/>
  <c r="O960"/>
  <c r="U1194"/>
  <c r="U1211"/>
  <c r="U1242" s="1"/>
  <c r="U1244" s="1"/>
  <c r="P1025"/>
  <c r="P1031" s="1"/>
  <c r="P986"/>
  <c r="P989" s="1"/>
  <c r="P993" s="1"/>
  <c r="E39" i="16"/>
  <c r="K39" s="1"/>
  <c r="L39" s="1"/>
  <c r="K37"/>
  <c r="L37" s="1"/>
  <c r="C47" i="20"/>
  <c r="C41"/>
  <c r="AA969" i="2"/>
  <c r="AB969" s="1"/>
  <c r="G1014"/>
  <c r="G975"/>
  <c r="L943"/>
  <c r="L945" s="1"/>
  <c r="L958"/>
  <c r="L962"/>
  <c r="G873"/>
  <c r="D34" i="4"/>
  <c r="AA808" i="2"/>
  <c r="G810"/>
  <c r="G73" i="4"/>
  <c r="I1211" i="2"/>
  <c r="I1242" s="1"/>
  <c r="C66" i="4"/>
  <c r="F60"/>
  <c r="F76" s="1"/>
  <c r="AA1036" i="2"/>
  <c r="AB1036" s="1"/>
  <c r="L877"/>
  <c r="L879" s="1"/>
  <c r="L889"/>
  <c r="L891" s="1"/>
  <c r="L869"/>
  <c r="K962"/>
  <c r="K958"/>
  <c r="K943"/>
  <c r="K945" s="1"/>
  <c r="P1034"/>
  <c r="P1038" s="1"/>
  <c r="C69" i="4"/>
  <c r="U889" i="2"/>
  <c r="U891" s="1"/>
  <c r="U877"/>
  <c r="U879" s="1"/>
  <c r="U869"/>
  <c r="U958"/>
  <c r="U962"/>
  <c r="U943"/>
  <c r="U945" s="1"/>
  <c r="U934"/>
  <c r="J1258"/>
  <c r="J1259" s="1"/>
  <c r="J1243"/>
  <c r="J1273"/>
  <c r="J1274" s="1"/>
  <c r="J1278"/>
  <c r="J1279" s="1"/>
  <c r="J1248"/>
  <c r="J1249" s="1"/>
  <c r="J1263"/>
  <c r="J1264" s="1"/>
  <c r="J1253"/>
  <c r="J1254" s="1"/>
  <c r="J1283"/>
  <c r="J1284" s="1"/>
  <c r="J1268"/>
  <c r="J1269" s="1"/>
  <c r="M1025"/>
  <c r="M982"/>
  <c r="M1027" s="1"/>
  <c r="M941"/>
  <c r="P1185"/>
  <c r="P1191"/>
  <c r="P1217" s="1"/>
  <c r="P1257" s="1"/>
  <c r="P1193"/>
  <c r="P1219" s="1"/>
  <c r="P1282" s="1"/>
  <c r="P1192"/>
  <c r="J889"/>
  <c r="J891" s="1"/>
  <c r="J877"/>
  <c r="J879" s="1"/>
  <c r="J869"/>
  <c r="C47" i="16"/>
  <c r="C41"/>
  <c r="R889" i="2"/>
  <c r="R891" s="1"/>
  <c r="R877"/>
  <c r="R879" s="1"/>
  <c r="R869"/>
  <c r="J999"/>
  <c r="D18" i="17"/>
  <c r="J1000" i="2"/>
  <c r="V943"/>
  <c r="V945" s="1"/>
  <c r="V958"/>
  <c r="V960" s="1"/>
  <c r="V934"/>
  <c r="H1283"/>
  <c r="H1284" s="1"/>
  <c r="H1278"/>
  <c r="H1279" s="1"/>
  <c r="H1263"/>
  <c r="H1264" s="1"/>
  <c r="H1253"/>
  <c r="H1254" s="1"/>
  <c r="H1248"/>
  <c r="H1249" s="1"/>
  <c r="H1268"/>
  <c r="H1269" s="1"/>
  <c r="H1258"/>
  <c r="H1259" s="1"/>
  <c r="H1243"/>
  <c r="H1244" s="1"/>
  <c r="H1273"/>
  <c r="H1274" s="1"/>
  <c r="C47" i="23"/>
  <c r="C41"/>
  <c r="G1182" i="2"/>
  <c r="G1187" s="1"/>
  <c r="AA1173"/>
  <c r="G37" i="14"/>
  <c r="G39" s="1"/>
  <c r="I37"/>
  <c r="I39" s="1"/>
  <c r="F37"/>
  <c r="F39" s="1"/>
  <c r="E37"/>
  <c r="H37"/>
  <c r="H39" s="1"/>
  <c r="J37"/>
  <c r="J39" s="1"/>
  <c r="K1194" i="2"/>
  <c r="K1211"/>
  <c r="K1242" s="1"/>
  <c r="K37" i="20"/>
  <c r="L37" s="1"/>
  <c r="E39"/>
  <c r="K39" s="1"/>
  <c r="L39" s="1"/>
  <c r="Q1000" i="2"/>
  <c r="Q999"/>
  <c r="J958"/>
  <c r="J943"/>
  <c r="J945" s="1"/>
  <c r="J962"/>
  <c r="J934"/>
  <c r="J935" s="1"/>
  <c r="I11" i="24" s="1"/>
  <c r="J1211" i="2"/>
  <c r="J1242" s="1"/>
  <c r="J1194"/>
  <c r="I941"/>
  <c r="I982"/>
  <c r="I1027" s="1"/>
  <c r="M877"/>
  <c r="M879" s="1"/>
  <c r="M889"/>
  <c r="M891" s="1"/>
  <c r="M869"/>
  <c r="I986"/>
  <c r="I989" s="1"/>
  <c r="I993" s="1"/>
  <c r="I1025"/>
  <c r="I1189"/>
  <c r="I1215" s="1"/>
  <c r="I1267" s="1"/>
  <c r="I1186"/>
  <c r="I1212" s="1"/>
  <c r="I1247" s="1"/>
  <c r="I1193"/>
  <c r="I1219" s="1"/>
  <c r="I1282" s="1"/>
  <c r="C62" i="4"/>
  <c r="AA903" i="2"/>
  <c r="AB903" s="1"/>
  <c r="G928"/>
  <c r="L1278"/>
  <c r="L1279" s="1"/>
  <c r="L1283"/>
  <c r="L1284" s="1"/>
  <c r="L1253"/>
  <c r="L1254" s="1"/>
  <c r="L1258"/>
  <c r="L1259" s="1"/>
  <c r="L1273"/>
  <c r="L1274" s="1"/>
  <c r="L1243"/>
  <c r="L1263"/>
  <c r="L1264" s="1"/>
  <c r="L1268"/>
  <c r="L1269" s="1"/>
  <c r="L1248"/>
  <c r="L1249" s="1"/>
  <c r="R1273"/>
  <c r="R1274" s="1"/>
  <c r="R1243"/>
  <c r="R1244" s="1"/>
  <c r="R1283"/>
  <c r="R1284" s="1"/>
  <c r="R1248"/>
  <c r="R1249" s="1"/>
  <c r="R1278"/>
  <c r="R1279" s="1"/>
  <c r="R1268"/>
  <c r="R1269" s="1"/>
  <c r="R1263"/>
  <c r="R1264" s="1"/>
  <c r="R1253"/>
  <c r="R1254" s="1"/>
  <c r="R1258"/>
  <c r="R1259" s="1"/>
  <c r="H962"/>
  <c r="H943"/>
  <c r="H945" s="1"/>
  <c r="H948" s="1"/>
  <c r="H952" s="1"/>
  <c r="H958"/>
  <c r="L1244"/>
  <c r="AE1038"/>
  <c r="L934"/>
  <c r="L935" s="1"/>
  <c r="I13" i="24" s="1"/>
  <c r="E63" i="4"/>
  <c r="G63" s="1"/>
  <c r="N882" i="2"/>
  <c r="N886" s="1"/>
  <c r="E70" i="4"/>
  <c r="G70" s="1"/>
  <c r="V986" i="2"/>
  <c r="V989" s="1"/>
  <c r="V993" s="1"/>
  <c r="J1034"/>
  <c r="J1038" s="1"/>
  <c r="S882"/>
  <c r="S886" s="1"/>
  <c r="N1031"/>
  <c r="T882"/>
  <c r="T886" s="1"/>
  <c r="R1031"/>
  <c r="P1187"/>
  <c r="P1213" s="1"/>
  <c r="P1252" s="1"/>
  <c r="P1189"/>
  <c r="P1215" s="1"/>
  <c r="P1267" s="1"/>
  <c r="S1296"/>
  <c r="O948"/>
  <c r="O952" s="1"/>
  <c r="N945"/>
  <c r="N948" s="1"/>
  <c r="N952" s="1"/>
  <c r="K934"/>
  <c r="K935" s="1"/>
  <c r="I12" i="24" s="1"/>
  <c r="S1001" i="2"/>
  <c r="H986"/>
  <c r="H989" s="1"/>
  <c r="H993" s="1"/>
  <c r="N986"/>
  <c r="N989" s="1"/>
  <c r="N993" s="1"/>
  <c r="D18" i="21" s="1"/>
  <c r="L1031" i="2"/>
  <c r="K986"/>
  <c r="K989" s="1"/>
  <c r="K993" s="1"/>
  <c r="L1194"/>
  <c r="R986"/>
  <c r="R989" s="1"/>
  <c r="R993" s="1"/>
  <c r="R1000" s="1"/>
  <c r="R1001" s="1"/>
  <c r="N960"/>
  <c r="I1187"/>
  <c r="I1213" s="1"/>
  <c r="I1252" s="1"/>
  <c r="R956" l="1"/>
  <c r="R935"/>
  <c r="I19" i="24" s="1"/>
  <c r="U956" i="2"/>
  <c r="U935"/>
  <c r="I23" i="24" s="1"/>
  <c r="I20" s="1"/>
  <c r="M956" i="2"/>
  <c r="M935"/>
  <c r="P956"/>
  <c r="P935"/>
  <c r="I17" i="24" s="1"/>
  <c r="F8"/>
  <c r="D24"/>
  <c r="F24" s="1"/>
  <c r="D69" i="4"/>
  <c r="D64"/>
  <c r="E64" s="1"/>
  <c r="G64" s="1"/>
  <c r="G1188" i="2"/>
  <c r="AA1188" s="1"/>
  <c r="AB1188" s="1"/>
  <c r="K1244"/>
  <c r="J882"/>
  <c r="J886" s="1"/>
  <c r="M1031"/>
  <c r="Q882"/>
  <c r="Q886" s="1"/>
  <c r="T956"/>
  <c r="T948"/>
  <c r="T952" s="1"/>
  <c r="K1034"/>
  <c r="K1038" s="1"/>
  <c r="H960"/>
  <c r="T960"/>
  <c r="G1186"/>
  <c r="G1212" s="1"/>
  <c r="G1247" s="1"/>
  <c r="G1192"/>
  <c r="G1193"/>
  <c r="AA1193" s="1"/>
  <c r="AB1193" s="1"/>
  <c r="G1191"/>
  <c r="G1217" s="1"/>
  <c r="G1257" s="1"/>
  <c r="I1031"/>
  <c r="M986"/>
  <c r="M989" s="1"/>
  <c r="M993" s="1"/>
  <c r="D18" i="20" s="1"/>
  <c r="U948" i="2"/>
  <c r="U952" s="1"/>
  <c r="U960"/>
  <c r="E72" i="4"/>
  <c r="G72" s="1"/>
  <c r="E69"/>
  <c r="G69" s="1"/>
  <c r="V948" i="2"/>
  <c r="V952" s="1"/>
  <c r="R882"/>
  <c r="R886" s="1"/>
  <c r="J1001"/>
  <c r="R960"/>
  <c r="H882"/>
  <c r="H886" s="1"/>
  <c r="U1001"/>
  <c r="K882"/>
  <c r="K886" s="1"/>
  <c r="D18" i="15"/>
  <c r="H1000" i="2"/>
  <c r="H999"/>
  <c r="E18" i="21"/>
  <c r="D20"/>
  <c r="D24" s="1"/>
  <c r="D41" s="1"/>
  <c r="D47" s="1"/>
  <c r="K948" i="2"/>
  <c r="K952" s="1"/>
  <c r="K956"/>
  <c r="K960" s="1"/>
  <c r="D67" i="4"/>
  <c r="E67" s="1"/>
  <c r="G67" s="1"/>
  <c r="N1034" i="2"/>
  <c r="N1038" s="1"/>
  <c r="AA928"/>
  <c r="AB928" s="1"/>
  <c r="D18" i="16"/>
  <c r="I1000" i="2"/>
  <c r="I999"/>
  <c r="J956"/>
  <c r="J960" s="1"/>
  <c r="J948"/>
  <c r="J952" s="1"/>
  <c r="E39" i="14"/>
  <c r="K39" s="1"/>
  <c r="L39" s="1"/>
  <c r="K37"/>
  <c r="L37" s="1"/>
  <c r="AA1182" i="2"/>
  <c r="AB1182" s="1"/>
  <c r="AB1173"/>
  <c r="P1211"/>
  <c r="P1242" s="1"/>
  <c r="P1194"/>
  <c r="D50" i="4"/>
  <c r="E34"/>
  <c r="P1000" i="2"/>
  <c r="P999"/>
  <c r="D18" i="23"/>
  <c r="D25" i="4"/>
  <c r="E9"/>
  <c r="I1283" i="2"/>
  <c r="I1284" s="1"/>
  <c r="I1278"/>
  <c r="I1279" s="1"/>
  <c r="I1248"/>
  <c r="I1249" s="1"/>
  <c r="I1263"/>
  <c r="I1264" s="1"/>
  <c r="I1243"/>
  <c r="I1258"/>
  <c r="I1259" s="1"/>
  <c r="I1253"/>
  <c r="I1254" s="1"/>
  <c r="I1273"/>
  <c r="I1274" s="1"/>
  <c r="I1268"/>
  <c r="I1269" s="1"/>
  <c r="G982"/>
  <c r="G941"/>
  <c r="AA941" s="1"/>
  <c r="AB941" s="1"/>
  <c r="AA910"/>
  <c r="AB910" s="1"/>
  <c r="P1283"/>
  <c r="P1284" s="1"/>
  <c r="P1253"/>
  <c r="P1254" s="1"/>
  <c r="P1278"/>
  <c r="P1243"/>
  <c r="P1244" s="1"/>
  <c r="P1263"/>
  <c r="P1264" s="1"/>
  <c r="P1273"/>
  <c r="P1274" s="1"/>
  <c r="P1258"/>
  <c r="P1259" s="1"/>
  <c r="P1248"/>
  <c r="P1249" s="1"/>
  <c r="P1268"/>
  <c r="P1269" s="1"/>
  <c r="Q1001"/>
  <c r="M1034"/>
  <c r="M1038" s="1"/>
  <c r="G1189"/>
  <c r="G1218"/>
  <c r="G1277" s="1"/>
  <c r="AA1192"/>
  <c r="AB1192" s="1"/>
  <c r="AB808"/>
  <c r="AA810"/>
  <c r="AB810" s="1"/>
  <c r="I877"/>
  <c r="I879" s="1"/>
  <c r="I889"/>
  <c r="I891" s="1"/>
  <c r="I869"/>
  <c r="I958"/>
  <c r="I943"/>
  <c r="I945" s="1"/>
  <c r="I962"/>
  <c r="I934"/>
  <c r="I935" s="1"/>
  <c r="I10" i="24" s="1"/>
  <c r="AA851" i="2"/>
  <c r="AB851" s="1"/>
  <c r="G857"/>
  <c r="AA857" s="1"/>
  <c r="AB857" s="1"/>
  <c r="L999"/>
  <c r="D18" i="19"/>
  <c r="L1000" i="2"/>
  <c r="P943"/>
  <c r="P945" s="1"/>
  <c r="P948" s="1"/>
  <c r="P952" s="1"/>
  <c r="P958"/>
  <c r="P960" s="1"/>
  <c r="P962"/>
  <c r="I1194"/>
  <c r="G1219"/>
  <c r="G1282" s="1"/>
  <c r="D71" i="4"/>
  <c r="E71" s="1"/>
  <c r="G71" s="1"/>
  <c r="R1034" i="2"/>
  <c r="L948"/>
  <c r="L952" s="1"/>
  <c r="L956"/>
  <c r="L960" s="1"/>
  <c r="G815"/>
  <c r="G867" s="1"/>
  <c r="H8" i="24" s="1"/>
  <c r="H24" s="1"/>
  <c r="G823" i="2"/>
  <c r="G1020"/>
  <c r="AA1014"/>
  <c r="AB1014" s="1"/>
  <c r="P877"/>
  <c r="P879" s="1"/>
  <c r="P889"/>
  <c r="P891" s="1"/>
  <c r="P869"/>
  <c r="Q948"/>
  <c r="Q952" s="1"/>
  <c r="Q956"/>
  <c r="Q960" s="1"/>
  <c r="D61" i="4"/>
  <c r="E61" s="1"/>
  <c r="G61" s="1"/>
  <c r="H1034" i="2"/>
  <c r="H1038" s="1"/>
  <c r="J1244"/>
  <c r="I1244"/>
  <c r="M945"/>
  <c r="M948" s="1"/>
  <c r="M952" s="1"/>
  <c r="G1185"/>
  <c r="D65" i="4"/>
  <c r="E65" s="1"/>
  <c r="G65" s="1"/>
  <c r="L1034" i="2"/>
  <c r="L1038" s="1"/>
  <c r="K999"/>
  <c r="D18" i="22"/>
  <c r="K1000" i="2"/>
  <c r="G1214"/>
  <c r="G1262" s="1"/>
  <c r="AA1187"/>
  <c r="AB1187" s="1"/>
  <c r="G1213"/>
  <c r="G1252" s="1"/>
  <c r="E18" i="17"/>
  <c r="D20"/>
  <c r="D24" s="1"/>
  <c r="D41" s="1"/>
  <c r="D47" s="1"/>
  <c r="P1218" i="2"/>
  <c r="P1277" s="1"/>
  <c r="E18" i="20"/>
  <c r="D20"/>
  <c r="D24" s="1"/>
  <c r="D41" s="1"/>
  <c r="D47" s="1"/>
  <c r="AA873" i="2"/>
  <c r="AB873" s="1"/>
  <c r="AA975"/>
  <c r="AB975" s="1"/>
  <c r="G939"/>
  <c r="G914"/>
  <c r="AA908"/>
  <c r="AB908" s="1"/>
  <c r="G980"/>
  <c r="M882"/>
  <c r="M886" s="1"/>
  <c r="U882"/>
  <c r="U886" s="1"/>
  <c r="L882"/>
  <c r="L886" s="1"/>
  <c r="G1190"/>
  <c r="M960"/>
  <c r="R948"/>
  <c r="R952" s="1"/>
  <c r="D66" i="4" l="1"/>
  <c r="E66" s="1"/>
  <c r="G66" s="1"/>
  <c r="P1279" i="2"/>
  <c r="AA1191"/>
  <c r="AB1191" s="1"/>
  <c r="I882"/>
  <c r="I886" s="1"/>
  <c r="AA1186"/>
  <c r="AB1186" s="1"/>
  <c r="I1001"/>
  <c r="H1001"/>
  <c r="D62" i="4"/>
  <c r="E62" s="1"/>
  <c r="G62" s="1"/>
  <c r="I1034" i="2"/>
  <c r="I1038" s="1"/>
  <c r="AA939"/>
  <c r="AB939" s="1"/>
  <c r="AA914"/>
  <c r="AB914" s="1"/>
  <c r="G917"/>
  <c r="E20" i="20"/>
  <c r="F18"/>
  <c r="F18" i="17"/>
  <c r="E20"/>
  <c r="E18" i="15"/>
  <c r="D20"/>
  <c r="D24" s="1"/>
  <c r="D41" s="1"/>
  <c r="D47" s="1"/>
  <c r="K1001" i="2"/>
  <c r="P1001"/>
  <c r="AA1190"/>
  <c r="AB1190" s="1"/>
  <c r="G1216"/>
  <c r="G1272" s="1"/>
  <c r="G1025"/>
  <c r="AA980"/>
  <c r="AB980" s="1"/>
  <c r="G986"/>
  <c r="H18" i="22"/>
  <c r="D20"/>
  <c r="D24" s="1"/>
  <c r="D41" s="1"/>
  <c r="D47" s="1"/>
  <c r="E18"/>
  <c r="G1211" i="2"/>
  <c r="G1242" s="1"/>
  <c r="G1194"/>
  <c r="AA1185"/>
  <c r="C41" i="14"/>
  <c r="C60" i="4"/>
  <c r="AA1020" i="2"/>
  <c r="AB1020" s="1"/>
  <c r="C47" i="14"/>
  <c r="G1027" i="2"/>
  <c r="AA982"/>
  <c r="E18" i="23"/>
  <c r="D20"/>
  <c r="D24" s="1"/>
  <c r="D41" s="1"/>
  <c r="D47" s="1"/>
  <c r="E18" i="16"/>
  <c r="D20"/>
  <c r="D24" s="1"/>
  <c r="D41" s="1"/>
  <c r="D47" s="1"/>
  <c r="P882" i="2"/>
  <c r="P886" s="1"/>
  <c r="L1001"/>
  <c r="R1038"/>
  <c r="AD1038"/>
  <c r="E18" i="19"/>
  <c r="D20"/>
  <c r="D24" s="1"/>
  <c r="D41" s="1"/>
  <c r="D47" s="1"/>
  <c r="I948" i="2"/>
  <c r="I952" s="1"/>
  <c r="I956"/>
  <c r="I960" s="1"/>
  <c r="AA1189"/>
  <c r="AB1189" s="1"/>
  <c r="G1215"/>
  <c r="G1267" s="1"/>
  <c r="E50" i="4"/>
  <c r="G50" s="1"/>
  <c r="G34"/>
  <c r="AA867" i="2"/>
  <c r="AB867" s="1"/>
  <c r="G877"/>
  <c r="G889"/>
  <c r="G869"/>
  <c r="E25" i="4"/>
  <c r="G25" s="1"/>
  <c r="G9"/>
  <c r="E20" i="21"/>
  <c r="F18"/>
  <c r="E20" i="23" l="1"/>
  <c r="F18"/>
  <c r="E20" i="22"/>
  <c r="F18"/>
  <c r="E20" i="15"/>
  <c r="F18"/>
  <c r="E24" i="20"/>
  <c r="K20"/>
  <c r="L20" s="1"/>
  <c r="AA877" i="2"/>
  <c r="AB877" s="1"/>
  <c r="G879"/>
  <c r="AA879" s="1"/>
  <c r="AB879" s="1"/>
  <c r="G891"/>
  <c r="AA889"/>
  <c r="AB889" s="1"/>
  <c r="AA869"/>
  <c r="AB869" s="1"/>
  <c r="G882"/>
  <c r="AA986"/>
  <c r="AB986" s="1"/>
  <c r="G989"/>
  <c r="G18" i="20"/>
  <c r="F20"/>
  <c r="F24" s="1"/>
  <c r="E24" i="21"/>
  <c r="K20"/>
  <c r="L20" s="1"/>
  <c r="G18"/>
  <c r="F20"/>
  <c r="F24" s="1"/>
  <c r="E20" i="16"/>
  <c r="F18"/>
  <c r="C76" i="4"/>
  <c r="H20" i="22"/>
  <c r="H24" s="1"/>
  <c r="I18"/>
  <c r="F20" i="17"/>
  <c r="F24" s="1"/>
  <c r="G18"/>
  <c r="E20" i="19"/>
  <c r="F18"/>
  <c r="AB982" i="2"/>
  <c r="AA1027"/>
  <c r="AB1027" s="1"/>
  <c r="AA1194"/>
  <c r="AB1194" s="1"/>
  <c r="AB1185"/>
  <c r="G1031"/>
  <c r="AA1025"/>
  <c r="AB1025" s="1"/>
  <c r="E24" i="17"/>
  <c r="AA917" i="2"/>
  <c r="AB917" s="1"/>
  <c r="G921"/>
  <c r="G931"/>
  <c r="G1258" l="1"/>
  <c r="G1259" s="1"/>
  <c r="G1263"/>
  <c r="G1264" s="1"/>
  <c r="G1248"/>
  <c r="G1249" s="1"/>
  <c r="G1253"/>
  <c r="G1254" s="1"/>
  <c r="G1268"/>
  <c r="G1269" s="1"/>
  <c r="G1278"/>
  <c r="G1279" s="1"/>
  <c r="G1283"/>
  <c r="G1284" s="1"/>
  <c r="G1273"/>
  <c r="G1274" s="1"/>
  <c r="G1243"/>
  <c r="G1244" s="1"/>
  <c r="G18" i="19"/>
  <c r="F20"/>
  <c r="F24" s="1"/>
  <c r="E24" i="15"/>
  <c r="E24" i="23"/>
  <c r="D60" i="4"/>
  <c r="AA1031" i="2"/>
  <c r="AB1031" s="1"/>
  <c r="G1034"/>
  <c r="H18" i="17"/>
  <c r="G20"/>
  <c r="K24" i="21"/>
  <c r="L24" s="1"/>
  <c r="AA989" i="2"/>
  <c r="AB989" s="1"/>
  <c r="G993"/>
  <c r="G18" i="15"/>
  <c r="F20"/>
  <c r="F24" s="1"/>
  <c r="F20" i="23"/>
  <c r="F24" s="1"/>
  <c r="G18"/>
  <c r="E24" i="16"/>
  <c r="H18" i="20"/>
  <c r="G20"/>
  <c r="G24" s="1"/>
  <c r="AA882" i="2"/>
  <c r="AB882" s="1"/>
  <c r="G886"/>
  <c r="K24" i="20"/>
  <c r="L24" s="1"/>
  <c r="E24" i="22"/>
  <c r="G958" i="2"/>
  <c r="AA931"/>
  <c r="AB931" s="1"/>
  <c r="G962"/>
  <c r="G943"/>
  <c r="G934"/>
  <c r="G935" s="1"/>
  <c r="I8" i="24" s="1"/>
  <c r="I24" s="1"/>
  <c r="E24" i="19"/>
  <c r="J18" i="22"/>
  <c r="J20" s="1"/>
  <c r="J24" s="1"/>
  <c r="I20"/>
  <c r="I24" s="1"/>
  <c r="F20" i="16"/>
  <c r="F24" s="1"/>
  <c r="G18"/>
  <c r="H18" i="21"/>
  <c r="G20"/>
  <c r="G24" s="1"/>
  <c r="G18" i="22"/>
  <c r="G20" s="1"/>
  <c r="G24" s="1"/>
  <c r="F20"/>
  <c r="F24" s="1"/>
  <c r="F26" i="20"/>
  <c r="F41" s="1"/>
  <c r="F47" s="1"/>
  <c r="F51" s="1"/>
  <c r="K54" s="1"/>
  <c r="G26" i="21" l="1"/>
  <c r="G41" s="1"/>
  <c r="G47" s="1"/>
  <c r="G51" s="1"/>
  <c r="H20" i="20"/>
  <c r="H24" s="1"/>
  <c r="H26" s="1"/>
  <c r="H41" s="1"/>
  <c r="H47" s="1"/>
  <c r="H51" s="1"/>
  <c r="I18"/>
  <c r="H20" i="17"/>
  <c r="H24" s="1"/>
  <c r="I18"/>
  <c r="F26" i="21"/>
  <c r="F41" s="1"/>
  <c r="F47" s="1"/>
  <c r="F51" s="1"/>
  <c r="K54" s="1"/>
  <c r="AA943" i="2"/>
  <c r="AB943" s="1"/>
  <c r="G945"/>
  <c r="AA945" s="1"/>
  <c r="AB945" s="1"/>
  <c r="G20" i="16"/>
  <c r="G24" s="1"/>
  <c r="H18"/>
  <c r="AA934" i="2"/>
  <c r="AB934" s="1"/>
  <c r="G956"/>
  <c r="H18" i="23"/>
  <c r="G20"/>
  <c r="G24" s="1"/>
  <c r="G999" i="2"/>
  <c r="G1000"/>
  <c r="AA1000" s="1"/>
  <c r="G24" i="17"/>
  <c r="D76" i="4"/>
  <c r="E60"/>
  <c r="G20" i="19"/>
  <c r="H18"/>
  <c r="G960" i="2"/>
  <c r="E26" i="20"/>
  <c r="G26"/>
  <c r="G41" s="1"/>
  <c r="G47" s="1"/>
  <c r="G51" s="1"/>
  <c r="K24" i="22"/>
  <c r="J26" s="1"/>
  <c r="J41" s="1"/>
  <c r="J47" s="1"/>
  <c r="E26"/>
  <c r="H18" i="15"/>
  <c r="G20"/>
  <c r="G24" s="1"/>
  <c r="I18" i="21"/>
  <c r="H20"/>
  <c r="H24" s="1"/>
  <c r="H26" s="1"/>
  <c r="H41" s="1"/>
  <c r="H47" s="1"/>
  <c r="H51" s="1"/>
  <c r="G1038" i="2"/>
  <c r="D18" i="14" s="1"/>
  <c r="AA1034" i="2"/>
  <c r="AB1034" s="1"/>
  <c r="I26" i="22"/>
  <c r="I41" s="1"/>
  <c r="I47" s="1"/>
  <c r="K20"/>
  <c r="L20" s="1"/>
  <c r="E26" i="21"/>
  <c r="G948" i="2" l="1"/>
  <c r="AA948" s="1"/>
  <c r="AB948" s="1"/>
  <c r="J51" i="22"/>
  <c r="K58"/>
  <c r="E41"/>
  <c r="G24" i="19"/>
  <c r="G1001" i="2"/>
  <c r="AA999"/>
  <c r="AA1003" s="1"/>
  <c r="K57" i="22"/>
  <c r="I51"/>
  <c r="D20" i="14"/>
  <c r="D24" s="1"/>
  <c r="D41" s="1"/>
  <c r="D47" s="1"/>
  <c r="E18"/>
  <c r="K26" i="20"/>
  <c r="L26" s="1"/>
  <c r="E41"/>
  <c r="H20" i="19"/>
  <c r="H24" s="1"/>
  <c r="I18"/>
  <c r="E76" i="4"/>
  <c r="G76" s="1"/>
  <c r="G60"/>
  <c r="J18" i="17"/>
  <c r="J20" s="1"/>
  <c r="J24" s="1"/>
  <c r="I20"/>
  <c r="H20" i="23"/>
  <c r="I18"/>
  <c r="I18" i="16"/>
  <c r="H20"/>
  <c r="K26" i="21"/>
  <c r="L26" s="1"/>
  <c r="E41"/>
  <c r="I20"/>
  <c r="I24" s="1"/>
  <c r="I26" s="1"/>
  <c r="I41" s="1"/>
  <c r="I47" s="1"/>
  <c r="J18"/>
  <c r="J20" s="1"/>
  <c r="J24" s="1"/>
  <c r="J26" s="1"/>
  <c r="J41" s="1"/>
  <c r="J47" s="1"/>
  <c r="I18" i="15"/>
  <c r="H20"/>
  <c r="H24" s="1"/>
  <c r="L24" i="22"/>
  <c r="H26"/>
  <c r="H41" s="1"/>
  <c r="H47" s="1"/>
  <c r="H51" s="1"/>
  <c r="J18" i="20"/>
  <c r="J20" s="1"/>
  <c r="J24" s="1"/>
  <c r="J26" s="1"/>
  <c r="J41" s="1"/>
  <c r="J47" s="1"/>
  <c r="I20"/>
  <c r="I24" s="1"/>
  <c r="I26" s="1"/>
  <c r="I41" s="1"/>
  <c r="I47" s="1"/>
  <c r="F26" i="22"/>
  <c r="F41" s="1"/>
  <c r="F47" s="1"/>
  <c r="F51" s="1"/>
  <c r="K54" s="1"/>
  <c r="G26"/>
  <c r="G41" s="1"/>
  <c r="G47" s="1"/>
  <c r="G51" s="1"/>
  <c r="K59" l="1"/>
  <c r="G952" i="2"/>
  <c r="O1288" s="1"/>
  <c r="I51" i="21"/>
  <c r="K57"/>
  <c r="K59" s="1"/>
  <c r="AA1001" i="2"/>
  <c r="J51" i="21"/>
  <c r="K58"/>
  <c r="H24" i="23"/>
  <c r="I24" i="17"/>
  <c r="K20"/>
  <c r="L20" s="1"/>
  <c r="E47" i="20"/>
  <c r="K41"/>
  <c r="L41" s="1"/>
  <c r="K51" i="22"/>
  <c r="K53"/>
  <c r="E47"/>
  <c r="K41"/>
  <c r="L41" s="1"/>
  <c r="K26"/>
  <c r="L26" s="1"/>
  <c r="H24" i="16"/>
  <c r="K58" i="20"/>
  <c r="J51"/>
  <c r="I20" i="15"/>
  <c r="I24" s="1"/>
  <c r="J18"/>
  <c r="J20" s="1"/>
  <c r="J24" s="1"/>
  <c r="J18" i="23"/>
  <c r="J20" s="1"/>
  <c r="J24" s="1"/>
  <c r="I20"/>
  <c r="I24" s="1"/>
  <c r="O1289" i="2"/>
  <c r="P1287"/>
  <c r="K57" i="20"/>
  <c r="K59" s="1"/>
  <c r="I51"/>
  <c r="K41" i="21"/>
  <c r="L41" s="1"/>
  <c r="E47"/>
  <c r="J18" i="16"/>
  <c r="J20" s="1"/>
  <c r="J24" s="1"/>
  <c r="I20"/>
  <c r="I24" s="1"/>
  <c r="I20" i="19"/>
  <c r="I24" s="1"/>
  <c r="J18"/>
  <c r="J20" s="1"/>
  <c r="J24" s="1"/>
  <c r="F18" i="14"/>
  <c r="E20"/>
  <c r="G1287" i="2" l="1"/>
  <c r="P1289"/>
  <c r="S1289" s="1"/>
  <c r="G1288"/>
  <c r="G1289"/>
  <c r="O1287"/>
  <c r="O1290" s="1"/>
  <c r="P1288"/>
  <c r="S1288" s="1"/>
  <c r="K20" i="19"/>
  <c r="L20" s="1"/>
  <c r="E51" i="22"/>
  <c r="K55" s="1"/>
  <c r="K47"/>
  <c r="L47" s="1"/>
  <c r="E51" i="20"/>
  <c r="K55" s="1"/>
  <c r="K47"/>
  <c r="L47" s="1"/>
  <c r="K24" i="23"/>
  <c r="H26" s="1"/>
  <c r="H41" s="1"/>
  <c r="H47" s="1"/>
  <c r="H51" s="1"/>
  <c r="Y1002" i="2"/>
  <c r="Z1002"/>
  <c r="W1002"/>
  <c r="X1002"/>
  <c r="V1002"/>
  <c r="T1002"/>
  <c r="T1003" s="1"/>
  <c r="T1005" s="1"/>
  <c r="R1002"/>
  <c r="R1003" s="1"/>
  <c r="R1005" s="1"/>
  <c r="R1006" s="1"/>
  <c r="J1002"/>
  <c r="J1003" s="1"/>
  <c r="J1005" s="1"/>
  <c r="U1002"/>
  <c r="U1003" s="1"/>
  <c r="U1005" s="1"/>
  <c r="S1002"/>
  <c r="S1003" s="1"/>
  <c r="S1005" s="1"/>
  <c r="I1002"/>
  <c r="I1003" s="1"/>
  <c r="I1005" s="1"/>
  <c r="I1006" s="1"/>
  <c r="Q1002"/>
  <c r="Q1003" s="1"/>
  <c r="Q1005" s="1"/>
  <c r="H1002"/>
  <c r="H1003" s="1"/>
  <c r="H1005" s="1"/>
  <c r="K1002"/>
  <c r="K1003" s="1"/>
  <c r="K1005" s="1"/>
  <c r="K1006" s="1"/>
  <c r="R1009" s="1"/>
  <c r="R1008" s="1"/>
  <c r="P1002"/>
  <c r="P1003" s="1"/>
  <c r="P1005" s="1"/>
  <c r="L1002"/>
  <c r="L1003" s="1"/>
  <c r="L1005" s="1"/>
  <c r="K51" i="21"/>
  <c r="K53"/>
  <c r="K24" i="15"/>
  <c r="J26" s="1"/>
  <c r="J41" s="1"/>
  <c r="J47" s="1"/>
  <c r="K24" i="16"/>
  <c r="H26" s="1"/>
  <c r="H41" s="1"/>
  <c r="H47" s="1"/>
  <c r="H51" s="1"/>
  <c r="K20" i="23"/>
  <c r="L20" s="1"/>
  <c r="G1002" i="2"/>
  <c r="E24" i="14"/>
  <c r="K51" i="20"/>
  <c r="K53"/>
  <c r="K24" i="17"/>
  <c r="I26" s="1"/>
  <c r="I41" s="1"/>
  <c r="I47" s="1"/>
  <c r="I51" s="1"/>
  <c r="K20" i="16"/>
  <c r="L20" s="1"/>
  <c r="G18" i="14"/>
  <c r="F20"/>
  <c r="F24" s="1"/>
  <c r="K47" i="21"/>
  <c r="L47" s="1"/>
  <c r="E51"/>
  <c r="K55" s="1"/>
  <c r="S1287" i="2"/>
  <c r="K24" i="19"/>
  <c r="I26" s="1"/>
  <c r="I41" s="1"/>
  <c r="I47" s="1"/>
  <c r="K20" i="15"/>
  <c r="L20" s="1"/>
  <c r="J26" i="23" l="1"/>
  <c r="J41" s="1"/>
  <c r="J47" s="1"/>
  <c r="I26"/>
  <c r="I41" s="1"/>
  <c r="I47" s="1"/>
  <c r="I51" s="1"/>
  <c r="G1290" i="2"/>
  <c r="G1294" s="1"/>
  <c r="P1290"/>
  <c r="O1293" s="1"/>
  <c r="J26" i="19"/>
  <c r="J41" s="1"/>
  <c r="J47" s="1"/>
  <c r="J51" s="1"/>
  <c r="I51"/>
  <c r="L24" i="15"/>
  <c r="E26"/>
  <c r="F26"/>
  <c r="F41" s="1"/>
  <c r="F47" s="1"/>
  <c r="F51" s="1"/>
  <c r="G26"/>
  <c r="G41" s="1"/>
  <c r="G47" s="1"/>
  <c r="G51" s="1"/>
  <c r="H26"/>
  <c r="H41" s="1"/>
  <c r="H47" s="1"/>
  <c r="H51" s="1"/>
  <c r="P1293" i="2"/>
  <c r="J51" i="15"/>
  <c r="J51" i="23"/>
  <c r="L24" i="16"/>
  <c r="F26"/>
  <c r="F41" s="1"/>
  <c r="F47" s="1"/>
  <c r="F51" s="1"/>
  <c r="K54" s="1"/>
  <c r="E26"/>
  <c r="G26"/>
  <c r="G41" s="1"/>
  <c r="G47" s="1"/>
  <c r="G51" s="1"/>
  <c r="O1292" i="2"/>
  <c r="J26" i="16"/>
  <c r="J41" s="1"/>
  <c r="J47" s="1"/>
  <c r="H26" i="19"/>
  <c r="H41" s="1"/>
  <c r="H47" s="1"/>
  <c r="H51" s="1"/>
  <c r="L24"/>
  <c r="F26"/>
  <c r="F41" s="1"/>
  <c r="F47" s="1"/>
  <c r="F51" s="1"/>
  <c r="K54" s="1"/>
  <c r="E26"/>
  <c r="G26"/>
  <c r="G41" s="1"/>
  <c r="G47" s="1"/>
  <c r="G51" s="1"/>
  <c r="H18" i="14"/>
  <c r="G20"/>
  <c r="L24" i="17"/>
  <c r="F26"/>
  <c r="F41" s="1"/>
  <c r="F47" s="1"/>
  <c r="F51" s="1"/>
  <c r="K54" s="1"/>
  <c r="E26"/>
  <c r="H26"/>
  <c r="H41" s="1"/>
  <c r="H47" s="1"/>
  <c r="H51" s="1"/>
  <c r="G26"/>
  <c r="G41" s="1"/>
  <c r="G47" s="1"/>
  <c r="G51" s="1"/>
  <c r="J26"/>
  <c r="J41" s="1"/>
  <c r="J47" s="1"/>
  <c r="G1003" i="2"/>
  <c r="G1005" s="1"/>
  <c r="AA1002"/>
  <c r="AB1002" s="1"/>
  <c r="L24" i="23"/>
  <c r="E26"/>
  <c r="F26"/>
  <c r="F41" s="1"/>
  <c r="F47" s="1"/>
  <c r="F51" s="1"/>
  <c r="K54" s="1"/>
  <c r="G26"/>
  <c r="G41" s="1"/>
  <c r="G47" s="1"/>
  <c r="G51" s="1"/>
  <c r="I26" i="16"/>
  <c r="I41" s="1"/>
  <c r="I47" s="1"/>
  <c r="I26" i="15"/>
  <c r="I41" s="1"/>
  <c r="I47" s="1"/>
  <c r="K58" i="23" l="1"/>
  <c r="P1294" i="2"/>
  <c r="K57" i="23"/>
  <c r="K59" s="1"/>
  <c r="O1294" i="2"/>
  <c r="O1295" s="1"/>
  <c r="G1292"/>
  <c r="G1293"/>
  <c r="P1292"/>
  <c r="K58" i="19"/>
  <c r="K57"/>
  <c r="K56" i="15"/>
  <c r="I51"/>
  <c r="AA1005" i="2"/>
  <c r="AB1005" s="1"/>
  <c r="F1005"/>
  <c r="K26" i="17"/>
  <c r="L26" s="1"/>
  <c r="E41"/>
  <c r="I18" i="14"/>
  <c r="H20"/>
  <c r="H24" s="1"/>
  <c r="K53" i="19"/>
  <c r="K51"/>
  <c r="G24" i="14"/>
  <c r="K26" i="15"/>
  <c r="L26" s="1"/>
  <c r="E41"/>
  <c r="K57"/>
  <c r="K26" i="19"/>
  <c r="L26" s="1"/>
  <c r="E41"/>
  <c r="J51" i="16"/>
  <c r="K58"/>
  <c r="K53" i="23"/>
  <c r="K51"/>
  <c r="K57" i="16"/>
  <c r="I51"/>
  <c r="K26" i="23"/>
  <c r="L26" s="1"/>
  <c r="E41"/>
  <c r="K57" i="17"/>
  <c r="K58"/>
  <c r="J51"/>
  <c r="K26" i="16"/>
  <c r="L26" s="1"/>
  <c r="E41"/>
  <c r="G1295" i="2" l="1"/>
  <c r="P1295"/>
  <c r="K59" i="19"/>
  <c r="K59" i="17"/>
  <c r="K53" i="16"/>
  <c r="K51"/>
  <c r="K58" i="15"/>
  <c r="K53" i="17"/>
  <c r="K51"/>
  <c r="E47" i="15"/>
  <c r="K41"/>
  <c r="L41" s="1"/>
  <c r="K41" i="17"/>
  <c r="L41" s="1"/>
  <c r="E47"/>
  <c r="K51" i="15"/>
  <c r="K53"/>
  <c r="E47" i="23"/>
  <c r="K41"/>
  <c r="L41" s="1"/>
  <c r="I20" i="14"/>
  <c r="J18"/>
  <c r="J20" s="1"/>
  <c r="J24" s="1"/>
  <c r="K41" i="19"/>
  <c r="L41" s="1"/>
  <c r="E47"/>
  <c r="E47" i="16"/>
  <c r="K41"/>
  <c r="L41" s="1"/>
  <c r="K59"/>
  <c r="K47" i="17" l="1"/>
  <c r="L47" s="1"/>
  <c r="E51"/>
  <c r="K55" s="1"/>
  <c r="K47" i="15"/>
  <c r="L47" s="1"/>
  <c r="E51"/>
  <c r="K54" s="1"/>
  <c r="K47" i="19"/>
  <c r="L47" s="1"/>
  <c r="E51"/>
  <c r="K55" s="1"/>
  <c r="K47" i="16"/>
  <c r="L47" s="1"/>
  <c r="E51"/>
  <c r="K55" s="1"/>
  <c r="I24" i="14"/>
  <c r="K24" s="1"/>
  <c r="K20"/>
  <c r="L20" s="1"/>
  <c r="K47" i="23"/>
  <c r="L47" s="1"/>
  <c r="E51"/>
  <c r="K55" s="1"/>
  <c r="I26" i="14" l="1"/>
  <c r="I41" s="1"/>
  <c r="I47" s="1"/>
  <c r="L24"/>
  <c r="E26"/>
  <c r="F26"/>
  <c r="F41" s="1"/>
  <c r="F47" s="1"/>
  <c r="F51" s="1"/>
  <c r="H26"/>
  <c r="H41" s="1"/>
  <c r="H47" s="1"/>
  <c r="H51" s="1"/>
  <c r="G26"/>
  <c r="G41" s="1"/>
  <c r="G47" s="1"/>
  <c r="G51" s="1"/>
  <c r="J26"/>
  <c r="J41" s="1"/>
  <c r="J47" s="1"/>
  <c r="I51" l="1"/>
  <c r="K56"/>
  <c r="K57"/>
  <c r="J51"/>
  <c r="K26"/>
  <c r="L26" s="1"/>
  <c r="E41"/>
  <c r="K58" l="1"/>
  <c r="K51"/>
  <c r="K53"/>
  <c r="E47"/>
  <c r="K41"/>
  <c r="L41" s="1"/>
  <c r="E51" l="1"/>
  <c r="K54" s="1"/>
  <c r="K47"/>
  <c r="L47" s="1"/>
</calcChain>
</file>

<file path=xl/comments1.xml><?xml version="1.0" encoding="utf-8"?>
<comments xmlns="http://schemas.openxmlformats.org/spreadsheetml/2006/main">
  <authors>
    <author>Wernert, Jeff</author>
    <author>Carol Foxworthy</author>
  </authors>
  <commentList>
    <comment ref="K1165" authorId="0">
      <text>
        <r>
          <rPr>
            <b/>
            <sz val="9"/>
            <color indexed="81"/>
            <rFont val="Tahoma"/>
            <family val="2"/>
          </rPr>
          <t>Wernert, Jeff:</t>
        </r>
        <r>
          <rPr>
            <sz val="9"/>
            <color indexed="81"/>
            <rFont val="Tahoma"/>
            <family val="2"/>
          </rPr>
          <t xml:space="preserve">
Carbide - CSR 10</t>
        </r>
      </text>
    </comment>
    <comment ref="M1165" authorId="0">
      <text>
        <r>
          <rPr>
            <b/>
            <sz val="9"/>
            <color indexed="81"/>
            <rFont val="Tahoma"/>
            <family val="2"/>
          </rPr>
          <t>Wernert, Jeff:</t>
        </r>
        <r>
          <rPr>
            <sz val="9"/>
            <color indexed="81"/>
            <rFont val="Tahoma"/>
            <family val="2"/>
          </rPr>
          <t xml:space="preserve">
Carbide - CSR 10</t>
        </r>
      </text>
    </comment>
    <comment ref="P1165" authorId="0">
      <text>
        <r>
          <rPr>
            <b/>
            <sz val="9"/>
            <color indexed="81"/>
            <rFont val="Tahoma"/>
            <family val="2"/>
          </rPr>
          <t>Wernert, Jeff:</t>
        </r>
        <r>
          <rPr>
            <sz val="9"/>
            <color indexed="81"/>
            <rFont val="Tahoma"/>
            <family val="2"/>
          </rPr>
          <t xml:space="preserve">
Cemex - CSR 30</t>
        </r>
      </text>
    </comment>
    <comment ref="E1225" authorId="1">
      <text>
        <r>
          <rPr>
            <b/>
            <sz val="8"/>
            <color indexed="81"/>
            <rFont val="Tahoma"/>
            <family val="2"/>
          </rPr>
          <t>Carol Foxworthy:</t>
        </r>
        <r>
          <rPr>
            <sz val="8"/>
            <color indexed="81"/>
            <rFont val="Tahoma"/>
            <family val="2"/>
          </rPr>
          <t xml:space="preserve">
Divisor equal to energy sales during non-peak months</t>
        </r>
      </text>
    </comment>
    <comment ref="E1226" authorId="1">
      <text>
        <r>
          <rPr>
            <b/>
            <sz val="8"/>
            <color indexed="81"/>
            <rFont val="Tahoma"/>
            <family val="2"/>
          </rPr>
          <t>Carol Foxworthy:</t>
        </r>
        <r>
          <rPr>
            <sz val="8"/>
            <color indexed="81"/>
            <rFont val="Tahoma"/>
            <family val="2"/>
          </rPr>
          <t xml:space="preserve">
Divisor equal to energy sales during peak months</t>
        </r>
      </text>
    </comment>
  </commentList>
</comments>
</file>

<file path=xl/sharedStrings.xml><?xml version="1.0" encoding="utf-8"?>
<sst xmlns="http://schemas.openxmlformats.org/spreadsheetml/2006/main" count="4106" uniqueCount="1543">
  <si>
    <t>Cash Working Capital</t>
  </si>
  <si>
    <t>Total Operating Revenue -- Pro-Forma Actual</t>
  </si>
  <si>
    <t>ADEPREPA</t>
  </si>
  <si>
    <t>ADEPRTP</t>
  </si>
  <si>
    <t>M&amp;S</t>
  </si>
  <si>
    <t>DDEBPP</t>
  </si>
  <si>
    <t>OM555</t>
  </si>
  <si>
    <t>OTHER EXPENSES</t>
  </si>
  <si>
    <t>OM557</t>
  </si>
  <si>
    <t>TPP</t>
  </si>
  <si>
    <t>Purchased Power Expenses</t>
  </si>
  <si>
    <t>OM560</t>
  </si>
  <si>
    <t>OM561</t>
  </si>
  <si>
    <t>OM562</t>
  </si>
  <si>
    <t>OM563</t>
  </si>
  <si>
    <t>OM568</t>
  </si>
  <si>
    <t>OM570</t>
  </si>
  <si>
    <t>OM571</t>
  </si>
  <si>
    <t>OMSUB2</t>
  </si>
  <si>
    <t>Operation and Maintenance Expenses Less Purchase Power</t>
  </si>
  <si>
    <t>Cash Working Capital - Operation and Maintenance Expenses</t>
  </si>
  <si>
    <t>DEPRTP</t>
  </si>
  <si>
    <t>DEPRAADJ</t>
  </si>
  <si>
    <t>OTHER</t>
  </si>
  <si>
    <t xml:space="preserve">  CWIP Transmission</t>
  </si>
  <si>
    <t>ADEPRD11</t>
  </si>
  <si>
    <t>ADEPRD12</t>
  </si>
  <si>
    <t>METER EXPENSES - LOAD MANAGEMENT</t>
  </si>
  <si>
    <t>OM586x</t>
  </si>
  <si>
    <t>RECORDS AND COLLECTION</t>
  </si>
  <si>
    <t>MISC CUST ACCOUNTS</t>
  </si>
  <si>
    <t>CUSTOMER ASSISTANCE EXP-LOAD MGMT</t>
  </si>
  <si>
    <t>OM908x</t>
  </si>
  <si>
    <t>INFORM AND INSTRUC -LOAD MGMT</t>
  </si>
  <si>
    <t>OM909x</t>
  </si>
  <si>
    <t>DEPRDP1</t>
  </si>
  <si>
    <t>DEPRDP2</t>
  </si>
  <si>
    <t>DEPRDP3</t>
  </si>
  <si>
    <t>DEPRDP4</t>
  </si>
  <si>
    <t>DEPRDP5</t>
  </si>
  <si>
    <t>DEPRDP6</t>
  </si>
  <si>
    <t>Load Management</t>
  </si>
  <si>
    <t>F012</t>
  </si>
  <si>
    <t>REVMISC</t>
  </si>
  <si>
    <t>Deferred Debits</t>
  </si>
  <si>
    <t>Labor Expenses (Continued)</t>
  </si>
  <si>
    <t>LBPP</t>
  </si>
  <si>
    <t>LB557</t>
  </si>
  <si>
    <t>LB561</t>
  </si>
  <si>
    <t>LB562</t>
  </si>
  <si>
    <t>LB563</t>
  </si>
  <si>
    <t>LB570</t>
  </si>
  <si>
    <t>LB571</t>
  </si>
  <si>
    <t>LB580</t>
  </si>
  <si>
    <t>LB581</t>
  </si>
  <si>
    <t>LB582</t>
  </si>
  <si>
    <t>LB583</t>
  </si>
  <si>
    <t>LB584</t>
  </si>
  <si>
    <t>LB585</t>
  </si>
  <si>
    <t>LB586</t>
  </si>
  <si>
    <t>LB586x</t>
  </si>
  <si>
    <t>LB587</t>
  </si>
  <si>
    <t>LB588</t>
  </si>
  <si>
    <t>LB589</t>
  </si>
  <si>
    <t>LBDO</t>
  </si>
  <si>
    <t>LB590</t>
  </si>
  <si>
    <t>LB592</t>
  </si>
  <si>
    <t>LB593</t>
  </si>
  <si>
    <t>LB594</t>
  </si>
  <si>
    <t>LB595</t>
  </si>
  <si>
    <t>LB596</t>
  </si>
  <si>
    <t>LB597</t>
  </si>
  <si>
    <t>LB598</t>
  </si>
  <si>
    <t>LBDM</t>
  </si>
  <si>
    <t>LBSUB</t>
  </si>
  <si>
    <t>LB901</t>
  </si>
  <si>
    <t>LB902</t>
  </si>
  <si>
    <t>LB903</t>
  </si>
  <si>
    <t>LB904</t>
  </si>
  <si>
    <t>LBCA</t>
  </si>
  <si>
    <t>LB907</t>
  </si>
  <si>
    <t>LB908</t>
  </si>
  <si>
    <t>LB908x</t>
  </si>
  <si>
    <t>LB909</t>
  </si>
  <si>
    <t>LB909x</t>
  </si>
  <si>
    <t>LB910</t>
  </si>
  <si>
    <t>LBCS</t>
  </si>
  <si>
    <t>LBSUB2</t>
  </si>
  <si>
    <t>LB920</t>
  </si>
  <si>
    <t>LB923</t>
  </si>
  <si>
    <t>LB924</t>
  </si>
  <si>
    <t>LB925</t>
  </si>
  <si>
    <t>LB926</t>
  </si>
  <si>
    <t>LB928</t>
  </si>
  <si>
    <t>LB929</t>
  </si>
  <si>
    <t>LB930</t>
  </si>
  <si>
    <t>LB931</t>
  </si>
  <si>
    <t>LB932</t>
  </si>
  <si>
    <t>LBAG</t>
  </si>
  <si>
    <t>TLB</t>
  </si>
  <si>
    <t>LBLPP</t>
  </si>
  <si>
    <t>LB555</t>
  </si>
  <si>
    <t>LB560</t>
  </si>
  <si>
    <t>Total Purchased Power Labor</t>
  </si>
  <si>
    <t>Total Transmission Labor Expenses</t>
  </si>
  <si>
    <t>Transmission Labor Expenses</t>
  </si>
  <si>
    <t>Distribution Operation Labor Expense</t>
  </si>
  <si>
    <t>Total Distribution Operation Labor Expense</t>
  </si>
  <si>
    <t>Distribution Maintenance Labor Expense</t>
  </si>
  <si>
    <t>Total Distribution Maintenance Labor Expense</t>
  </si>
  <si>
    <t>Total Distribution Operation and Maintenance Labor Expenses</t>
  </si>
  <si>
    <t>Transmission and Distribution Labor Expenses</t>
  </si>
  <si>
    <t>Total Customer Accounts Labor Expense</t>
  </si>
  <si>
    <t>Total Customer Service Labor Expense</t>
  </si>
  <si>
    <t>F013</t>
  </si>
  <si>
    <t>F014</t>
  </si>
  <si>
    <t>Intallations on Customer Premises - Plant in Service</t>
  </si>
  <si>
    <t>Intallations on Customer Premises - Accum Depr</t>
  </si>
  <si>
    <t>OM588x</t>
  </si>
  <si>
    <t>F015</t>
  </si>
  <si>
    <t>F016</t>
  </si>
  <si>
    <t>Generators - Demand</t>
  </si>
  <si>
    <t>Generators -Energy</t>
  </si>
  <si>
    <t>CWIP1</t>
  </si>
  <si>
    <t>CWIP2</t>
  </si>
  <si>
    <t>CWIP3</t>
  </si>
  <si>
    <t>CWIP4</t>
  </si>
  <si>
    <t>Customers (Monthly Bills)</t>
  </si>
  <si>
    <t>Average Customers (Bills/12)</t>
  </si>
  <si>
    <t>Average Customers (Lighting = Lights)</t>
  </si>
  <si>
    <t>R01</t>
  </si>
  <si>
    <t>Cust01</t>
  </si>
  <si>
    <t>Cust04</t>
  </si>
  <si>
    <t>NCP</t>
  </si>
  <si>
    <t>Allocation Factors</t>
  </si>
  <si>
    <t>Total Operating Revenue -- Actual</t>
  </si>
  <si>
    <t>Pro-Forma Adjustments:</t>
  </si>
  <si>
    <t>Total Pro-Forma Operating Revenue</t>
  </si>
  <si>
    <t>Total Pro-forma Operating Expenses</t>
  </si>
  <si>
    <t>WATER HEATER - HEAT PUMP PROGRAM</t>
  </si>
  <si>
    <t>OM913</t>
  </si>
  <si>
    <t>P105</t>
  </si>
  <si>
    <t>Kwh</t>
  </si>
  <si>
    <t>Service Pension Cost</t>
  </si>
  <si>
    <t>PENSCOST</t>
  </si>
  <si>
    <t>Average</t>
  </si>
  <si>
    <t>Customers</t>
  </si>
  <si>
    <t>Meter</t>
  </si>
  <si>
    <t>Cost</t>
  </si>
  <si>
    <t>MISC. TRANSMISSION EXPENSES</t>
  </si>
  <si>
    <t>OM566</t>
  </si>
  <si>
    <t>DEMONSTRATION AND SELLING EXP</t>
  </si>
  <si>
    <t>OM912</t>
  </si>
  <si>
    <t>LB566</t>
  </si>
  <si>
    <t>LB912</t>
  </si>
  <si>
    <t>LB913</t>
  </si>
  <si>
    <t>Customer Specific Assignment</t>
  </si>
  <si>
    <t xml:space="preserve">Average Customers </t>
  </si>
  <si>
    <t>Cust05</t>
  </si>
  <si>
    <t>Cust06</t>
  </si>
  <si>
    <t xml:space="preserve">Other Deferred Debits </t>
  </si>
  <si>
    <t>ADVERTISING EXPENSES</t>
  </si>
  <si>
    <t>MDSE-JOBBING-CONTRACT</t>
  </si>
  <si>
    <t>MISC SALES EXPENSE</t>
  </si>
  <si>
    <t>OM915</t>
  </si>
  <si>
    <t>OM916</t>
  </si>
  <si>
    <t>LB915</t>
  </si>
  <si>
    <t>LB916</t>
  </si>
  <si>
    <t>Non-Coincident</t>
  </si>
  <si>
    <t>Distribution Demand</t>
  </si>
  <si>
    <t>Distribution Customer</t>
  </si>
  <si>
    <t>Operating Expenses-Unit Costs</t>
  </si>
  <si>
    <t>Rate Base-Unit Costs</t>
  </si>
  <si>
    <t>Unit Revenue Requirement @ Current Class Revenues</t>
  </si>
  <si>
    <t xml:space="preserve">Distribution Demand </t>
  </si>
  <si>
    <t>Distribution Demand (Per Kwh or Kw)</t>
  </si>
  <si>
    <t>Distribution Demand Margin (Per Kwh or Kw)</t>
  </si>
  <si>
    <t>Total Distribution Demand (Per Kwh or Kw)</t>
  </si>
  <si>
    <t xml:space="preserve">Distribution Customer </t>
  </si>
  <si>
    <t>Distribution Customer (Per Customer Per Month)</t>
  </si>
  <si>
    <t>Distribution Customer Margin (Per Customer Per Month)</t>
  </si>
  <si>
    <t>Total Distribution Customer (Per Customer Per Month)</t>
  </si>
  <si>
    <t xml:space="preserve">Operating </t>
  </si>
  <si>
    <t>Expenses</t>
  </si>
  <si>
    <t>Operating</t>
  </si>
  <si>
    <t>ROR</t>
  </si>
  <si>
    <t>OM911</t>
  </si>
  <si>
    <t>LB911</t>
  </si>
  <si>
    <t>Marketing/Economic Development</t>
  </si>
  <si>
    <t>MISC DISTR EXP -- MAPPIN</t>
  </si>
  <si>
    <t>Transmission Demand</t>
  </si>
  <si>
    <t>Maximum</t>
  </si>
  <si>
    <t>SCP</t>
  </si>
  <si>
    <t>WCP</t>
  </si>
  <si>
    <t>Sum of</t>
  </si>
  <si>
    <t>Individual NCP</t>
  </si>
  <si>
    <t>Service</t>
  </si>
  <si>
    <t>MISCR</t>
  </si>
  <si>
    <t>Base</t>
  </si>
  <si>
    <t>CUSTOMER ASSISTANCE EXP-INCENTIVES</t>
  </si>
  <si>
    <t>General Service</t>
  </si>
  <si>
    <t>Not Used</t>
  </si>
  <si>
    <t>PPWDRA</t>
  </si>
  <si>
    <t>PPWDT</t>
  </si>
  <si>
    <t>PPWDA</t>
  </si>
  <si>
    <t>PPSDRA</t>
  </si>
  <si>
    <t>PPSDT</t>
  </si>
  <si>
    <t>PPSDA</t>
  </si>
  <si>
    <t xml:space="preserve">  Sales to Ultimate Consumers</t>
  </si>
  <si>
    <t>Customer Services -- Weighted cost of Services</t>
  </si>
  <si>
    <t>Steam Production Plant</t>
  </si>
  <si>
    <t>Total Steam Production Plant</t>
  </si>
  <si>
    <t>PSTPR</t>
  </si>
  <si>
    <t>Other Production Plant</t>
  </si>
  <si>
    <t>Total Other Production Plant</t>
  </si>
  <si>
    <t>POTPR</t>
  </si>
  <si>
    <t>Total Production Plant</t>
  </si>
  <si>
    <t>PPRTL</t>
  </si>
  <si>
    <t>TOTAL COMMON PLANT</t>
  </si>
  <si>
    <t>PCOM</t>
  </si>
  <si>
    <t>Residential</t>
  </si>
  <si>
    <t>General</t>
  </si>
  <si>
    <t xml:space="preserve">   State and Federal Income Taxes</t>
  </si>
  <si>
    <t>Adjustments to Operating Expenses:</t>
  </si>
  <si>
    <t>Cost of Service Summary -- Pro-Forma</t>
  </si>
  <si>
    <t>OPERATION SUPERVISION &amp; ENGINEERING</t>
  </si>
  <si>
    <t>OM500</t>
  </si>
  <si>
    <t>FUEL</t>
  </si>
  <si>
    <t>OM501</t>
  </si>
  <si>
    <t>STEAM EXPENSES</t>
  </si>
  <si>
    <t>OM502</t>
  </si>
  <si>
    <t>ELECTRIC EXPENSES</t>
  </si>
  <si>
    <t>OM505</t>
  </si>
  <si>
    <t>Steam Power Generation Operation Expenses</t>
  </si>
  <si>
    <t>MISC. STEAM POWER EXPENSES</t>
  </si>
  <si>
    <t>OM506</t>
  </si>
  <si>
    <t>Total Steam Power Operation Expenses</t>
  </si>
  <si>
    <t>Steam Power Generation Maintenance Expenses</t>
  </si>
  <si>
    <t>OM510</t>
  </si>
  <si>
    <t>MAINTENANCE OF STRUCTURES</t>
  </si>
  <si>
    <t>MAINTENANCE SUPERVISION &amp; ENGINEERING</t>
  </si>
  <si>
    <t>OM511</t>
  </si>
  <si>
    <t>MAINTENANCE OF BOILER PLANT</t>
  </si>
  <si>
    <t>MAINTENANCE OF ELECTRIC PLANT</t>
  </si>
  <si>
    <t>OM512</t>
  </si>
  <si>
    <t>OM513</t>
  </si>
  <si>
    <t>MAINTENANCE OF MISC STEAM PLANT</t>
  </si>
  <si>
    <t>OM514</t>
  </si>
  <si>
    <t>Total Steam Power Generation Maintenance Expense</t>
  </si>
  <si>
    <t>Total Steam Power Generation Expense</t>
  </si>
  <si>
    <t>Other Power Generation Operation Expense</t>
  </si>
  <si>
    <t>OM546</t>
  </si>
  <si>
    <t>OM547</t>
  </si>
  <si>
    <t>GENERATION EXPENSE</t>
  </si>
  <si>
    <t>OM548</t>
  </si>
  <si>
    <t xml:space="preserve">MISC OTHER POWER GENERATION </t>
  </si>
  <si>
    <t>OM549</t>
  </si>
  <si>
    <t>OM550</t>
  </si>
  <si>
    <t>Total Other Power Generation Expenses</t>
  </si>
  <si>
    <t>Other Power Generation Maintenance Expense</t>
  </si>
  <si>
    <t>OM551</t>
  </si>
  <si>
    <t>OM552</t>
  </si>
  <si>
    <t>MAINTENANCE OF GENERATING &amp; ELEC PLANT</t>
  </si>
  <si>
    <t>OM553</t>
  </si>
  <si>
    <t>MAINTENANCE OF MISC OTHER POWER GEN PLT</t>
  </si>
  <si>
    <t>OM554</t>
  </si>
  <si>
    <t>Total Other Power Generation Expense</t>
  </si>
  <si>
    <t>Total Other Power Generation Maintenance Expense</t>
  </si>
  <si>
    <t>Total Station Expense</t>
  </si>
  <si>
    <t>Other Power Supply Expenses</t>
  </si>
  <si>
    <t>PURCHASED POWER OPTIONS</t>
  </si>
  <si>
    <t>OMO555</t>
  </si>
  <si>
    <t>BROKERAGE FEES</t>
  </si>
  <si>
    <t>OMB555</t>
  </si>
  <si>
    <t>MISO TRANSMISSION EXPENSES</t>
  </si>
  <si>
    <t>OMM555</t>
  </si>
  <si>
    <t>SYSTEM CONTROL AND LOAD DISPATCH</t>
  </si>
  <si>
    <t>OM556</t>
  </si>
  <si>
    <t>Total Electric Power Generation Expenses</t>
  </si>
  <si>
    <t>TRANSMISSION OF ELECTRICITY BY OTHERS</t>
  </si>
  <si>
    <t>OM565</t>
  </si>
  <si>
    <t>OM567</t>
  </si>
  <si>
    <t>STRUCTURES</t>
  </si>
  <si>
    <t>OM569</t>
  </si>
  <si>
    <t>UNDERGROUND LINES</t>
  </si>
  <si>
    <t>OM572</t>
  </si>
  <si>
    <t>MISC PLANT</t>
  </si>
  <si>
    <t>OM573</t>
  </si>
  <si>
    <t>OM591</t>
  </si>
  <si>
    <t>MISCELLANEOUS DISTRIBUTION EXPENSES</t>
  </si>
  <si>
    <t>OM598</t>
  </si>
  <si>
    <t>Total Other Power Supply Expenses</t>
  </si>
  <si>
    <t>Production, Transmission and Distribution Expenses</t>
  </si>
  <si>
    <t>Sub-Total Prod, Trans, Dist, Cust Acct and Cust Service</t>
  </si>
  <si>
    <t>ADMINISTRATIVE EXPENSES TRANSFERRED</t>
  </si>
  <si>
    <t>OM922</t>
  </si>
  <si>
    <t>Reflect full year of ECR roll-in</t>
  </si>
  <si>
    <t xml:space="preserve">   Regulatory Credits</t>
  </si>
  <si>
    <t>OM935</t>
  </si>
  <si>
    <t>LB500</t>
  </si>
  <si>
    <t>LB501</t>
  </si>
  <si>
    <t>LB502</t>
  </si>
  <si>
    <t>LB505</t>
  </si>
  <si>
    <t>LB506</t>
  </si>
  <si>
    <t>LB510</t>
  </si>
  <si>
    <t>LB511</t>
  </si>
  <si>
    <t>LB512</t>
  </si>
  <si>
    <t>LB513</t>
  </si>
  <si>
    <t>LB514</t>
  </si>
  <si>
    <t>LB546</t>
  </si>
  <si>
    <t>LB547</t>
  </si>
  <si>
    <t>LB548</t>
  </si>
  <si>
    <t>LB549</t>
  </si>
  <si>
    <t>LB550</t>
  </si>
  <si>
    <t>LB551</t>
  </si>
  <si>
    <t>LB552</t>
  </si>
  <si>
    <t>LB553</t>
  </si>
  <si>
    <t>LB554</t>
  </si>
  <si>
    <t>Hydraulic Production Plant</t>
  </si>
  <si>
    <t>Total Hydraulic Production Plant</t>
  </si>
  <si>
    <t>PHDPR</t>
  </si>
  <si>
    <t xml:space="preserve">  TOTAL ACCTS 360-362</t>
  </si>
  <si>
    <t xml:space="preserve">  364 &amp; 365-OVERHEAD LINES</t>
  </si>
  <si>
    <t xml:space="preserve">  366 &amp; 367-UNDERGROUND LINES</t>
  </si>
  <si>
    <t xml:space="preserve">  368-TRANSFORMERS - POWER POOL</t>
  </si>
  <si>
    <t xml:space="preserve">  369-SERVICES</t>
  </si>
  <si>
    <t xml:space="preserve">  370-METERS</t>
  </si>
  <si>
    <t xml:space="preserve">  371-CUSTOMER INSTALLATION</t>
  </si>
  <si>
    <t xml:space="preserve">  373-STREET LIGHTING</t>
  </si>
  <si>
    <t xml:space="preserve">  Other Production</t>
  </si>
  <si>
    <t xml:space="preserve">  Hydraulic Production</t>
  </si>
  <si>
    <t xml:space="preserve">  Steam Production</t>
  </si>
  <si>
    <t xml:space="preserve">  Transmission - Kentucky System Property</t>
  </si>
  <si>
    <t xml:space="preserve">  Transmission - Virginia Property</t>
  </si>
  <si>
    <t xml:space="preserve">  Intangible Plant</t>
  </si>
  <si>
    <t xml:space="preserve">  Distribution</t>
  </si>
  <si>
    <t xml:space="preserve">  CWIP Production</t>
  </si>
  <si>
    <t>Hydraulic Power Generation Operation Expenses</t>
  </si>
  <si>
    <t>Hydraulic Power Generation Maintenance Expenses</t>
  </si>
  <si>
    <t>MAINT. OF RESERVES, DAMS, AND WATERWAYS</t>
  </si>
  <si>
    <t>Total Hydraulic Power Operation Expenses</t>
  </si>
  <si>
    <t>Total Hydraulic Power Generation Expense</t>
  </si>
  <si>
    <t>Total Hydraulic Power Generation Maint. Expense</t>
  </si>
  <si>
    <t>HYDRAULIC EXPENSES</t>
  </si>
  <si>
    <t>WATER FOR POWER</t>
  </si>
  <si>
    <t>MISC. HYDRAULIC POWER EXPENSES</t>
  </si>
  <si>
    <t>MAINTENANCE OF MISC HYDRAULIC PLANT</t>
  </si>
  <si>
    <t>OM535</t>
  </si>
  <si>
    <t>OM536</t>
  </si>
  <si>
    <t>OM537</t>
  </si>
  <si>
    <t>OM538</t>
  </si>
  <si>
    <t>OM539</t>
  </si>
  <si>
    <t>OM541</t>
  </si>
  <si>
    <t>OM542</t>
  </si>
  <si>
    <t>OM543</t>
  </si>
  <si>
    <t>OM544</t>
  </si>
  <si>
    <t>OM545</t>
  </si>
  <si>
    <t>Production, Transmission and Distribution Labor Expenses</t>
  </si>
  <si>
    <t>Total Production Expense</t>
  </si>
  <si>
    <t>LPREX</t>
  </si>
  <si>
    <t>OM507</t>
  </si>
  <si>
    <t>Ref</t>
  </si>
  <si>
    <t>Production Demand</t>
  </si>
  <si>
    <t>Production Energy</t>
  </si>
  <si>
    <t>Specific</t>
  </si>
  <si>
    <t>Distribution Poles</t>
  </si>
  <si>
    <t>Distribution Substation</t>
  </si>
  <si>
    <t>Sales Expense</t>
  </si>
  <si>
    <t>Customer Service &amp; Info.</t>
  </si>
  <si>
    <t>Distribution St. &amp; Cust. Lighting</t>
  </si>
  <si>
    <t>Distribution Meters</t>
  </si>
  <si>
    <t>Distribution Services</t>
  </si>
  <si>
    <t>Distribution Sec. Lines</t>
  </si>
  <si>
    <t>Distribution Primary Lines</t>
  </si>
  <si>
    <t>Distribution Line Trans.</t>
  </si>
  <si>
    <t>LB507</t>
  </si>
  <si>
    <t xml:space="preserve">  Production Demand - Base</t>
  </si>
  <si>
    <t xml:space="preserve">  Transmission Demand - Base</t>
  </si>
  <si>
    <t xml:space="preserve">  Transmission Demand - Peak</t>
  </si>
  <si>
    <t xml:space="preserve">  Transmission Demand - Inter.</t>
  </si>
  <si>
    <t>PLTRB</t>
  </si>
  <si>
    <t>PLTRI</t>
  </si>
  <si>
    <t>PLTRP</t>
  </si>
  <si>
    <t>PLTRT</t>
  </si>
  <si>
    <t>Power Production Plant</t>
  </si>
  <si>
    <t>PLPPDB</t>
  </si>
  <si>
    <t>PLPPDI</t>
  </si>
  <si>
    <t>PLPPDP</t>
  </si>
  <si>
    <t>PLPPEB</t>
  </si>
  <si>
    <t>PLPPEI</t>
  </si>
  <si>
    <t>PLPPEP</t>
  </si>
  <si>
    <t>Distribution Street &amp; Customer Lighting</t>
  </si>
  <si>
    <t xml:space="preserve">  Specific</t>
  </si>
  <si>
    <t>Distribution Primary &amp; Secondary Lines</t>
  </si>
  <si>
    <t xml:space="preserve">  General</t>
  </si>
  <si>
    <t>PLDPS</t>
  </si>
  <si>
    <t>PLDSG</t>
  </si>
  <si>
    <t>PLDSC</t>
  </si>
  <si>
    <t>Total Distribution Primary &amp; Secondary Lines</t>
  </si>
  <si>
    <t>PLDPLS</t>
  </si>
  <si>
    <t>PLDPLD</t>
  </si>
  <si>
    <t>PLDPLC</t>
  </si>
  <si>
    <t>PLDSLD</t>
  </si>
  <si>
    <t>PLDSLC</t>
  </si>
  <si>
    <t>PLDLT</t>
  </si>
  <si>
    <t>PLDLTD</t>
  </si>
  <si>
    <t>PLDLTC</t>
  </si>
  <si>
    <t>Total Power Production Plant</t>
  </si>
  <si>
    <t>PLDMC</t>
  </si>
  <si>
    <t>PLDLTT</t>
  </si>
  <si>
    <t>PLDSCL</t>
  </si>
  <si>
    <t>PLCAE</t>
  </si>
  <si>
    <t>PLCSI</t>
  </si>
  <si>
    <t>PLSEC</t>
  </si>
  <si>
    <t>UPPPDB</t>
  </si>
  <si>
    <t>UPPPDI</t>
  </si>
  <si>
    <t>UPPPDP</t>
  </si>
  <si>
    <t>UPPPEB</t>
  </si>
  <si>
    <t>UPPPEI</t>
  </si>
  <si>
    <t>UPPPEP</t>
  </si>
  <si>
    <t>UPPPT</t>
  </si>
  <si>
    <t>UPTRB</t>
  </si>
  <si>
    <t>UPTRI</t>
  </si>
  <si>
    <t>UPTRP</t>
  </si>
  <si>
    <t>UPTRT</t>
  </si>
  <si>
    <t>UPDPS</t>
  </si>
  <si>
    <t>UPDSG</t>
  </si>
  <si>
    <t>UPDPLS</t>
  </si>
  <si>
    <t>UPDPLD</t>
  </si>
  <si>
    <t>UPDPLC</t>
  </si>
  <si>
    <t>UPDSLD</t>
  </si>
  <si>
    <t>UPDSLC</t>
  </si>
  <si>
    <t>UPDLT</t>
  </si>
  <si>
    <t>UPDLTD</t>
  </si>
  <si>
    <t>UPDLTC</t>
  </si>
  <si>
    <t>UPDLTT</t>
  </si>
  <si>
    <t>UPDSC</t>
  </si>
  <si>
    <t>UPDMC</t>
  </si>
  <si>
    <t>UPDSCL</t>
  </si>
  <si>
    <t>UPCAE</t>
  </si>
  <si>
    <t>UPCSI</t>
  </si>
  <si>
    <t>UPSEC</t>
  </si>
  <si>
    <t>UPT</t>
  </si>
  <si>
    <t>RBPPDB</t>
  </si>
  <si>
    <t>RBPPDI</t>
  </si>
  <si>
    <t>RBPPDP</t>
  </si>
  <si>
    <t>RBPPEB</t>
  </si>
  <si>
    <t>RBPPEI</t>
  </si>
  <si>
    <t>RBPPEP</t>
  </si>
  <si>
    <t>RBTRB</t>
  </si>
  <si>
    <t>RBTRI</t>
  </si>
  <si>
    <t>RBTRP</t>
  </si>
  <si>
    <t>RBTRT</t>
  </si>
  <si>
    <t>RBDPS</t>
  </si>
  <si>
    <t>RBDSG</t>
  </si>
  <si>
    <t>RBDPLS</t>
  </si>
  <si>
    <t>RBDPLD</t>
  </si>
  <si>
    <t>RBDPLC</t>
  </si>
  <si>
    <t>RBDSLD</t>
  </si>
  <si>
    <t>RBDSLC</t>
  </si>
  <si>
    <t>RBDLT</t>
  </si>
  <si>
    <t>RBDLTD</t>
  </si>
  <si>
    <t>RBDLTC</t>
  </si>
  <si>
    <t>RBDLTT</t>
  </si>
  <si>
    <t>RBDSC</t>
  </si>
  <si>
    <t>RBDMC</t>
  </si>
  <si>
    <t>RBDSCL</t>
  </si>
  <si>
    <t>RBCAE</t>
  </si>
  <si>
    <t>RBCSI</t>
  </si>
  <si>
    <t>RBSEC</t>
  </si>
  <si>
    <t>OMPPDB</t>
  </si>
  <si>
    <t>OMPPDI</t>
  </si>
  <si>
    <t>OMPPDP</t>
  </si>
  <si>
    <t>OMPPEB</t>
  </si>
  <si>
    <t>OMPPEI</t>
  </si>
  <si>
    <t>OMPPEP</t>
  </si>
  <si>
    <t>OMTRB</t>
  </si>
  <si>
    <t>OMTRI</t>
  </si>
  <si>
    <t>OMTRP</t>
  </si>
  <si>
    <t>OMTRT</t>
  </si>
  <si>
    <t>OMDPS</t>
  </si>
  <si>
    <t>OMDSG</t>
  </si>
  <si>
    <t>OMDPLS</t>
  </si>
  <si>
    <t>OMDPLD</t>
  </si>
  <si>
    <t>OMDPLC</t>
  </si>
  <si>
    <t>OMDSLD</t>
  </si>
  <si>
    <t>OMDSLC</t>
  </si>
  <si>
    <t>OMDLT</t>
  </si>
  <si>
    <t>OMDLTD</t>
  </si>
  <si>
    <t>OMDLTC</t>
  </si>
  <si>
    <t>OMDLTT</t>
  </si>
  <si>
    <t>OMDSC</t>
  </si>
  <si>
    <t>OMDMC</t>
  </si>
  <si>
    <t>OMDSCL</t>
  </si>
  <si>
    <t>OMCAE</t>
  </si>
  <si>
    <t>OMCSI</t>
  </si>
  <si>
    <t>OMSEC</t>
  </si>
  <si>
    <t>LBPPDB</t>
  </si>
  <si>
    <t>LBPPDI</t>
  </si>
  <si>
    <t>LBPPDP</t>
  </si>
  <si>
    <t>LBPPEB</t>
  </si>
  <si>
    <t>LBPPEI</t>
  </si>
  <si>
    <t>LBPPEP</t>
  </si>
  <si>
    <t>LBTRB</t>
  </si>
  <si>
    <t>LBTRI</t>
  </si>
  <si>
    <t>LBTRP</t>
  </si>
  <si>
    <t>LBTRT</t>
  </si>
  <si>
    <t>LBDPS</t>
  </si>
  <si>
    <t>LBDSG</t>
  </si>
  <si>
    <t>LBDPLS</t>
  </si>
  <si>
    <t>LBDPLD</t>
  </si>
  <si>
    <t>LBDPLC</t>
  </si>
  <si>
    <t>LBDSLD</t>
  </si>
  <si>
    <t>LBDSLC</t>
  </si>
  <si>
    <t>LBDLT</t>
  </si>
  <si>
    <t>LBDLTD</t>
  </si>
  <si>
    <t>LBDLTC</t>
  </si>
  <si>
    <t>LBDLTT</t>
  </si>
  <si>
    <t>LBDSC</t>
  </si>
  <si>
    <t>LBDMC</t>
  </si>
  <si>
    <t>LBDSCL</t>
  </si>
  <si>
    <t>LBCAE</t>
  </si>
  <si>
    <t>LBCSI</t>
  </si>
  <si>
    <t>LBSEC</t>
  </si>
  <si>
    <t>DEPPDB</t>
  </si>
  <si>
    <t>DEPPDI</t>
  </si>
  <si>
    <t>DEPPDP</t>
  </si>
  <si>
    <t>DEPPEB</t>
  </si>
  <si>
    <t>DEPPEI</t>
  </si>
  <si>
    <t>DEPPEP</t>
  </si>
  <si>
    <t>DEPPT</t>
  </si>
  <si>
    <t>DETRB</t>
  </si>
  <si>
    <t>DETRI</t>
  </si>
  <si>
    <t>DETRP</t>
  </si>
  <si>
    <t>DETRT</t>
  </si>
  <si>
    <t>DEDPS</t>
  </si>
  <si>
    <t>DEDSG</t>
  </si>
  <si>
    <t>DEDPLS</t>
  </si>
  <si>
    <t>DEDPLD</t>
  </si>
  <si>
    <t>DEDPLC</t>
  </si>
  <si>
    <t>DEDSLD</t>
  </si>
  <si>
    <t>DEDSLC</t>
  </si>
  <si>
    <t>DEDLT</t>
  </si>
  <si>
    <t>DEDLTD</t>
  </si>
  <si>
    <t>DEDLTC</t>
  </si>
  <si>
    <t>DEDLTT</t>
  </si>
  <si>
    <t>DEDSC</t>
  </si>
  <si>
    <t>DEDMC</t>
  </si>
  <si>
    <t>DEDSCL</t>
  </si>
  <si>
    <t>DECAE</t>
  </si>
  <si>
    <t>DECSI</t>
  </si>
  <si>
    <t>DESEC</t>
  </si>
  <si>
    <t>DET</t>
  </si>
  <si>
    <t>OTAX</t>
  </si>
  <si>
    <t>PTPPDB</t>
  </si>
  <si>
    <t>PTPPDI</t>
  </si>
  <si>
    <t>PTPPDP</t>
  </si>
  <si>
    <t>PTPPEB</t>
  </si>
  <si>
    <t>PTPPEI</t>
  </si>
  <si>
    <t>PTPPEP</t>
  </si>
  <si>
    <t>PTPPT</t>
  </si>
  <si>
    <t>PTTRB</t>
  </si>
  <si>
    <t>PTTRI</t>
  </si>
  <si>
    <t>PTTRP</t>
  </si>
  <si>
    <t>PTTRT</t>
  </si>
  <si>
    <t>PTDPS</t>
  </si>
  <si>
    <t>PTDSG</t>
  </si>
  <si>
    <t>PTDPLS</t>
  </si>
  <si>
    <t>PTDPLD</t>
  </si>
  <si>
    <t>PTDPLC</t>
  </si>
  <si>
    <t>PTDSLD</t>
  </si>
  <si>
    <t>PTDSLC</t>
  </si>
  <si>
    <t>PTDLT</t>
  </si>
  <si>
    <t>PTDLTD</t>
  </si>
  <si>
    <t>PTDLTC</t>
  </si>
  <si>
    <t>PTDLTT</t>
  </si>
  <si>
    <t>PTDSC</t>
  </si>
  <si>
    <t>PTDMC</t>
  </si>
  <si>
    <t>PTDSCL</t>
  </si>
  <si>
    <t>PTCAE</t>
  </si>
  <si>
    <t>PTCSI</t>
  </si>
  <si>
    <t>PTSEC</t>
  </si>
  <si>
    <t>OTPPDB</t>
  </si>
  <si>
    <t>OTPPDI</t>
  </si>
  <si>
    <t>OTPPDP</t>
  </si>
  <si>
    <t>OTPPEB</t>
  </si>
  <si>
    <t>OTPPEI</t>
  </si>
  <si>
    <t>OTPPEP</t>
  </si>
  <si>
    <t>OTTRB</t>
  </si>
  <si>
    <t>OTTRI</t>
  </si>
  <si>
    <t>OTTRP</t>
  </si>
  <si>
    <t>OTTRT</t>
  </si>
  <si>
    <t>OTDPS</t>
  </si>
  <si>
    <t>OTDSG</t>
  </si>
  <si>
    <t>OTDPLS</t>
  </si>
  <si>
    <t>OTDPLD</t>
  </si>
  <si>
    <t>OTDPLC</t>
  </si>
  <si>
    <t>OTDSLD</t>
  </si>
  <si>
    <t>OTDSLC</t>
  </si>
  <si>
    <t>OTDLT</t>
  </si>
  <si>
    <t>OTDLTD</t>
  </si>
  <si>
    <t>OTDLTC</t>
  </si>
  <si>
    <t>OTDLTT</t>
  </si>
  <si>
    <t>OTDSC</t>
  </si>
  <si>
    <t>OTDMC</t>
  </si>
  <si>
    <t>OTDSCL</t>
  </si>
  <si>
    <t>OTCAE</t>
  </si>
  <si>
    <t>OTCSI</t>
  </si>
  <si>
    <t>OTSEC</t>
  </si>
  <si>
    <t>Rate GS</t>
  </si>
  <si>
    <t>Primary</t>
  </si>
  <si>
    <t>Secondary</t>
  </si>
  <si>
    <t>Special Contract</t>
  </si>
  <si>
    <t>Fort Knox</t>
  </si>
  <si>
    <t>OM509</t>
  </si>
  <si>
    <t>ALLOWANCES</t>
  </si>
  <si>
    <t>OM558</t>
  </si>
  <si>
    <t>OM927</t>
  </si>
  <si>
    <t>FRANCHISE REQUIREMENTS</t>
  </si>
  <si>
    <t>LB535</t>
  </si>
  <si>
    <t>LB536</t>
  </si>
  <si>
    <t>LB537</t>
  </si>
  <si>
    <t>LB538</t>
  </si>
  <si>
    <t>LB539</t>
  </si>
  <si>
    <t>LB541</t>
  </si>
  <si>
    <t>LB542</t>
  </si>
  <si>
    <t>LB543</t>
  </si>
  <si>
    <t>LB544</t>
  </si>
  <si>
    <t>LB545</t>
  </si>
  <si>
    <t>LB556</t>
  </si>
  <si>
    <t>MAINTENACE OF STRUCTURES</t>
  </si>
  <si>
    <t>LB569</t>
  </si>
  <si>
    <t>MAINT OF MISC. TRANSMISSION PLANT</t>
  </si>
  <si>
    <t>LB573</t>
  </si>
  <si>
    <t>LB591</t>
  </si>
  <si>
    <t>ADMIN. EXPENSES TRANSFERRED - CREDIT</t>
  </si>
  <si>
    <t>LB922</t>
  </si>
  <si>
    <t>Louisville Gas and Electric Company</t>
  </si>
  <si>
    <t xml:space="preserve">  Transmission</t>
  </si>
  <si>
    <t xml:space="preserve">  General &amp; Common Plant</t>
  </si>
  <si>
    <t>Less: Customer Advances</t>
  </si>
  <si>
    <t>DIT</t>
  </si>
  <si>
    <t xml:space="preserve">  Production</t>
  </si>
  <si>
    <t>General Service Rate GS</t>
  </si>
  <si>
    <t xml:space="preserve">  Primary Specific</t>
  </si>
  <si>
    <t xml:space="preserve">  Primary Demand</t>
  </si>
  <si>
    <t xml:space="preserve">  Primary Customer</t>
  </si>
  <si>
    <t xml:space="preserve">  Secondary Demand</t>
  </si>
  <si>
    <t xml:space="preserve">  Secondary Customer</t>
  </si>
  <si>
    <t>13-mo Avg</t>
  </si>
  <si>
    <t xml:space="preserve">Used Services allocators from previous rate case </t>
  </si>
  <si>
    <t xml:space="preserve">    STOD-Secondary allocated based on number of customers</t>
  </si>
  <si>
    <t>Total - per Plant Accounting</t>
  </si>
  <si>
    <t>Street Lighting (plant in service balance)</t>
  </si>
  <si>
    <t>Per previous Rate filing, Outdoor lighting Plant in Service Balance:</t>
  </si>
  <si>
    <t>Allocated to OL</t>
  </si>
  <si>
    <t>Allocated to PSL</t>
  </si>
  <si>
    <t>Current Plant in Service balance</t>
  </si>
  <si>
    <t>Base Revenue</t>
  </si>
  <si>
    <t>at Current Rates</t>
  </si>
  <si>
    <t>Peak Month Energy Sales</t>
  </si>
  <si>
    <t>Non-peak energy sales</t>
  </si>
  <si>
    <t>Peak Month Sum of Class Demands</t>
  </si>
  <si>
    <t>Non-peak sum of Class demands</t>
  </si>
  <si>
    <t>ECR Revenue</t>
  </si>
  <si>
    <t>DSM revenue</t>
  </si>
  <si>
    <t>Distribution Line Transformers</t>
  </si>
  <si>
    <t>Louisville Water Company</t>
  </si>
  <si>
    <t>Street Lighting Rate TLE</t>
  </si>
  <si>
    <t>Property Taxes &amp; Other</t>
  </si>
  <si>
    <t>Amortization of ITC</t>
  </si>
  <si>
    <t>F017</t>
  </si>
  <si>
    <t>Production Plant</t>
  </si>
  <si>
    <t>Fuel</t>
  </si>
  <si>
    <t>F018</t>
  </si>
  <si>
    <t>Steam Generation Operation Labor</t>
  </si>
  <si>
    <t>F019</t>
  </si>
  <si>
    <t>Provar</t>
  </si>
  <si>
    <t>PROVAR</t>
  </si>
  <si>
    <t>PROFIX</t>
  </si>
  <si>
    <t>Steam Generation Maintenance Labor</t>
  </si>
  <si>
    <t>F020</t>
  </si>
  <si>
    <t>Hydraulic Generation Operation Labor</t>
  </si>
  <si>
    <t>F021</t>
  </si>
  <si>
    <t>LBSUB1</t>
  </si>
  <si>
    <t>LBSUB3</t>
  </si>
  <si>
    <t>LBSUB4</t>
  </si>
  <si>
    <t>LBSUB5</t>
  </si>
  <si>
    <t>LBSUB6</t>
  </si>
  <si>
    <t>Hydraulic Generation Maintenance Labor</t>
  </si>
  <si>
    <t>F022</t>
  </si>
  <si>
    <t>F023</t>
  </si>
  <si>
    <t>Distribution Operation Labor</t>
  </si>
  <si>
    <t>Distribution Maintenance Labor</t>
  </si>
  <si>
    <t>F024</t>
  </si>
  <si>
    <t>F025</t>
  </si>
  <si>
    <t>F026</t>
  </si>
  <si>
    <t>LBSUB7</t>
  </si>
  <si>
    <t>DUPLICATE CHARGES</t>
  </si>
  <si>
    <t>LBTRAN</t>
  </si>
  <si>
    <t>Production Residual Winter Demand Allocator</t>
  </si>
  <si>
    <t xml:space="preserve">Production Winter Demand Costs </t>
  </si>
  <si>
    <t>Production Winter Demand Residual</t>
  </si>
  <si>
    <t>Production Winter Demand Total</t>
  </si>
  <si>
    <t>Production Winter Demand Allocator</t>
  </si>
  <si>
    <t>Production Residual Summer Demand Allocator</t>
  </si>
  <si>
    <t xml:space="preserve">Production Summer Demand Costs </t>
  </si>
  <si>
    <t>Production Summer Demand Residual</t>
  </si>
  <si>
    <t>Production Summer Demand Total</t>
  </si>
  <si>
    <t>Production Summer Demand Allocator</t>
  </si>
  <si>
    <t>Sum of the Individual Customer Demands (Secondary)</t>
  </si>
  <si>
    <t>SICD</t>
  </si>
  <si>
    <t>SFRS</t>
  </si>
  <si>
    <t xml:space="preserve">  Forfeited Discounts</t>
  </si>
  <si>
    <t>FORDIS</t>
  </si>
  <si>
    <t xml:space="preserve">  Misc Service Revenues</t>
  </si>
  <si>
    <t xml:space="preserve">  Rent From Electric Property</t>
  </si>
  <si>
    <t xml:space="preserve">  Other Electric Revenue</t>
  </si>
  <si>
    <t>BRKS</t>
  </si>
  <si>
    <t xml:space="preserve">  Unbilled Revenue</t>
  </si>
  <si>
    <t>UNBREV</t>
  </si>
  <si>
    <t>Mismatch in fuel cost recovery</t>
  </si>
  <si>
    <t>Eliminate mismatch in fuel cost recovery</t>
  </si>
  <si>
    <t>Remove ECR expenses</t>
  </si>
  <si>
    <t>Eliminate brokered sales expenses</t>
  </si>
  <si>
    <t>Amortization of rate case expenses</t>
  </si>
  <si>
    <t xml:space="preserve">   Other Expenses</t>
  </si>
  <si>
    <t>ECRREV</t>
  </si>
  <si>
    <t>Revenue Adjustment Allocators</t>
  </si>
  <si>
    <t>Expense Adjustment Allocators</t>
  </si>
  <si>
    <t>Maximum Class Non-Coincident Peak Demands</t>
  </si>
  <si>
    <t>Allocator</t>
  </si>
  <si>
    <t>Cust07</t>
  </si>
  <si>
    <t>Cust08</t>
  </si>
  <si>
    <t xml:space="preserve">  Specific Assignment of Interruptible Credit</t>
  </si>
  <si>
    <t xml:space="preserve">  Allocation of Interruptible Credits</t>
  </si>
  <si>
    <t>INTCRE</t>
  </si>
  <si>
    <t>Production Demand Intermediate</t>
  </si>
  <si>
    <t>Production Demand Peak</t>
  </si>
  <si>
    <t>Transmission Intermediate</t>
  </si>
  <si>
    <t>Transmission Peak</t>
  </si>
  <si>
    <t>Transmission Demand Intermediate</t>
  </si>
  <si>
    <t>Transmission Demand Peak</t>
  </si>
  <si>
    <t>O&amp;M less fuel</t>
  </si>
  <si>
    <t>OMLF</t>
  </si>
  <si>
    <t>Utility Operating Income</t>
  </si>
  <si>
    <t>Determination of Meter Allocation</t>
  </si>
  <si>
    <t>Summary of Billing Determinants</t>
  </si>
  <si>
    <t>Determination of Services Allocation</t>
  </si>
  <si>
    <t>Total Expense Adjustments</t>
  </si>
  <si>
    <t>Expenses before Adjustments</t>
  </si>
  <si>
    <t>Energy (Loss Adjusted)</t>
  </si>
  <si>
    <t>Production Demand Intermediate (Per Kwh or Kw)</t>
  </si>
  <si>
    <t>Production Demand Peak (Per Kwh or Kw)</t>
  </si>
  <si>
    <t>Production Intermediate Demand</t>
  </si>
  <si>
    <t>Production Intermediate Demand Margin (Per Kwh or Kw)</t>
  </si>
  <si>
    <t>Production Peak Demand</t>
  </si>
  <si>
    <t>Production Peak Demand Margin (Per Kwh or Kw)</t>
  </si>
  <si>
    <t>Total Production Intermediate Demand (Per Kwh or Kw)</t>
  </si>
  <si>
    <t>Total Production Peak Demand (Per Kwh or Kw)</t>
  </si>
  <si>
    <t>Transmission Intermediate Demand</t>
  </si>
  <si>
    <t>Transmission Demand Intermediate (Per Kwh or Kw)</t>
  </si>
  <si>
    <t>Transmission Intermediate Demand Margin (Per Kwh or Kw)</t>
  </si>
  <si>
    <t>Total Transmission Intermediate Demand (Per Kwh or Kw)</t>
  </si>
  <si>
    <t>Transmission Peak Demand</t>
  </si>
  <si>
    <t>Transmission Demand Peak (Per Kwh or Kw)</t>
  </si>
  <si>
    <t>Transmission Peak Demand Margin (Per Kwh or Kw)</t>
  </si>
  <si>
    <t>Total Transmission Peak Demand (Per Kwh or Kw)</t>
  </si>
  <si>
    <t>Production Energy Margin</t>
  </si>
  <si>
    <t>Total Production Energy</t>
  </si>
  <si>
    <t>Total Pro-Forma Adjustments</t>
  </si>
  <si>
    <t>Incremental Income Taxes</t>
  </si>
  <si>
    <t>Expenses After Adjustments And Proposed Increase</t>
  </si>
  <si>
    <t>Total Distribution Line Transformers</t>
  </si>
  <si>
    <t xml:space="preserve">Accumulated Deferred Income Taxes </t>
  </si>
  <si>
    <t xml:space="preserve">  Total Transmission Plant</t>
  </si>
  <si>
    <t xml:space="preserve">  Total Production Plant</t>
  </si>
  <si>
    <t xml:space="preserve">  Total Distribution Plant</t>
  </si>
  <si>
    <t xml:space="preserve">  Total General Plant</t>
  </si>
  <si>
    <t>Total Accumulated Deferred Income Tax</t>
  </si>
  <si>
    <t>Investment Tax Credits</t>
  </si>
  <si>
    <t>Total Investment Tax Credit</t>
  </si>
  <si>
    <t>Production</t>
  </si>
  <si>
    <t>Common</t>
  </si>
  <si>
    <t>Forfeited Discounts</t>
  </si>
  <si>
    <t>FDIS</t>
  </si>
  <si>
    <t>Amortization of Investment Tax Credit</t>
  </si>
  <si>
    <t xml:space="preserve">   Property  and Other Taxes</t>
  </si>
  <si>
    <t xml:space="preserve">   Amortization of Investment Tax Credit</t>
  </si>
  <si>
    <t>Accretion Expense</t>
  </si>
  <si>
    <t>ACRTNP</t>
  </si>
  <si>
    <t>ACRTND</t>
  </si>
  <si>
    <t>ACRTNT</t>
  </si>
  <si>
    <t>Total Accretion Expense</t>
  </si>
  <si>
    <t>Accretion Expenses</t>
  </si>
  <si>
    <t>TACRTN</t>
  </si>
  <si>
    <t>ACRPDB</t>
  </si>
  <si>
    <t>ACRPDI</t>
  </si>
  <si>
    <t>ACRPDP</t>
  </si>
  <si>
    <t>ACRPEB</t>
  </si>
  <si>
    <t>ACRPEI</t>
  </si>
  <si>
    <t>ACRPEP</t>
  </si>
  <si>
    <t>ACRPT</t>
  </si>
  <si>
    <t>ACRRB</t>
  </si>
  <si>
    <t>ACRRI</t>
  </si>
  <si>
    <t>ACRRP</t>
  </si>
  <si>
    <t>ACRRT</t>
  </si>
  <si>
    <t>ACRPS</t>
  </si>
  <si>
    <t>ACRSG</t>
  </si>
  <si>
    <t>ACRPLS</t>
  </si>
  <si>
    <t>ACRPLD</t>
  </si>
  <si>
    <t>ACRPLC</t>
  </si>
  <si>
    <t>ACRSLD</t>
  </si>
  <si>
    <t>ACRSLC</t>
  </si>
  <si>
    <t>ACRLT</t>
  </si>
  <si>
    <t>ACRLTD</t>
  </si>
  <si>
    <t>PROPERTY HELD UNDER CAPITAL LEASE</t>
  </si>
  <si>
    <t>Less: Accumulated Provision for Depreciation and RWIP</t>
  </si>
  <si>
    <t>Mill Creek Ash Dredging Project</t>
  </si>
  <si>
    <t>Gain on Disposition of Allowances</t>
  </si>
  <si>
    <t>Total Regulatory Credits</t>
  </si>
  <si>
    <t>Regulatory Credits</t>
  </si>
  <si>
    <t>RCTNP</t>
  </si>
  <si>
    <t>RCTNT</t>
  </si>
  <si>
    <t>RDTND</t>
  </si>
  <si>
    <t>RCTNC</t>
  </si>
  <si>
    <t>ACRTNC</t>
  </si>
  <si>
    <t>TRCTN</t>
  </si>
  <si>
    <t>RCPDB</t>
  </si>
  <si>
    <t>RCPDI</t>
  </si>
  <si>
    <t>RCPDP</t>
  </si>
  <si>
    <t>RCPEB</t>
  </si>
  <si>
    <t>RCPEI</t>
  </si>
  <si>
    <t>RCPEP</t>
  </si>
  <si>
    <t>RCPT</t>
  </si>
  <si>
    <t>RCRB</t>
  </si>
  <si>
    <t>RCRI</t>
  </si>
  <si>
    <t>RCRP</t>
  </si>
  <si>
    <t>RCRT</t>
  </si>
  <si>
    <t>RCPS</t>
  </si>
  <si>
    <t>RCSG</t>
  </si>
  <si>
    <t>RCPLS</t>
  </si>
  <si>
    <t>RCPLD</t>
  </si>
  <si>
    <t>RCPLC</t>
  </si>
  <si>
    <t>RCSLD</t>
  </si>
  <si>
    <t>RCSLC</t>
  </si>
  <si>
    <t>RCLT</t>
  </si>
  <si>
    <t>RCLTD</t>
  </si>
  <si>
    <t>RCLTC</t>
  </si>
  <si>
    <t>RCLTT</t>
  </si>
  <si>
    <t>RCSC</t>
  </si>
  <si>
    <t>RCMC</t>
  </si>
  <si>
    <t>RCSCL</t>
  </si>
  <si>
    <t>RCCAE</t>
  </si>
  <si>
    <t>RCCSI</t>
  </si>
  <si>
    <t>RCSEC</t>
  </si>
  <si>
    <t>RCT</t>
  </si>
  <si>
    <t>ACRLTC</t>
  </si>
  <si>
    <t>ACRLTT</t>
  </si>
  <si>
    <t>ACRSC</t>
  </si>
  <si>
    <t>ACRMC</t>
  </si>
  <si>
    <t>ACRSCL</t>
  </si>
  <si>
    <t>ACRCAE</t>
  </si>
  <si>
    <t>ACRCSI</t>
  </si>
  <si>
    <t>ACRSEC</t>
  </si>
  <si>
    <t>ACRT</t>
  </si>
  <si>
    <t xml:space="preserve">   Accretion Expense</t>
  </si>
  <si>
    <t>Property and Other Taxes</t>
  </si>
  <si>
    <t xml:space="preserve">   Specific Assignment of Interruptible Credit</t>
  </si>
  <si>
    <t xml:space="preserve">   Allocation of Interruptible Credits</t>
  </si>
  <si>
    <t>Interest Expenses</t>
  </si>
  <si>
    <t>INTPDB</t>
  </si>
  <si>
    <t>INTPDI</t>
  </si>
  <si>
    <t>INTPDP</t>
  </si>
  <si>
    <t>INTPEB</t>
  </si>
  <si>
    <t>INTPEI</t>
  </si>
  <si>
    <t>INTPEP</t>
  </si>
  <si>
    <t>INTPT</t>
  </si>
  <si>
    <t>INTTRB</t>
  </si>
  <si>
    <t>INTTRI</t>
  </si>
  <si>
    <t>INTTRP</t>
  </si>
  <si>
    <t>INTTRT</t>
  </si>
  <si>
    <t>INTDPS</t>
  </si>
  <si>
    <t>INTDSG</t>
  </si>
  <si>
    <t>INDPLS</t>
  </si>
  <si>
    <t>INDPLD</t>
  </si>
  <si>
    <t>INDPLC</t>
  </si>
  <si>
    <t>INDSLD</t>
  </si>
  <si>
    <t>INDSLC</t>
  </si>
  <si>
    <t>INDLT</t>
  </si>
  <si>
    <t>INDLTD</t>
  </si>
  <si>
    <t>INDLTC</t>
  </si>
  <si>
    <t>INDLTT</t>
  </si>
  <si>
    <t>INDSC</t>
  </si>
  <si>
    <t>INDMC</t>
  </si>
  <si>
    <t>INDSCL</t>
  </si>
  <si>
    <t>INCAE</t>
  </si>
  <si>
    <t>INCSI</t>
  </si>
  <si>
    <t>INSEC</t>
  </si>
  <si>
    <t>INTT</t>
  </si>
  <si>
    <t>Taxable Income</t>
  </si>
  <si>
    <t>Total Operating Revenue</t>
  </si>
  <si>
    <t>Interest Expense</t>
  </si>
  <si>
    <t>TAXINC</t>
  </si>
  <si>
    <t>Taxable Income Unadjusted</t>
  </si>
  <si>
    <t>To Reflect a Full Year of the ECR Roll-In</t>
  </si>
  <si>
    <t>Taxable Income Pro-Forma</t>
  </si>
  <si>
    <t>INTEXP</t>
  </si>
  <si>
    <t>Interest Syncronization Adjustment</t>
  </si>
  <si>
    <t>TXINCPF</t>
  </si>
  <si>
    <t>Sub-Total Labor Exp</t>
  </si>
  <si>
    <t>Off-System Sales Allocator</t>
  </si>
  <si>
    <t xml:space="preserve">  Intercompany Sales</t>
  </si>
  <si>
    <t xml:space="preserve">  Off-System Sales</t>
  </si>
  <si>
    <t>ICSALES</t>
  </si>
  <si>
    <t>Costs allocated on Energy to be reallocated on RBPPT</t>
  </si>
  <si>
    <t>Costs allocated on Energy reallocated on RBPPT</t>
  </si>
  <si>
    <t>Net Adjustment</t>
  </si>
  <si>
    <t xml:space="preserve">  Off-System Sales Allocator</t>
  </si>
  <si>
    <t>OSSALL</t>
  </si>
  <si>
    <t>Less: Adjustment to Reallocate Expenses</t>
  </si>
  <si>
    <t>Production Demand Base</t>
  </si>
  <si>
    <t>Transmission Demand Base</t>
  </si>
  <si>
    <t>Transmission Base</t>
  </si>
  <si>
    <t>Production Base</t>
  </si>
  <si>
    <t>Base Rate Revenue at Current Rates</t>
  </si>
  <si>
    <t>Production Base Demand</t>
  </si>
  <si>
    <t>Transmission Base Demand</t>
  </si>
  <si>
    <t>Base Demand Allocator</t>
  </si>
  <si>
    <t>BDEM</t>
  </si>
  <si>
    <t>Summer Peak Period Demand Allocator</t>
  </si>
  <si>
    <t>Winter Peak Period Demand Allocator</t>
  </si>
  <si>
    <t>Production Residual Base Demand Allocator</t>
  </si>
  <si>
    <t xml:space="preserve">Production Base Demand Costs </t>
  </si>
  <si>
    <t>Production Base Demand Residual</t>
  </si>
  <si>
    <t>Production Base Demand Total</t>
  </si>
  <si>
    <t>Production Base Demand Allocator</t>
  </si>
  <si>
    <t>PPBDRA</t>
  </si>
  <si>
    <t>PPBDT</t>
  </si>
  <si>
    <t>PPBDA</t>
  </si>
  <si>
    <t>Number of</t>
  </si>
  <si>
    <t>Customers as of</t>
  </si>
  <si>
    <t>Interest</t>
  </si>
  <si>
    <t>YREND</t>
  </si>
  <si>
    <t>Eliminate DSM Revenue</t>
  </si>
  <si>
    <t>DSMREV</t>
  </si>
  <si>
    <t>FACRI</t>
  </si>
  <si>
    <t>ECRRI</t>
  </si>
  <si>
    <t>Storm Damage Allocator</t>
  </si>
  <si>
    <t>Distribution O&amp;M</t>
  </si>
  <si>
    <t>SDALL</t>
  </si>
  <si>
    <t>Lighting Kwh</t>
  </si>
  <si>
    <t>Residential Kwh</t>
  </si>
  <si>
    <t>Residential Customers</t>
  </si>
  <si>
    <t>Avg Kwh per Customer</t>
  </si>
  <si>
    <t>Equivalent customers</t>
  </si>
  <si>
    <t>Number of Lights</t>
  </si>
  <si>
    <t>Lights per customer</t>
  </si>
  <si>
    <t>PSL and OL</t>
  </si>
  <si>
    <t>SLE</t>
  </si>
  <si>
    <t>TLE</t>
  </si>
  <si>
    <t>Meter Reading Expenses</t>
  </si>
  <si>
    <t>Total Customer Accounting</t>
  </si>
  <si>
    <t>Meter Reading Expenses as Percentage of Total</t>
  </si>
  <si>
    <t>Other Customer Accounting Expenses as Percentage of Total</t>
  </si>
  <si>
    <t>Average Secondary Customers</t>
  </si>
  <si>
    <t>Average Primary Customers</t>
  </si>
  <si>
    <t>Demand Allocators</t>
  </si>
  <si>
    <t>CSR Avoided Cost</t>
  </si>
  <si>
    <t>Interruptible Demands</t>
  </si>
  <si>
    <t>Avoided Cost per kW</t>
  </si>
  <si>
    <t xml:space="preserve">Avoided Cost </t>
  </si>
  <si>
    <t>Total Prod, Trans, and Dist Plant</t>
  </si>
  <si>
    <t>F027</t>
  </si>
  <si>
    <t>Customer Advances</t>
  </si>
  <si>
    <t>REGULATORY COMMISSION FEES</t>
  </si>
  <si>
    <t>O&amp;M Customer Allocators</t>
  </si>
  <si>
    <t>Plant Customer Allocators</t>
  </si>
  <si>
    <t>Year End Customers</t>
  </si>
  <si>
    <t xml:space="preserve">Year End Customers </t>
  </si>
  <si>
    <t>Year End Secondary Customers</t>
  </si>
  <si>
    <t>Year End Primary Customers</t>
  </si>
  <si>
    <t>YECust05</t>
  </si>
  <si>
    <t>YECust04</t>
  </si>
  <si>
    <t>YECust01</t>
  </si>
  <si>
    <t>YECust06</t>
  </si>
  <si>
    <t>YECust07</t>
  </si>
  <si>
    <t>YECust08</t>
  </si>
  <si>
    <t>Production Allocation</t>
  </si>
  <si>
    <t>Cost of Service Summary -- Unadjusted</t>
  </si>
  <si>
    <t>VDT Revenue</t>
  </si>
  <si>
    <t>VDTREV</t>
  </si>
  <si>
    <t>Net Operating Income -- Pro-Forma</t>
  </si>
  <si>
    <t>To Reflect Proposed Increase to Ultimate Consumers</t>
  </si>
  <si>
    <t>To Reflect Proposed Increase in Miscellaneous Charges</t>
  </si>
  <si>
    <t>Adjusted Revenue at Current Rates</t>
  </si>
  <si>
    <t>Increase (Decrease) Required to Produce Levelized RORs</t>
  </si>
  <si>
    <t>% Increase (Decrease) Required to Produce Levelized RORs</t>
  </si>
  <si>
    <t>Increase to Ultimate Consumers Required to Produce Equalized RORs</t>
  </si>
  <si>
    <t>Internally Generated Functional Vectors</t>
  </si>
  <si>
    <t>Total Operation and Maintenance Expenses (Labor)</t>
  </si>
  <si>
    <t>Total Steam Power Operation Expenses (Labor)</t>
  </si>
  <si>
    <t>Total Steam Power Generation Maintenance Expense (Labor)</t>
  </si>
  <si>
    <t>Total Hydraulic Power Operation Expenses (Labor)</t>
  </si>
  <si>
    <t>Total Hydraulic Power Generation Maint. Expense (Labor)</t>
  </si>
  <si>
    <t>Total Other Power Generation Expenses (Labor)</t>
  </si>
  <si>
    <t>Production Revenue Requirement</t>
  </si>
  <si>
    <t>Transmission Revenue Requirement</t>
  </si>
  <si>
    <t>Distribution Revenue Requirement</t>
  </si>
  <si>
    <t>Production Revenue Requirement Percent</t>
  </si>
  <si>
    <t>Transmission Revenue Requirement Percent</t>
  </si>
  <si>
    <t>Distribution Revenue Requirement Percent</t>
  </si>
  <si>
    <t>Adjusted Net Cost Rate Base</t>
  </si>
  <si>
    <t>Interruptible Credit Allocator (Winter &amp; Summer Peak Prod Plant)</t>
  </si>
  <si>
    <t>Purchase Power Demand</t>
  </si>
  <si>
    <t>Purchase Power Energy</t>
  </si>
  <si>
    <t xml:space="preserve">  374-ASSET RETIRE OBLIGATIONS DIST PLANT</t>
  </si>
  <si>
    <t>ORGANIZATION - COMMON</t>
  </si>
  <si>
    <t>FRANCHISE AND CONSENTS - COMMON</t>
  </si>
  <si>
    <t>SOFTWARE - COMMON</t>
  </si>
  <si>
    <t>MARKET FACILITATION, MONITORING AND COMPLIANCE</t>
  </si>
  <si>
    <t>OM575</t>
  </si>
  <si>
    <t>MSCREV</t>
  </si>
  <si>
    <t>Merger Surcredit Revenue</t>
  </si>
  <si>
    <t>VDT Surcredit Revenues</t>
  </si>
  <si>
    <t>Functional</t>
  </si>
  <si>
    <t>Total</t>
  </si>
  <si>
    <t>Station Equipment</t>
  </si>
  <si>
    <t>Meters</t>
  </si>
  <si>
    <t>Description</t>
  </si>
  <si>
    <t>Name</t>
  </si>
  <si>
    <t>Vector</t>
  </si>
  <si>
    <t>System</t>
  </si>
  <si>
    <t>Demand</t>
  </si>
  <si>
    <t>Energy</t>
  </si>
  <si>
    <t>Customer</t>
  </si>
  <si>
    <t>Total Check</t>
  </si>
  <si>
    <t>Status</t>
  </si>
  <si>
    <t>Plant in Service</t>
  </si>
  <si>
    <t>PDIST</t>
  </si>
  <si>
    <t>Total Intangible Plant</t>
  </si>
  <si>
    <t>PINT</t>
  </si>
  <si>
    <t>Distribution</t>
  </si>
  <si>
    <t>P362</t>
  </si>
  <si>
    <t>F001</t>
  </si>
  <si>
    <t>F002</t>
  </si>
  <si>
    <t>P365</t>
  </si>
  <si>
    <t>F003</t>
  </si>
  <si>
    <t>F004</t>
  </si>
  <si>
    <t>P367</t>
  </si>
  <si>
    <t>P368</t>
  </si>
  <si>
    <t>F005</t>
  </si>
  <si>
    <t>P369</t>
  </si>
  <si>
    <t>F006</t>
  </si>
  <si>
    <t>P370</t>
  </si>
  <si>
    <t>F007</t>
  </si>
  <si>
    <t>P371</t>
  </si>
  <si>
    <t>P373</t>
  </si>
  <si>
    <t>F008</t>
  </si>
  <si>
    <t>Total Distribution Plant</t>
  </si>
  <si>
    <t>General Plant</t>
  </si>
  <si>
    <t>Total General Plant</t>
  </si>
  <si>
    <t>PGP</t>
  </si>
  <si>
    <t>Total Plant in Service</t>
  </si>
  <si>
    <t>TPIS</t>
  </si>
  <si>
    <t>Construction Work in Progress (CWIP)</t>
  </si>
  <si>
    <t xml:space="preserve">  Total Construction Work in Progress</t>
  </si>
  <si>
    <t>TCWIP</t>
  </si>
  <si>
    <t>Materials and Supplies</t>
  </si>
  <si>
    <t>Rate Base</t>
  </si>
  <si>
    <t>Utility Plant</t>
  </si>
  <si>
    <t xml:space="preserve">    Total Utility Plant</t>
  </si>
  <si>
    <t>TUP</t>
  </si>
  <si>
    <t>ADEPRGP</t>
  </si>
  <si>
    <t xml:space="preserve">   Total Accumulated Depreciation</t>
  </si>
  <si>
    <t>TADEPR</t>
  </si>
  <si>
    <t>Net Utility Plant</t>
  </si>
  <si>
    <t>NTPLANT</t>
  </si>
  <si>
    <t>Working Capital</t>
  </si>
  <si>
    <t>Operation and Maintenance Expenses</t>
  </si>
  <si>
    <t>CWC</t>
  </si>
  <si>
    <t>OMLPP</t>
  </si>
  <si>
    <t>Prepayments</t>
  </si>
  <si>
    <t>PREPAY</t>
  </si>
  <si>
    <t xml:space="preserve">  Total Working Capital</t>
  </si>
  <si>
    <t>TWC</t>
  </si>
  <si>
    <t>CSTDEP</t>
  </si>
  <si>
    <t>Net Rate Base</t>
  </si>
  <si>
    <t>RB</t>
  </si>
  <si>
    <t>Purchased Power</t>
  </si>
  <si>
    <t>OMPP</t>
  </si>
  <si>
    <t>Distribution Operation Expense</t>
  </si>
  <si>
    <t>OPERATION SUPERVISION AND ENGI</t>
  </si>
  <si>
    <t>OM580</t>
  </si>
  <si>
    <t>LOAD DISPATCHING</t>
  </si>
  <si>
    <t>OM581</t>
  </si>
  <si>
    <t>OVERHEAD LINE EXPENSES</t>
  </si>
  <si>
    <t>OM583</t>
  </si>
  <si>
    <t>UNDERGROUND LINE EXPENSES</t>
  </si>
  <si>
    <t>OM584</t>
  </si>
  <si>
    <t>STREET LIGHTING EXPENSE</t>
  </si>
  <si>
    <t>OM585</t>
  </si>
  <si>
    <t>METER EXPENSES</t>
  </si>
  <si>
    <t>OM586</t>
  </si>
  <si>
    <t>CUSTOMER INSTALLATIONS EXPENSE</t>
  </si>
  <si>
    <t>OM587</t>
  </si>
  <si>
    <t>MISCELLANEOUS DISTRIBUTION EXP</t>
  </si>
  <si>
    <t>OM588</t>
  </si>
  <si>
    <t>RENTS</t>
  </si>
  <si>
    <t>OM589</t>
  </si>
  <si>
    <t>Total Distribution Operation Expense</t>
  </si>
  <si>
    <t>OMDO</t>
  </si>
  <si>
    <t>Distribution Maintenance Expense</t>
  </si>
  <si>
    <t>MAINTENANCE SUPERVISION AND EN</t>
  </si>
  <si>
    <t>OM590</t>
  </si>
  <si>
    <t>MAINTENANCE OF STATION EQUIPME</t>
  </si>
  <si>
    <t>OM592</t>
  </si>
  <si>
    <t>MAINTENANCE OF OVERHEAD LINES</t>
  </si>
  <si>
    <t>OM593</t>
  </si>
  <si>
    <t>MAINTENANCE OF UNDERGROUND LIN</t>
  </si>
  <si>
    <t>OM594</t>
  </si>
  <si>
    <t>MAINTENANCE OF LINE TRANSFORME</t>
  </si>
  <si>
    <t>OM595</t>
  </si>
  <si>
    <t>MAINTENANCE OF METERS</t>
  </si>
  <si>
    <t>OM597</t>
  </si>
  <si>
    <t>Total Distribution Maintenance Expense</t>
  </si>
  <si>
    <t>OMDM</t>
  </si>
  <si>
    <t>OMSUB</t>
  </si>
  <si>
    <t>Operation and Maintenance Expenses (Continued)</t>
  </si>
  <si>
    <t>Customer Accounts Expense</t>
  </si>
  <si>
    <t>SUPERVISION/CUSTOMER ACCTS</t>
  </si>
  <si>
    <t>OM901</t>
  </si>
  <si>
    <t>F009</t>
  </si>
  <si>
    <t>METER READING EXPENSES</t>
  </si>
  <si>
    <t>OM902</t>
  </si>
  <si>
    <t>OM903</t>
  </si>
  <si>
    <t>UNCOLLECTIBLE ACCOUNTS</t>
  </si>
  <si>
    <t>OM904</t>
  </si>
  <si>
    <t>Total Customer Accounts Expense</t>
  </si>
  <si>
    <t>OMCA</t>
  </si>
  <si>
    <t>Customer Service Expense</t>
  </si>
  <si>
    <t>OM907</t>
  </si>
  <si>
    <t>F010</t>
  </si>
  <si>
    <t>CUSTOMER ASSISTANCE EXPENSES</t>
  </si>
  <si>
    <t>OM908</t>
  </si>
  <si>
    <t>INFORMATIONAL AND INSTRUCTIONA</t>
  </si>
  <si>
    <t>OM909</t>
  </si>
  <si>
    <t>MISCELLANEOUS CUSTOMER SERVICE</t>
  </si>
  <si>
    <t>OM910</t>
  </si>
  <si>
    <t>Total Customer Service Expense</t>
  </si>
  <si>
    <t>OMCS</t>
  </si>
  <si>
    <t>Administrative and General Expense</t>
  </si>
  <si>
    <t>ADMIN. &amp; GEN. SALARIES-</t>
  </si>
  <si>
    <t>OM920</t>
  </si>
  <si>
    <t>OFFICE SUPPLIES AND EXPENSES</t>
  </si>
  <si>
    <t>OM921</t>
  </si>
  <si>
    <t>OUTSIDE SERVICES EMPLOYED</t>
  </si>
  <si>
    <t>OM923</t>
  </si>
  <si>
    <t>PROPERTY INSURANCE</t>
  </si>
  <si>
    <t>OM924</t>
  </si>
  <si>
    <t>INJURIES AND DAMAGES - INSURAN</t>
  </si>
  <si>
    <t>OM925</t>
  </si>
  <si>
    <t>EMPLOYEE BENEFITS</t>
  </si>
  <si>
    <t>OM926</t>
  </si>
  <si>
    <t>OM928</t>
  </si>
  <si>
    <t>MISCELLANEOUS GENERAL EXPENSES</t>
  </si>
  <si>
    <t>OM930</t>
  </si>
  <si>
    <t>RENTS AND LEASES</t>
  </si>
  <si>
    <t>OM931</t>
  </si>
  <si>
    <t>MAINTENANCE OF GENERAL PLANT</t>
  </si>
  <si>
    <t>Total Administrative and General Expense</t>
  </si>
  <si>
    <t>OMAG</t>
  </si>
  <si>
    <t>Total Operation and Maintenance Expenses</t>
  </si>
  <si>
    <t>TOM</t>
  </si>
  <si>
    <t>Labor Expenses</t>
  </si>
  <si>
    <t>Other Expenses</t>
  </si>
  <si>
    <t>Depreciation Expenses</t>
  </si>
  <si>
    <t>Total Depreciation Expense</t>
  </si>
  <si>
    <t>TDEPR</t>
  </si>
  <si>
    <t>PTAX</t>
  </si>
  <si>
    <t>OT</t>
  </si>
  <si>
    <t>INTLTD</t>
  </si>
  <si>
    <t>Other Deductions</t>
  </si>
  <si>
    <t>DEDUCT</t>
  </si>
  <si>
    <t>Total Other Expenses</t>
  </si>
  <si>
    <t>TOE</t>
  </si>
  <si>
    <t>Functional Vectors</t>
  </si>
  <si>
    <t>Poles, Towers and Fixtures</t>
  </si>
  <si>
    <t>Overhead Conductors and Devices</t>
  </si>
  <si>
    <t>Underground Conductors and Devices</t>
  </si>
  <si>
    <t>Line Transformers</t>
  </si>
  <si>
    <t>Services</t>
  </si>
  <si>
    <t>Street Lighting</t>
  </si>
  <si>
    <t>Meter Reading</t>
  </si>
  <si>
    <t>Billing</t>
  </si>
  <si>
    <t>Allocation</t>
  </si>
  <si>
    <t xml:space="preserve">  Demand</t>
  </si>
  <si>
    <t>E01</t>
  </si>
  <si>
    <t>PLPPT</t>
  </si>
  <si>
    <t xml:space="preserve">  Customer</t>
  </si>
  <si>
    <t>C01</t>
  </si>
  <si>
    <t>C02</t>
  </si>
  <si>
    <t>C03</t>
  </si>
  <si>
    <t>C04</t>
  </si>
  <si>
    <t>C05</t>
  </si>
  <si>
    <t>C06</t>
  </si>
  <si>
    <t>PLT</t>
  </si>
  <si>
    <t>NPT</t>
  </si>
  <si>
    <t>Net Cost Rate Base</t>
  </si>
  <si>
    <t>RBPPT</t>
  </si>
  <si>
    <t>RBT</t>
  </si>
  <si>
    <t>OMPPT</t>
  </si>
  <si>
    <t>OMT</t>
  </si>
  <si>
    <t>LBPPT</t>
  </si>
  <si>
    <t>LBT</t>
  </si>
  <si>
    <t>PTT</t>
  </si>
  <si>
    <t>OTPPT</t>
  </si>
  <si>
    <t>OTT</t>
  </si>
  <si>
    <t>Operating Revenues</t>
  </si>
  <si>
    <t>REVUC</t>
  </si>
  <si>
    <t>Total Operating Revenues</t>
  </si>
  <si>
    <t>TOR</t>
  </si>
  <si>
    <t>Operating Expenses</t>
  </si>
  <si>
    <t xml:space="preserve">   Operation and Maintenance Expenses</t>
  </si>
  <si>
    <t xml:space="preserve">   Depreciation and Amortization Expenses</t>
  </si>
  <si>
    <t>Total Operating Expenses</t>
  </si>
  <si>
    <t>Rate of Return</t>
  </si>
  <si>
    <t>Energy Allocation Factors</t>
  </si>
  <si>
    <t>Energy Usage by Class</t>
  </si>
  <si>
    <t>Customer Allocation Factors</t>
  </si>
  <si>
    <t>Primary Distribution Plant -- Average Number of Customers</t>
  </si>
  <si>
    <t>Meter Costs -- Weighted Cost of Meters</t>
  </si>
  <si>
    <t>Lighting Systems -- Lighting Customers</t>
  </si>
  <si>
    <t>Meter Reading and Billing -- Weighted Cost</t>
  </si>
  <si>
    <t>Margin</t>
  </si>
  <si>
    <t>Revenue</t>
  </si>
  <si>
    <t>Transmission</t>
  </si>
  <si>
    <t>Transmission Plant</t>
  </si>
  <si>
    <t>Intangible Plant</t>
  </si>
  <si>
    <t>Total Transmission Plant</t>
  </si>
  <si>
    <t>FRANCHISE AND CONSENTS</t>
  </si>
  <si>
    <t>ORGANIZATION</t>
  </si>
  <si>
    <t>P301</t>
  </si>
  <si>
    <t>P302</t>
  </si>
  <si>
    <t>COMPLETED CONSTR NOT CLASSIFIED</t>
  </si>
  <si>
    <t>P106</t>
  </si>
  <si>
    <t xml:space="preserve">  Total Utility Plant</t>
  </si>
  <si>
    <t xml:space="preserve">  Total Deferred Debits</t>
  </si>
  <si>
    <t>Transmission Expenses</t>
  </si>
  <si>
    <t>STATION EXPENSES</t>
  </si>
  <si>
    <t>MAINTENACE SUPERVISION AND ENG</t>
  </si>
  <si>
    <t>OPERATION SUPERVISION AND ENG</t>
  </si>
  <si>
    <t>MAINT OF STATION EQUIPMENT</t>
  </si>
  <si>
    <t>MAINT OF OVERHEAD LINES</t>
  </si>
  <si>
    <t>Total Transmission Expenses</t>
  </si>
  <si>
    <t>OM582</t>
  </si>
  <si>
    <t>PURCHASED POWER</t>
  </si>
  <si>
    <t>MAINTENANCE OF ST LIGHTS &amp; SIG SYSTEMS</t>
  </si>
  <si>
    <t>OM596</t>
  </si>
  <si>
    <t>Total Distribution Operation and Maintenance Expenses</t>
  </si>
  <si>
    <t>Transmission and Distribution Expenses</t>
  </si>
  <si>
    <t>MAINTENANCE OF MISC DISTR PLANT</t>
  </si>
  <si>
    <t>SUPERVISION</t>
  </si>
  <si>
    <t>DUPLICATE CHARGES-CR</t>
  </si>
  <si>
    <t>OM929</t>
  </si>
  <si>
    <t>Total Cost of Service (O&amp;M + Other Expenses)</t>
  </si>
  <si>
    <t>PTRAN</t>
  </si>
  <si>
    <t>F011</t>
  </si>
  <si>
    <t>PT&amp;D</t>
  </si>
  <si>
    <t>Adjustment to Reflect Depreciation Reserve</t>
  </si>
  <si>
    <t xml:space="preserve">  Accumulated Deferred Income Taxes</t>
  </si>
  <si>
    <t xml:space="preserve">  FAS 109 Deferred Income Taxes</t>
  </si>
  <si>
    <t xml:space="preserve">  Asset Retirement Obligation-Net Assets</t>
  </si>
  <si>
    <t xml:space="preserve"> Asset Retirement Obligation-Regulatory Liabilities</t>
  </si>
  <si>
    <t xml:space="preserve">   Depreciation for Asset Retirement Costs</t>
  </si>
  <si>
    <t xml:space="preserve">   Amortization Expense</t>
  </si>
  <si>
    <t xml:space="preserve">  Brokered Purchases</t>
  </si>
  <si>
    <t xml:space="preserve">  Settled Swap Revenue</t>
  </si>
  <si>
    <t xml:space="preserve">  Settled Swap Expense</t>
  </si>
  <si>
    <t>RS01</t>
  </si>
  <si>
    <t>Eliminate ECR, MSR, DSM, FAC, GSC</t>
  </si>
  <si>
    <t>Rate Switching</t>
  </si>
  <si>
    <t>USGC Settlement</t>
  </si>
  <si>
    <t>Year Customers</t>
  </si>
  <si>
    <t>Rate PS</t>
  </si>
  <si>
    <t>Rate RTS</t>
  </si>
  <si>
    <t>Rate LE</t>
  </si>
  <si>
    <t>Power Service Primary</t>
  </si>
  <si>
    <t>Power Service Secondary</t>
  </si>
  <si>
    <t>Commercial TOD Primary</t>
  </si>
  <si>
    <t>Commercial TOD Secondary</t>
  </si>
  <si>
    <t>Industrial TOD Secondary</t>
  </si>
  <si>
    <t>Retail Transmission Service</t>
  </si>
  <si>
    <t>Traffic Lighting Rate TLE</t>
  </si>
  <si>
    <t>Street Lighting Energy Rate LE</t>
  </si>
  <si>
    <t>Federal &amp; State Income Tax Adjustment</t>
  </si>
  <si>
    <t>Federal &amp; State Income Tax Interest Adjustment</t>
  </si>
  <si>
    <t>Prior income tax true-ups &amp; adjustments</t>
  </si>
  <si>
    <t>Adjustment for domestic production activities</t>
  </si>
  <si>
    <t>Adjustment for tax basis depreciation reduction</t>
  </si>
  <si>
    <t>Adjustment for amortization of investment tax credit</t>
  </si>
  <si>
    <t>Year-End</t>
  </si>
  <si>
    <t>Unit Cost of Service Based on the Cost of Service Study</t>
  </si>
  <si>
    <t>Rate RS</t>
  </si>
  <si>
    <t>Customer Service Expenses</t>
  </si>
  <si>
    <t>Reference</t>
  </si>
  <si>
    <t>Reference Total</t>
  </si>
  <si>
    <t>Demand-Related</t>
  </si>
  <si>
    <t>Energy-Related</t>
  </si>
  <si>
    <t>Customer-Related</t>
  </si>
  <si>
    <t>Check</t>
  </si>
  <si>
    <t>(1)</t>
  </si>
  <si>
    <t>(2)</t>
  </si>
  <si>
    <t>Rate Base Adjustments</t>
  </si>
  <si>
    <t>(3)</t>
  </si>
  <si>
    <t>Rate Base as Adjusted</t>
  </si>
  <si>
    <t>(4)</t>
  </si>
  <si>
    <t>(5)</t>
  </si>
  <si>
    <t>Return</t>
  </si>
  <si>
    <t>(6)</t>
  </si>
  <si>
    <t>(7)</t>
  </si>
  <si>
    <t>Net Income</t>
  </si>
  <si>
    <t>(8)</t>
  </si>
  <si>
    <t>Income Taxes</t>
  </si>
  <si>
    <t>(9)</t>
  </si>
  <si>
    <t>(10)</t>
  </si>
  <si>
    <t>(11)</t>
  </si>
  <si>
    <t>Other Taxes</t>
  </si>
  <si>
    <t>(12)</t>
  </si>
  <si>
    <t>Curtailable Service Credit</t>
  </si>
  <si>
    <t>(13)</t>
  </si>
  <si>
    <t>Expense Adjustments - Prod. Demand</t>
  </si>
  <si>
    <t>(14)</t>
  </si>
  <si>
    <t>Expense Adjustments - Energy</t>
  </si>
  <si>
    <t>(15)</t>
  </si>
  <si>
    <t>Expense Adjustments - Trans. Demand</t>
  </si>
  <si>
    <t>(16)</t>
  </si>
  <si>
    <t>Expense Adjustments - Distribution</t>
  </si>
  <si>
    <t>(17)</t>
  </si>
  <si>
    <t>Expense Adjustments - Other</t>
  </si>
  <si>
    <t>(18)</t>
  </si>
  <si>
    <t>Expense Adjustments - Total</t>
  </si>
  <si>
    <t>(19)</t>
  </si>
  <si>
    <t>Total Cost of Service</t>
  </si>
  <si>
    <t>(20)</t>
  </si>
  <si>
    <t>(21)</t>
  </si>
  <si>
    <t>Less: Misc Revenue - Energy</t>
  </si>
  <si>
    <t>(22)</t>
  </si>
  <si>
    <t>Less: Misc Revenue - Other</t>
  </si>
  <si>
    <t>(23)</t>
  </si>
  <si>
    <t>Less: Misc Revenue - Total</t>
  </si>
  <si>
    <t>(24)</t>
  </si>
  <si>
    <t>Net Cost of Service</t>
  </si>
  <si>
    <t>(25)</t>
  </si>
  <si>
    <t>Billing Units</t>
  </si>
  <si>
    <t>(26)</t>
  </si>
  <si>
    <t>Unit Costs</t>
  </si>
  <si>
    <t>Customer Charge</t>
  </si>
  <si>
    <t>Energy Charge</t>
  </si>
  <si>
    <t>Other Depreciation Expenses</t>
  </si>
  <si>
    <t>Rate PSS</t>
  </si>
  <si>
    <t>Rate PSP</t>
  </si>
  <si>
    <t>Rate ITODP</t>
  </si>
  <si>
    <t>Rate ITODS</t>
  </si>
  <si>
    <t>TREV01</t>
  </si>
  <si>
    <t>TEXP01</t>
  </si>
  <si>
    <t>Temperature Normalization - Revenue</t>
  </si>
  <si>
    <t>Temperature Normalization - Expenses</t>
  </si>
  <si>
    <t>REV01</t>
  </si>
  <si>
    <t>ECRREV2</t>
  </si>
  <si>
    <t>ECR Revenue for Roll-In</t>
  </si>
  <si>
    <t>Cost of Service Summary -- Pro-Forma (Adjusted for Proposed Increase)</t>
  </si>
  <si>
    <t>Revenue and Expense Adjust before IT</t>
  </si>
  <si>
    <t>ITADJ</t>
  </si>
  <si>
    <t>kWh per Customer</t>
  </si>
  <si>
    <t>WCP LF</t>
  </si>
  <si>
    <t>SCP LF</t>
  </si>
  <si>
    <t>Clas NCP LF</t>
  </si>
  <si>
    <t>SID LF</t>
  </si>
  <si>
    <t>Rev per kWh</t>
  </si>
  <si>
    <t>Revenue Percentage of Total</t>
  </si>
  <si>
    <t>O&amp;M Expenses</t>
  </si>
  <si>
    <t>Revenue Adjustments</t>
  </si>
  <si>
    <t>Expense Adjustments</t>
  </si>
  <si>
    <t>Energy Expenses to Total</t>
  </si>
  <si>
    <t>Sales - Percentage of Total</t>
  </si>
  <si>
    <t>Proposed Increase</t>
  </si>
  <si>
    <t>Distribution Customer Margin</t>
  </si>
  <si>
    <t>Amount</t>
  </si>
  <si>
    <t>Winter Peak</t>
  </si>
  <si>
    <t>Summer Peak</t>
  </si>
  <si>
    <t xml:space="preserve">  Production Demand - Winter Peak</t>
  </si>
  <si>
    <t xml:space="preserve">  Production Demand - Summer Peak</t>
  </si>
  <si>
    <t xml:space="preserve">  Production Energy </t>
  </si>
  <si>
    <t xml:space="preserve">  Production Energy - Not Used</t>
  </si>
  <si>
    <t>Allocation Factors (Continued)</t>
  </si>
  <si>
    <t>Eliminate unbilled revenues</t>
  </si>
  <si>
    <t>Eliminate brokered sales revenues</t>
  </si>
  <si>
    <t>Annualized FAC roll-in to base rates</t>
  </si>
  <si>
    <t>Eliminate ECR revenues</t>
  </si>
  <si>
    <t>Remove Off-System ECR revenues</t>
  </si>
  <si>
    <t>Annualized Year end customer revenues</t>
  </si>
  <si>
    <t>Customer rate switching revenue adjustment</t>
  </si>
  <si>
    <t>Year end customer expense adjustment</t>
  </si>
  <si>
    <t>Annualized depreciation expense adjustment</t>
  </si>
  <si>
    <t>Pension &amp; post retirement expense adjustment</t>
  </si>
  <si>
    <t>Eliminate DSM expenses</t>
  </si>
  <si>
    <t>Property insurance expense adjustment</t>
  </si>
  <si>
    <t>Labor expense adjustment</t>
  </si>
  <si>
    <t>Normalized storm damage expenses</t>
  </si>
  <si>
    <t>Eliminate advertising expenses</t>
  </si>
  <si>
    <t>Remove out of period expense items</t>
  </si>
  <si>
    <t>MISO exit fee regulatory asset amortization</t>
  </si>
  <si>
    <t>OVEC, EEI, &amp; Non-utility expense removal</t>
  </si>
  <si>
    <t>Job Development investment credit</t>
  </si>
  <si>
    <t>Advanced Coal investment tax credit</t>
  </si>
  <si>
    <t>FAC expense adjustments</t>
  </si>
  <si>
    <t>ECR plan eliminations expense</t>
  </si>
  <si>
    <t>Coal Tax Credit</t>
  </si>
  <si>
    <t>Grandfathering provision elimination</t>
  </si>
  <si>
    <t>2011 Wind Storm regulatory asset amortization</t>
  </si>
  <si>
    <t>General Management Audit regulatory asset amortization</t>
  </si>
  <si>
    <t>Residential Rate RS</t>
  </si>
  <si>
    <t>Power Service Primary Rate PS</t>
  </si>
  <si>
    <t>Power Service Secondary Rate PS</t>
  </si>
  <si>
    <t>Commercial TOD Rate CTOD Primary</t>
  </si>
  <si>
    <t>Commercial TOD Rate CTOD Secondary</t>
  </si>
  <si>
    <t>Industrial TOD Rate ITOD Secondary</t>
  </si>
  <si>
    <t>Retail Transmission Servive Rate RTS</t>
  </si>
  <si>
    <t>Street Lighting Rate RLS &amp; LS</t>
  </si>
  <si>
    <t>Street Lighting Rate LE</t>
  </si>
  <si>
    <t>Summary of Unadjusted Rates of Return by Class</t>
  </si>
  <si>
    <t>Property tax expense adjustment</t>
  </si>
  <si>
    <t>Electric Portion of Common Plant</t>
  </si>
  <si>
    <t>Gas Portion of Common Plant</t>
  </si>
  <si>
    <t xml:space="preserve">  CWIP Distribution</t>
  </si>
  <si>
    <t xml:space="preserve">  CWIP Common</t>
  </si>
  <si>
    <t>PLANT HELD FOR FUTURE USE - DIST</t>
  </si>
  <si>
    <t>PLANT HELD FOR FUTURE USE - PROD</t>
  </si>
  <si>
    <t>OM504</t>
  </si>
  <si>
    <t>LB504</t>
  </si>
  <si>
    <t>STEAM TRANSFER EXPENSES</t>
  </si>
  <si>
    <t xml:space="preserve">   Depreciation Expenses</t>
  </si>
  <si>
    <t>Street Lighting Rate (RLS, LS, DSK)</t>
  </si>
  <si>
    <t>Intermediate</t>
  </si>
  <si>
    <t>Peak</t>
  </si>
  <si>
    <t>(Winter)</t>
  </si>
  <si>
    <t>(Summer)</t>
  </si>
  <si>
    <t>Unit</t>
  </si>
  <si>
    <t>Weighted Year End Customers</t>
  </si>
  <si>
    <t>Weighted Average Customers (Lighting = 10 Lights per Customer)</t>
  </si>
  <si>
    <t>P374</t>
  </si>
  <si>
    <t>Year End Customers (Lighting = 10 Lights)</t>
  </si>
  <si>
    <t>Year End Customers (Lighting = 10 Lights per Cust)</t>
  </si>
  <si>
    <t>Average Customers (Lighting = 10 Lights per Cust)</t>
  </si>
  <si>
    <t>Cost of Service Summary -- Adjusted for Uniform Percentage Increase</t>
  </si>
  <si>
    <t>Full Year FAC Base Rate Change</t>
  </si>
  <si>
    <t>Adjustment to reflect changes to FAC calculations</t>
  </si>
  <si>
    <t>Adjustment to Off-System sales margins</t>
  </si>
  <si>
    <t>Eliminate rate mechanism revenue accruals</t>
  </si>
  <si>
    <t>Misc Service Revenue Allocator</t>
  </si>
  <si>
    <t>Adjustment to remove out of period items</t>
  </si>
  <si>
    <t>Industrial TOD Rate ITOD Primary Lines</t>
  </si>
  <si>
    <t>Industrial TOD Rate ITOD Primary Subs</t>
  </si>
  <si>
    <t>Industrial TOD Primary Lines</t>
  </si>
  <si>
    <t>Industrial TOD Primary Subs</t>
  </si>
  <si>
    <t>Adjustment for injuries and damages FERC account 925</t>
  </si>
  <si>
    <t>Adjustment for transfer of ITO functions</t>
  </si>
  <si>
    <t>Adjustment for Swap termination regulatory asset</t>
  </si>
  <si>
    <t>Maximum Class Demands (Primary Subs)</t>
  </si>
  <si>
    <t>Maximum Class Demands (Primary Lines)</t>
  </si>
  <si>
    <t>NCPS</t>
  </si>
  <si>
    <t>NCPL</t>
  </si>
  <si>
    <t>ECR Plan Eliminations</t>
  </si>
  <si>
    <t xml:space="preserve">Rate Switch </t>
  </si>
  <si>
    <t>Remove HEA</t>
  </si>
  <si>
    <t>Impact on kwh</t>
  </si>
  <si>
    <t>$</t>
  </si>
  <si>
    <t>Water Co march bill</t>
  </si>
  <si>
    <t>net of CSR</t>
  </si>
  <si>
    <t>Water Co March Bill</t>
  </si>
  <si>
    <t>Sum of the Individual Customer Demands</t>
  </si>
  <si>
    <t>Rate Switching Adjustments to Demand Allocators</t>
  </si>
  <si>
    <t>Energy changes due to rate switching</t>
  </si>
  <si>
    <t>Net delivered energy</t>
  </si>
  <si>
    <t>ECRPLAN</t>
  </si>
  <si>
    <t>ECR Revenue in Base Rates</t>
  </si>
  <si>
    <t>For the 12 Months Ended March 31. 2012</t>
  </si>
  <si>
    <t>Summary of Adjusted Rates of Return by Class</t>
  </si>
  <si>
    <t>Summary of Rates of Return by Class w/Proposed Increase</t>
  </si>
  <si>
    <t>Lighting Rate RLS &amp; LS</t>
  </si>
  <si>
    <t>Lighting Rate LE</t>
  </si>
  <si>
    <t>Lighting Rate TLE</t>
  </si>
  <si>
    <t>Cost of Service Summary -- Equalized RORs based on Cost of Service</t>
  </si>
  <si>
    <t>Cost of Service Summary -- Pro-Forma w/Increase (Equalized RORs)</t>
  </si>
  <si>
    <t>Inter-Class Subsidies Received (Provided)</t>
  </si>
  <si>
    <t>with 15% of Subsidy Reduction</t>
  </si>
  <si>
    <t>For the 12 Months Ended March 31, 2012</t>
  </si>
  <si>
    <t>Demand Charge</t>
  </si>
  <si>
    <t>Revenue per Billing Determinants</t>
  </si>
  <si>
    <t>CSR Credits</t>
  </si>
  <si>
    <t>Buythrough Charges</t>
  </si>
  <si>
    <t>Revenue net of CSR</t>
  </si>
  <si>
    <t>Total Operating Revenue -- Adjusted for Uniform Percentage Increase</t>
  </si>
  <si>
    <t>Rate TOD</t>
  </si>
  <si>
    <t>TOD Rate ITOD Primary Lines</t>
  </si>
  <si>
    <t>TOD Rate TOD Primary Lines</t>
  </si>
  <si>
    <t>TOD Rate TOD Secondary</t>
  </si>
  <si>
    <t>Rate TODS</t>
  </si>
  <si>
    <t>Rate TODP</t>
  </si>
  <si>
    <t>ROR Band</t>
  </si>
  <si>
    <t>Total Adjustment</t>
  </si>
  <si>
    <t>Old Rate ITOD</t>
  </si>
  <si>
    <t>Old Rate ITOD Primary Lines</t>
  </si>
  <si>
    <t>Adjusted Increase to a Cap</t>
  </si>
  <si>
    <t>All lines between this color not part of filing</t>
  </si>
  <si>
    <t>Adjusted Uniform Increase to reflect Adjustment</t>
  </si>
  <si>
    <t>Cap</t>
  </si>
  <si>
    <t>Min</t>
  </si>
  <si>
    <t>Reallocation</t>
  </si>
  <si>
    <t>Previous Increase</t>
  </si>
  <si>
    <t>Calculations for LWC</t>
  </si>
  <si>
    <t>All lines between this color not part of filing Stop Here to Hide)</t>
  </si>
  <si>
    <t>TOD Primary Lines</t>
  </si>
  <si>
    <t>TOD Secondary</t>
  </si>
  <si>
    <t>Lighting</t>
  </si>
  <si>
    <t>Lighting Energy</t>
  </si>
  <si>
    <t>SC</t>
  </si>
  <si>
    <t>Lights</t>
  </si>
  <si>
    <t>Total Other Power Generation Operation Expenses</t>
  </si>
  <si>
    <t>Customer No. 1</t>
  </si>
  <si>
    <t>Customer No. 2</t>
  </si>
  <si>
    <t>Lighting Service Rate</t>
  </si>
  <si>
    <t>RLS, LS, DSK</t>
  </si>
  <si>
    <t>Rate TE</t>
  </si>
  <si>
    <t>Traffic Energy Service</t>
  </si>
  <si>
    <t>UNIT COST SECTION NOT UPDATED!!</t>
  </si>
  <si>
    <t>12 CP</t>
  </si>
  <si>
    <t>5 CP</t>
  </si>
  <si>
    <t>Increase to</t>
  </si>
  <si>
    <t>Equal ROR</t>
  </si>
  <si>
    <t>Req. ROR</t>
  </si>
  <si>
    <t>BIP Production and Transmission Allocation - Corrected CSR Credit</t>
  </si>
</sst>
</file>

<file path=xl/styles.xml><?xml version="1.0" encoding="utf-8"?>
<styleSheet xmlns="http://schemas.openxmlformats.org/spreadsheetml/2006/main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_(* #,##0.000000_);_(* \(#,##0.000000\);_(* &quot;-&quot;??_);_(@_)"/>
    <numFmt numFmtId="171" formatCode="_(* #,##0.0000000_);_(* \(#,##0.0000000\);_(* &quot;-&quot;??_);_(@_)"/>
    <numFmt numFmtId="172" formatCode="_(&quot;$&quot;* #,##0.0000_);_(&quot;$&quot;* \(#,##0.0000\);_(&quot;$&quot;* &quot;-&quot;??_);_(@_)"/>
    <numFmt numFmtId="173" formatCode="_(&quot;$&quot;* #,##0.00000_);_(&quot;$&quot;* \(#,##0.00000\);_(&quot;$&quot;* &quot;-&quot;??_);_(@_)"/>
    <numFmt numFmtId="174" formatCode="_(&quot;$&quot;* #,##0.000000_);_(&quot;$&quot;* \(#,##0.000000\);_(&quot;$&quot;* &quot;-&quot;??_);_(@_)"/>
    <numFmt numFmtId="175" formatCode="0.0000000"/>
    <numFmt numFmtId="176" formatCode="_([$€-2]* #,##0.00_);_([$€-2]* \(#,##0.00\);_([$€-2]* &quot;-&quot;??_)"/>
    <numFmt numFmtId="177" formatCode="&quot;$&quot;#,##0\ ;\(&quot;$&quot;#,##0\)"/>
    <numFmt numFmtId="178" formatCode="0.00000"/>
    <numFmt numFmtId="179" formatCode="0.000%"/>
  </numFmts>
  <fonts count="43">
    <font>
      <sz val="11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2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u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5" fillId="5" borderId="0">
      <alignment horizontal="left"/>
    </xf>
    <xf numFmtId="0" fontId="26" fillId="5" borderId="0">
      <alignment horizontal="right"/>
    </xf>
    <xf numFmtId="0" fontId="27" fillId="4" borderId="0">
      <alignment horizontal="center"/>
    </xf>
    <xf numFmtId="0" fontId="26" fillId="5" borderId="0">
      <alignment horizontal="right"/>
    </xf>
    <xf numFmtId="0" fontId="28" fillId="4" borderId="0">
      <alignment horizontal="left"/>
    </xf>
    <xf numFmtId="43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 applyProtection="0"/>
    <xf numFmtId="0" fontId="19" fillId="0" borderId="0" applyProtection="0"/>
    <xf numFmtId="0" fontId="20" fillId="0" borderId="0" applyProtection="0"/>
    <xf numFmtId="0" fontId="21" fillId="0" borderId="0" applyProtection="0"/>
    <xf numFmtId="0" fontId="6" fillId="0" borderId="0" applyProtection="0"/>
    <xf numFmtId="0" fontId="18" fillId="0" borderId="0" applyProtection="0"/>
    <xf numFmtId="0" fontId="22" fillId="0" borderId="0" applyProtection="0"/>
    <xf numFmtId="2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>
      <alignment horizontal="left"/>
    </xf>
    <xf numFmtId="0" fontId="29" fillId="4" borderId="0">
      <alignment horizontal="left"/>
    </xf>
    <xf numFmtId="41" fontId="37" fillId="0" borderId="0"/>
    <xf numFmtId="4" fontId="30" fillId="6" borderId="0">
      <alignment horizontal="right"/>
    </xf>
    <xf numFmtId="0" fontId="31" fillId="6" borderId="0">
      <alignment horizontal="center" vertical="center"/>
    </xf>
    <xf numFmtId="0" fontId="29" fillId="6" borderId="1"/>
    <xf numFmtId="0" fontId="31" fillId="6" borderId="0" applyBorder="0">
      <alignment horizontal="centerContinuous"/>
    </xf>
    <xf numFmtId="0" fontId="32" fillId="6" borderId="0" applyBorder="0">
      <alignment horizontal="centerContinuous"/>
    </xf>
    <xf numFmtId="9" fontId="2" fillId="0" borderId="0" applyFont="0" applyFill="0" applyBorder="0" applyAlignment="0" applyProtection="0"/>
    <xf numFmtId="0" fontId="29" fillId="3" borderId="0">
      <alignment horizontal="center"/>
    </xf>
    <xf numFmtId="49" fontId="33" fillId="4" borderId="0">
      <alignment horizontal="center"/>
    </xf>
    <xf numFmtId="0" fontId="26" fillId="5" borderId="0">
      <alignment horizontal="center"/>
    </xf>
    <xf numFmtId="0" fontId="26" fillId="5" borderId="0">
      <alignment horizontal="centerContinuous"/>
    </xf>
    <xf numFmtId="0" fontId="34" fillId="4" borderId="0">
      <alignment horizontal="left"/>
    </xf>
    <xf numFmtId="49" fontId="34" fillId="4" borderId="0">
      <alignment horizontal="center"/>
    </xf>
    <xf numFmtId="0" fontId="25" fillId="5" borderId="0">
      <alignment horizontal="left"/>
    </xf>
    <xf numFmtId="49" fontId="34" fillId="4" borderId="0">
      <alignment horizontal="left"/>
    </xf>
    <xf numFmtId="0" fontId="25" fillId="5" borderId="0">
      <alignment horizontal="centerContinuous"/>
    </xf>
    <xf numFmtId="0" fontId="25" fillId="5" borderId="0">
      <alignment horizontal="right"/>
    </xf>
    <xf numFmtId="49" fontId="29" fillId="4" borderId="0">
      <alignment horizontal="left"/>
    </xf>
    <xf numFmtId="0" fontId="26" fillId="5" borderId="0">
      <alignment horizontal="right"/>
    </xf>
    <xf numFmtId="0" fontId="34" fillId="2" borderId="0">
      <alignment horizontal="center"/>
    </xf>
    <xf numFmtId="0" fontId="35" fillId="2" borderId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2" applyNumberFormat="0" applyFont="0" applyFill="0" applyAlignment="0" applyProtection="0"/>
    <xf numFmtId="0" fontId="36" fillId="4" borderId="0">
      <alignment horizontal="center"/>
    </xf>
    <xf numFmtId="0" fontId="2" fillId="0" borderId="0"/>
  </cellStyleXfs>
  <cellXfs count="434">
    <xf numFmtId="0" fontId="0" fillId="0" borderId="0" xfId="0"/>
    <xf numFmtId="0" fontId="0" fillId="0" borderId="0" xfId="0" applyAlignment="1">
      <alignment horizontal="right"/>
    </xf>
    <xf numFmtId="164" fontId="0" fillId="0" borderId="0" xfId="8" applyNumberFormat="1" applyFont="1"/>
    <xf numFmtId="43" fontId="0" fillId="0" borderId="0" xfId="6" applyFont="1"/>
    <xf numFmtId="165" fontId="0" fillId="0" borderId="0" xfId="6" applyNumberFormat="1" applyFont="1"/>
    <xf numFmtId="0" fontId="3" fillId="0" borderId="0" xfId="0" applyFont="1"/>
    <xf numFmtId="0" fontId="4" fillId="0" borderId="0" xfId="0" applyFont="1"/>
    <xf numFmtId="165" fontId="0" fillId="0" borderId="0" xfId="0" applyNumberFormat="1"/>
    <xf numFmtId="170" fontId="0" fillId="0" borderId="0" xfId="6" applyNumberFormat="1" applyFo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43" fontId="3" fillId="0" borderId="0" xfId="6" applyFont="1" applyAlignment="1">
      <alignment horizontal="right"/>
    </xf>
    <xf numFmtId="0" fontId="3" fillId="0" borderId="0" xfId="0" applyFont="1" applyBorder="1"/>
    <xf numFmtId="10" fontId="0" fillId="0" borderId="0" xfId="30" applyNumberFormat="1" applyFont="1"/>
    <xf numFmtId="43" fontId="0" fillId="0" borderId="0" xfId="0" applyNumberFormat="1"/>
    <xf numFmtId="0" fontId="0" fillId="0" borderId="0" xfId="0" applyBorder="1"/>
    <xf numFmtId="43" fontId="3" fillId="0" borderId="0" xfId="6" applyFont="1" applyBorder="1" applyAlignment="1">
      <alignment horizontal="right"/>
    </xf>
    <xf numFmtId="170" fontId="3" fillId="0" borderId="0" xfId="6" applyNumberFormat="1" applyFont="1" applyBorder="1" applyAlignment="1">
      <alignment horizontal="right" wrapText="1"/>
    </xf>
    <xf numFmtId="165" fontId="3" fillId="0" borderId="0" xfId="6" applyNumberFormat="1" applyFont="1" applyBorder="1" applyAlignment="1">
      <alignment horizontal="right"/>
    </xf>
    <xf numFmtId="43" fontId="3" fillId="0" borderId="0" xfId="6" applyFont="1" applyBorder="1" applyAlignment="1">
      <alignment horizontal="right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left" wrapText="1"/>
    </xf>
    <xf numFmtId="0" fontId="8" fillId="0" borderId="0" xfId="0" applyFont="1"/>
    <xf numFmtId="43" fontId="3" fillId="0" borderId="3" xfId="6" applyFont="1" applyBorder="1" applyAlignment="1">
      <alignment horizontal="right"/>
    </xf>
    <xf numFmtId="170" fontId="0" fillId="0" borderId="0" xfId="6" applyNumberFormat="1" applyFont="1" applyAlignment="1">
      <alignment horizontal="right"/>
    </xf>
    <xf numFmtId="170" fontId="3" fillId="0" borderId="3" xfId="6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Fill="1"/>
    <xf numFmtId="165" fontId="0" fillId="0" borderId="4" xfId="6" applyNumberFormat="1" applyFont="1" applyBorder="1"/>
    <xf numFmtId="10" fontId="0" fillId="0" borderId="4" xfId="30" applyNumberFormat="1" applyFont="1" applyBorder="1"/>
    <xf numFmtId="164" fontId="0" fillId="0" borderId="0" xfId="8" applyNumberFormat="1" applyFont="1" applyBorder="1"/>
    <xf numFmtId="165" fontId="0" fillId="0" borderId="0" xfId="6" applyNumberFormat="1" applyFont="1" applyBorder="1"/>
    <xf numFmtId="10" fontId="0" fillId="0" borderId="0" xfId="30" applyNumberFormat="1" applyFont="1" applyBorder="1"/>
    <xf numFmtId="0" fontId="0" fillId="0" borderId="4" xfId="0" applyBorder="1"/>
    <xf numFmtId="0" fontId="7" fillId="0" borderId="4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164" fontId="12" fillId="0" borderId="0" xfId="8" applyNumberFormat="1" applyFont="1"/>
    <xf numFmtId="165" fontId="12" fillId="0" borderId="0" xfId="6" applyNumberFormat="1" applyFont="1"/>
    <xf numFmtId="164" fontId="12" fillId="0" borderId="0" xfId="0" applyNumberFormat="1" applyFont="1"/>
    <xf numFmtId="0" fontId="13" fillId="0" borderId="0" xfId="0" applyFont="1" applyFill="1"/>
    <xf numFmtId="0" fontId="12" fillId="0" borderId="0" xfId="0" quotePrefix="1" applyFont="1" applyFill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13" fillId="0" borderId="3" xfId="0" applyFont="1" applyFill="1" applyBorder="1" applyAlignment="1">
      <alignment horizontal="right"/>
    </xf>
    <xf numFmtId="10" fontId="12" fillId="0" borderId="0" xfId="30" applyNumberFormat="1" applyFont="1"/>
    <xf numFmtId="43" fontId="12" fillId="0" borderId="0" xfId="0" applyNumberFormat="1" applyFont="1"/>
    <xf numFmtId="170" fontId="12" fillId="0" borderId="0" xfId="0" applyNumberFormat="1" applyFont="1"/>
    <xf numFmtId="44" fontId="12" fillId="0" borderId="0" xfId="8" applyFont="1"/>
    <xf numFmtId="170" fontId="15" fillId="0" borderId="0" xfId="0" applyNumberFormat="1" applyFont="1"/>
    <xf numFmtId="43" fontId="15" fillId="0" borderId="0" xfId="6" applyFont="1"/>
    <xf numFmtId="164" fontId="12" fillId="0" borderId="0" xfId="8" applyNumberFormat="1" applyFont="1" applyFill="1"/>
    <xf numFmtId="165" fontId="12" fillId="0" borderId="0" xfId="6" applyNumberFormat="1" applyFont="1" applyFill="1"/>
    <xf numFmtId="164" fontId="12" fillId="0" borderId="0" xfId="0" applyNumberFormat="1" applyFont="1" applyFill="1"/>
    <xf numFmtId="166" fontId="12" fillId="0" borderId="0" xfId="0" applyNumberFormat="1" applyFont="1" applyFill="1"/>
    <xf numFmtId="43" fontId="12" fillId="0" borderId="0" xfId="6" applyFont="1" applyFill="1"/>
    <xf numFmtId="169" fontId="12" fillId="0" borderId="0" xfId="6" applyNumberFormat="1" applyFont="1" applyFill="1"/>
    <xf numFmtId="0" fontId="9" fillId="0" borderId="0" xfId="0" applyFont="1"/>
    <xf numFmtId="0" fontId="10" fillId="0" borderId="0" xfId="0" applyFont="1" applyFill="1"/>
    <xf numFmtId="0" fontId="9" fillId="0" borderId="0" xfId="0" applyFont="1" applyFill="1"/>
    <xf numFmtId="0" fontId="10" fillId="7" borderId="0" xfId="0" applyFont="1" applyFill="1"/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4" fontId="9" fillId="0" borderId="0" xfId="0" applyNumberFormat="1" applyFont="1" applyFill="1"/>
    <xf numFmtId="0" fontId="10" fillId="0" borderId="3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166" fontId="9" fillId="0" borderId="0" xfId="0" applyNumberFormat="1" applyFont="1" applyFill="1"/>
    <xf numFmtId="164" fontId="9" fillId="0" borderId="0" xfId="8" applyNumberFormat="1" applyFont="1" applyFill="1"/>
    <xf numFmtId="0" fontId="10" fillId="0" borderId="4" xfId="0" applyFont="1" applyFill="1" applyBorder="1"/>
    <xf numFmtId="0" fontId="9" fillId="0" borderId="4" xfId="0" applyFont="1" applyFill="1" applyBorder="1"/>
    <xf numFmtId="164" fontId="9" fillId="0" borderId="4" xfId="8" applyNumberFormat="1" applyFont="1" applyFill="1" applyBorder="1"/>
    <xf numFmtId="166" fontId="9" fillId="0" borderId="4" xfId="0" applyNumberFormat="1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5" fontId="9" fillId="0" borderId="0" xfId="6" applyNumberFormat="1" applyFont="1"/>
    <xf numFmtId="165" fontId="9" fillId="0" borderId="4" xfId="6" applyNumberFormat="1" applyFont="1" applyBorder="1"/>
    <xf numFmtId="165" fontId="9" fillId="0" borderId="0" xfId="0" applyNumberFormat="1" applyFont="1" applyFill="1"/>
    <xf numFmtId="170" fontId="12" fillId="0" borderId="0" xfId="6" applyNumberFormat="1" applyFont="1" applyFill="1"/>
    <xf numFmtId="0" fontId="12" fillId="0" borderId="0" xfId="0" quotePrefix="1" applyFont="1" applyFill="1" applyAlignment="1">
      <alignment horizontal="left"/>
    </xf>
    <xf numFmtId="165" fontId="12" fillId="0" borderId="0" xfId="0" applyNumberFormat="1" applyFont="1" applyFill="1"/>
    <xf numFmtId="0" fontId="3" fillId="0" borderId="0" xfId="0" applyFont="1" applyFill="1"/>
    <xf numFmtId="175" fontId="12" fillId="0" borderId="0" xfId="0" applyNumberFormat="1" applyFont="1" applyFill="1"/>
    <xf numFmtId="43" fontId="12" fillId="0" borderId="0" xfId="0" applyNumberFormat="1" applyFont="1" applyFill="1"/>
    <xf numFmtId="170" fontId="12" fillId="0" borderId="0" xfId="0" applyNumberFormat="1" applyFont="1" applyFill="1"/>
    <xf numFmtId="171" fontId="12" fillId="0" borderId="0" xfId="0" applyNumberFormat="1" applyFont="1" applyFill="1"/>
    <xf numFmtId="164" fontId="12" fillId="0" borderId="4" xfId="8" applyNumberFormat="1" applyFont="1" applyFill="1" applyBorder="1"/>
    <xf numFmtId="164" fontId="12" fillId="0" borderId="4" xfId="0" applyNumberFormat="1" applyFont="1" applyFill="1" applyBorder="1"/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10" fontId="13" fillId="0" borderId="0" xfId="30" applyNumberFormat="1" applyFont="1" applyFill="1" applyBorder="1"/>
    <xf numFmtId="0" fontId="12" fillId="0" borderId="0" xfId="0" applyFont="1" applyFill="1" applyBorder="1" applyAlignment="1">
      <alignment horizontal="center"/>
    </xf>
    <xf numFmtId="168" fontId="12" fillId="0" borderId="0" xfId="6" applyNumberFormat="1" applyFont="1" applyFill="1" applyBorder="1"/>
    <xf numFmtId="165" fontId="12" fillId="0" borderId="0" xfId="6" applyNumberFormat="1" applyFont="1" applyFill="1" applyBorder="1"/>
    <xf numFmtId="165" fontId="12" fillId="0" borderId="4" xfId="6" applyNumberFormat="1" applyFont="1" applyFill="1" applyBorder="1"/>
    <xf numFmtId="0" fontId="12" fillId="0" borderId="4" xfId="0" applyFont="1" applyFill="1" applyBorder="1" applyAlignment="1">
      <alignment horizontal="center"/>
    </xf>
    <xf numFmtId="10" fontId="12" fillId="0" borderId="0" xfId="0" applyNumberFormat="1" applyFont="1" applyFill="1"/>
    <xf numFmtId="0" fontId="13" fillId="0" borderId="5" xfId="0" applyFont="1" applyFill="1" applyBorder="1"/>
    <xf numFmtId="0" fontId="13" fillId="0" borderId="6" xfId="0" applyFont="1" applyFill="1" applyBorder="1"/>
    <xf numFmtId="10" fontId="13" fillId="0" borderId="7" xfId="30" applyNumberFormat="1" applyFont="1" applyFill="1" applyBorder="1"/>
    <xf numFmtId="10" fontId="12" fillId="0" borderId="0" xfId="30" applyNumberFormat="1" applyFont="1" applyFill="1"/>
    <xf numFmtId="164" fontId="12" fillId="0" borderId="0" xfId="0" applyNumberFormat="1" applyFont="1" applyFill="1" applyBorder="1"/>
    <xf numFmtId="0" fontId="12" fillId="8" borderId="0" xfId="0" applyFont="1" applyFill="1"/>
    <xf numFmtId="164" fontId="12" fillId="8" borderId="0" xfId="0" applyNumberFormat="1" applyFont="1" applyFill="1"/>
    <xf numFmtId="0" fontId="12" fillId="8" borderId="0" xfId="0" applyFont="1" applyFill="1" applyAlignment="1">
      <alignment horizontal="center"/>
    </xf>
    <xf numFmtId="164" fontId="12" fillId="8" borderId="0" xfId="8" applyNumberFormat="1" applyFont="1" applyFill="1"/>
    <xf numFmtId="10" fontId="12" fillId="8" borderId="0" xfId="30" applyNumberFormat="1" applyFont="1" applyFill="1"/>
    <xf numFmtId="165" fontId="12" fillId="8" borderId="0" xfId="6" applyNumberFormat="1" applyFont="1" applyFill="1"/>
    <xf numFmtId="165" fontId="12" fillId="8" borderId="0" xfId="0" applyNumberFormat="1" applyFont="1" applyFill="1"/>
    <xf numFmtId="10" fontId="13" fillId="8" borderId="7" xfId="30" applyNumberFormat="1" applyFont="1" applyFill="1" applyBorder="1"/>
    <xf numFmtId="0" fontId="13" fillId="8" borderId="0" xfId="0" applyFont="1" applyFill="1" applyBorder="1"/>
    <xf numFmtId="165" fontId="12" fillId="0" borderId="0" xfId="30" applyNumberFormat="1" applyFont="1" applyFill="1"/>
    <xf numFmtId="44" fontId="12" fillId="0" borderId="0" xfId="8" applyFont="1" applyFill="1"/>
    <xf numFmtId="170" fontId="15" fillId="0" borderId="0" xfId="0" applyNumberFormat="1" applyFont="1" applyFill="1"/>
    <xf numFmtId="170" fontId="12" fillId="0" borderId="0" xfId="0" applyNumberFormat="1" applyFont="1" applyFill="1" applyBorder="1"/>
    <xf numFmtId="43" fontId="15" fillId="0" borderId="0" xfId="6" applyFont="1" applyFill="1"/>
    <xf numFmtId="0" fontId="12" fillId="0" borderId="0" xfId="0" applyNumberFormat="1" applyFont="1" applyFill="1"/>
    <xf numFmtId="0" fontId="12" fillId="0" borderId="0" xfId="0" applyFont="1" applyFill="1" applyAlignment="1">
      <alignment horizontal="left"/>
    </xf>
    <xf numFmtId="9" fontId="12" fillId="0" borderId="0" xfId="30" applyFont="1" applyFill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11" xfId="0" quotePrefix="1" applyBorder="1"/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1" xfId="0" quotePrefix="1" applyFont="1" applyBorder="1"/>
    <xf numFmtId="0" fontId="6" fillId="0" borderId="12" xfId="0" applyFont="1" applyFill="1" applyBorder="1"/>
    <xf numFmtId="0" fontId="0" fillId="0" borderId="13" xfId="0" applyBorder="1" applyAlignment="1">
      <alignment horizontal="center"/>
    </xf>
    <xf numFmtId="164" fontId="0" fillId="0" borderId="13" xfId="8" applyNumberFormat="1" applyFont="1" applyBorder="1"/>
    <xf numFmtId="0" fontId="0" fillId="0" borderId="11" xfId="0" applyBorder="1"/>
    <xf numFmtId="0" fontId="2" fillId="0" borderId="12" xfId="0" applyFont="1" applyBorder="1"/>
    <xf numFmtId="0" fontId="6" fillId="0" borderId="11" xfId="0" quotePrefix="1" applyFont="1" applyFill="1" applyBorder="1"/>
    <xf numFmtId="164" fontId="6" fillId="0" borderId="13" xfId="8" applyNumberFormat="1" applyFont="1" applyBorder="1" applyAlignment="1">
      <alignment horizontal="center"/>
    </xf>
    <xf numFmtId="165" fontId="6" fillId="0" borderId="0" xfId="0" applyNumberFormat="1" applyFont="1" applyFill="1"/>
    <xf numFmtId="0" fontId="6" fillId="0" borderId="14" xfId="0" quotePrefix="1" applyFont="1" applyBorder="1"/>
    <xf numFmtId="0" fontId="0" fillId="0" borderId="17" xfId="0" applyBorder="1"/>
    <xf numFmtId="0" fontId="6" fillId="0" borderId="15" xfId="0" applyFont="1" applyBorder="1" applyAlignment="1">
      <alignment horizontal="center"/>
    </xf>
    <xf numFmtId="164" fontId="0" fillId="0" borderId="15" xfId="8" applyNumberFormat="1" applyFont="1" applyBorder="1"/>
    <xf numFmtId="0" fontId="2" fillId="0" borderId="0" xfId="0" applyFont="1"/>
    <xf numFmtId="2" fontId="0" fillId="0" borderId="0" xfId="0" applyNumberFormat="1"/>
    <xf numFmtId="0" fontId="7" fillId="0" borderId="0" xfId="0" applyFont="1" applyFill="1" applyBorder="1"/>
    <xf numFmtId="10" fontId="12" fillId="0" borderId="0" xfId="30" applyNumberFormat="1" applyFont="1" applyFill="1" applyBorder="1"/>
    <xf numFmtId="164" fontId="12" fillId="0" borderId="0" xfId="30" applyNumberFormat="1" applyFont="1" applyFill="1"/>
    <xf numFmtId="0" fontId="14" fillId="0" borderId="0" xfId="0" applyFont="1" applyFill="1" applyBorder="1"/>
    <xf numFmtId="43" fontId="12" fillId="0" borderId="0" xfId="6" applyNumberFormat="1" applyFont="1" applyFill="1"/>
    <xf numFmtId="43" fontId="15" fillId="0" borderId="0" xfId="6" applyNumberFormat="1" applyFont="1" applyFill="1"/>
    <xf numFmtId="44" fontId="12" fillId="0" borderId="0" xfId="8" applyFont="1" applyFill="1" applyBorder="1"/>
    <xf numFmtId="44" fontId="12" fillId="0" borderId="0" xfId="0" applyNumberFormat="1" applyFont="1" applyFill="1" applyBorder="1"/>
    <xf numFmtId="44" fontId="12" fillId="0" borderId="4" xfId="8" applyFont="1" applyFill="1" applyBorder="1"/>
    <xf numFmtId="44" fontId="12" fillId="0" borderId="0" xfId="0" applyNumberFormat="1" applyFont="1" applyFill="1"/>
    <xf numFmtId="10" fontId="12" fillId="0" borderId="4" xfId="30" applyNumberFormat="1" applyFont="1" applyFill="1" applyBorder="1"/>
    <xf numFmtId="10" fontId="12" fillId="0" borderId="0" xfId="0" applyNumberFormat="1" applyFont="1" applyFill="1" applyBorder="1"/>
    <xf numFmtId="173" fontId="12" fillId="0" borderId="0" xfId="8" applyNumberFormat="1" applyFont="1" applyFill="1"/>
    <xf numFmtId="0" fontId="7" fillId="0" borderId="0" xfId="0" applyFont="1" applyBorder="1" applyAlignment="1"/>
    <xf numFmtId="44" fontId="0" fillId="0" borderId="7" xfId="8" applyFont="1" applyBorder="1"/>
    <xf numFmtId="164" fontId="2" fillId="0" borderId="11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2" xfId="0" applyFont="1" applyFill="1" applyBorder="1"/>
    <xf numFmtId="165" fontId="2" fillId="0" borderId="0" xfId="6" applyNumberFormat="1" applyFont="1" applyFill="1" applyBorder="1"/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37" fillId="0" borderId="0" xfId="0" applyFont="1" applyBorder="1"/>
    <xf numFmtId="166" fontId="2" fillId="0" borderId="0" xfId="6" applyNumberFormat="1" applyFont="1" applyFill="1"/>
    <xf numFmtId="0" fontId="13" fillId="0" borderId="0" xfId="0" quotePrefix="1" applyFont="1" applyFill="1" applyAlignment="1">
      <alignment horizontal="left"/>
    </xf>
    <xf numFmtId="165" fontId="12" fillId="9" borderId="0" xfId="6" applyNumberFormat="1" applyFont="1" applyFill="1"/>
    <xf numFmtId="0" fontId="12" fillId="10" borderId="0" xfId="0" applyFont="1" applyFill="1"/>
    <xf numFmtId="0" fontId="12" fillId="10" borderId="0" xfId="0" quotePrefix="1" applyFont="1" applyFill="1" applyAlignment="1">
      <alignment horizontal="left"/>
    </xf>
    <xf numFmtId="0" fontId="3" fillId="0" borderId="3" xfId="0" applyFont="1" applyBorder="1" applyAlignment="1">
      <alignment horizontal="right"/>
    </xf>
    <xf numFmtId="43" fontId="0" fillId="0" borderId="0" xfId="6" applyFont="1" applyBorder="1"/>
    <xf numFmtId="44" fontId="38" fillId="0" borderId="0" xfId="8" applyFont="1" applyFill="1"/>
    <xf numFmtId="0" fontId="0" fillId="0" borderId="0" xfId="0" applyFill="1"/>
    <xf numFmtId="165" fontId="9" fillId="0" borderId="0" xfId="6" applyNumberFormat="1" applyFont="1" applyFill="1"/>
    <xf numFmtId="0" fontId="3" fillId="0" borderId="3" xfId="0" applyFont="1" applyFill="1" applyBorder="1" applyAlignment="1">
      <alignment horizontal="right"/>
    </xf>
    <xf numFmtId="165" fontId="2" fillId="0" borderId="0" xfId="6" applyNumberFormat="1" applyFont="1"/>
    <xf numFmtId="164" fontId="2" fillId="0" borderId="0" xfId="8" applyNumberFormat="1" applyFont="1" applyFill="1" applyAlignment="1">
      <alignment horizontal="right"/>
    </xf>
    <xf numFmtId="164" fontId="2" fillId="0" borderId="0" xfId="8" applyNumberFormat="1" applyFont="1" applyFill="1"/>
    <xf numFmtId="0" fontId="6" fillId="0" borderId="0" xfId="0" applyFont="1" applyFill="1"/>
    <xf numFmtId="165" fontId="6" fillId="0" borderId="0" xfId="6" applyNumberFormat="1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0" fillId="0" borderId="0" xfId="0" applyNumberFormat="1"/>
    <xf numFmtId="43" fontId="3" fillId="0" borderId="0" xfId="6" applyFont="1" applyBorder="1" applyAlignment="1"/>
    <xf numFmtId="165" fontId="0" fillId="0" borderId="0" xfId="6" quotePrefix="1" applyNumberFormat="1" applyFont="1"/>
    <xf numFmtId="0" fontId="12" fillId="0" borderId="0" xfId="0" applyFont="1" applyFill="1" applyAlignment="1">
      <alignment horizontal="right"/>
    </xf>
    <xf numFmtId="44" fontId="12" fillId="0" borderId="0" xfId="8" applyNumberFormat="1" applyFont="1" applyFill="1"/>
    <xf numFmtId="0" fontId="13" fillId="12" borderId="0" xfId="0" applyFont="1" applyFill="1"/>
    <xf numFmtId="0" fontId="12" fillId="12" borderId="0" xfId="0" applyFont="1" applyFill="1"/>
    <xf numFmtId="164" fontId="12" fillId="12" borderId="0" xfId="8" applyNumberFormat="1" applyFont="1" applyFill="1"/>
    <xf numFmtId="169" fontId="7" fillId="0" borderId="0" xfId="6" applyNumberFormat="1" applyFont="1" applyFill="1" applyBorder="1"/>
    <xf numFmtId="165" fontId="7" fillId="0" borderId="0" xfId="6" applyNumberFormat="1" applyFont="1" applyFill="1" applyBorder="1"/>
    <xf numFmtId="10" fontId="7" fillId="0" borderId="0" xfId="30" applyNumberFormat="1" applyFont="1" applyFill="1" applyBorder="1"/>
    <xf numFmtId="0" fontId="3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3" xfId="0" applyFont="1" applyFill="1" applyBorder="1"/>
    <xf numFmtId="0" fontId="0" fillId="0" borderId="8" xfId="0" applyFill="1" applyBorder="1" applyAlignment="1">
      <alignment horizontal="center"/>
    </xf>
    <xf numFmtId="44" fontId="2" fillId="0" borderId="7" xfId="8" applyFont="1" applyBorder="1"/>
    <xf numFmtId="44" fontId="0" fillId="0" borderId="0" xfId="8" applyFont="1"/>
    <xf numFmtId="0" fontId="37" fillId="0" borderId="0" xfId="0" applyFont="1" applyFill="1" applyBorder="1"/>
    <xf numFmtId="0" fontId="2" fillId="0" borderId="10" xfId="0" applyFont="1" applyBorder="1"/>
    <xf numFmtId="0" fontId="2" fillId="0" borderId="13" xfId="0" applyFont="1" applyBorder="1"/>
    <xf numFmtId="0" fontId="13" fillId="0" borderId="17" xfId="0" applyFont="1" applyBorder="1"/>
    <xf numFmtId="0" fontId="13" fillId="0" borderId="15" xfId="0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7" fontId="0" fillId="0" borderId="3" xfId="0" applyNumberFormat="1" applyBorder="1"/>
    <xf numFmtId="43" fontId="0" fillId="0" borderId="3" xfId="0" applyNumberFormat="1" applyBorder="1"/>
    <xf numFmtId="43" fontId="2" fillId="0" borderId="0" xfId="6" applyNumberFormat="1" applyFont="1" applyFill="1" applyBorder="1"/>
    <xf numFmtId="0" fontId="6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6" fillId="0" borderId="13" xfId="0" applyNumberFormat="1" applyFont="1" applyFill="1" applyBorder="1"/>
    <xf numFmtId="44" fontId="2" fillId="0" borderId="0" xfId="0" applyNumberFormat="1" applyFont="1" applyBorder="1" applyAlignment="1">
      <alignment horizontal="center"/>
    </xf>
    <xf numFmtId="169" fontId="0" fillId="0" borderId="0" xfId="6" applyNumberFormat="1" applyFont="1"/>
    <xf numFmtId="178" fontId="0" fillId="0" borderId="0" xfId="0" applyNumberFormat="1"/>
    <xf numFmtId="164" fontId="2" fillId="0" borderId="11" xfId="8" applyNumberFormat="1" applyFont="1" applyFill="1" applyBorder="1"/>
    <xf numFmtId="164" fontId="2" fillId="0" borderId="0" xfId="8" applyNumberFormat="1" applyFont="1" applyBorder="1" applyAlignment="1">
      <alignment horizontal="center"/>
    </xf>
    <xf numFmtId="165" fontId="2" fillId="0" borderId="11" xfId="6" applyNumberFormat="1" applyFont="1" applyFill="1" applyBorder="1"/>
    <xf numFmtId="0" fontId="2" fillId="0" borderId="11" xfId="0" applyFont="1" applyFill="1" applyBorder="1" applyAlignment="1">
      <alignment horizontal="center"/>
    </xf>
    <xf numFmtId="10" fontId="2" fillId="0" borderId="11" xfId="30" applyNumberFormat="1" applyFont="1" applyFill="1" applyBorder="1" applyAlignment="1">
      <alignment horizontal="right"/>
    </xf>
    <xf numFmtId="10" fontId="2" fillId="0" borderId="0" xfId="30" applyNumberFormat="1" applyFont="1" applyBorder="1" applyAlignment="1">
      <alignment horizontal="right"/>
    </xf>
    <xf numFmtId="164" fontId="12" fillId="0" borderId="11" xfId="0" applyNumberFormat="1" applyFont="1" applyFill="1" applyBorder="1" applyAlignment="1">
      <alignment horizontal="center"/>
    </xf>
    <xf numFmtId="44" fontId="2" fillId="0" borderId="11" xfId="8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5" fontId="2" fillId="0" borderId="0" xfId="6" applyNumberFormat="1" applyFont="1" applyBorder="1"/>
    <xf numFmtId="0" fontId="12" fillId="0" borderId="14" xfId="0" applyFont="1" applyBorder="1" applyAlignment="1">
      <alignment horizontal="center"/>
    </xf>
    <xf numFmtId="173" fontId="2" fillId="0" borderId="3" xfId="8" applyNumberFormat="1" applyFont="1" applyBorder="1"/>
    <xf numFmtId="44" fontId="2" fillId="0" borderId="3" xfId="8" applyFont="1" applyBorder="1"/>
    <xf numFmtId="164" fontId="12" fillId="0" borderId="0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/>
    <xf numFmtId="164" fontId="2" fillId="0" borderId="0" xfId="8" applyNumberFormat="1" applyFont="1" applyFill="1" applyBorder="1"/>
    <xf numFmtId="0" fontId="2" fillId="0" borderId="0" xfId="0" applyFont="1" applyFill="1" applyBorder="1" applyAlignment="1">
      <alignment horizontal="center"/>
    </xf>
    <xf numFmtId="10" fontId="2" fillId="0" borderId="0" xfId="3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44" fontId="2" fillId="0" borderId="0" xfId="8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0" fillId="0" borderId="0" xfId="0" applyNumberFormat="1" applyFill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Border="1"/>
    <xf numFmtId="0" fontId="3" fillId="0" borderId="11" xfId="0" applyFont="1" applyFill="1" applyBorder="1"/>
    <xf numFmtId="0" fontId="13" fillId="0" borderId="14" xfId="0" applyFont="1" applyFill="1" applyBorder="1" applyAlignment="1">
      <alignment horizontal="center"/>
    </xf>
    <xf numFmtId="164" fontId="2" fillId="0" borderId="11" xfId="8" applyNumberFormat="1" applyFont="1" applyBorder="1" applyAlignment="1">
      <alignment horizontal="center"/>
    </xf>
    <xf numFmtId="165" fontId="12" fillId="0" borderId="11" xfId="6" applyNumberFormat="1" applyFont="1" applyFill="1" applyBorder="1"/>
    <xf numFmtId="164" fontId="12" fillId="0" borderId="11" xfId="0" applyNumberFormat="1" applyFont="1" applyBorder="1" applyAlignment="1">
      <alignment horizontal="center"/>
    </xf>
    <xf numFmtId="0" fontId="2" fillId="0" borderId="11" xfId="0" applyFont="1" applyBorder="1"/>
    <xf numFmtId="10" fontId="2" fillId="0" borderId="11" xfId="30" applyNumberFormat="1" applyFont="1" applyBorder="1" applyAlignment="1">
      <alignment horizontal="right"/>
    </xf>
    <xf numFmtId="165" fontId="2" fillId="0" borderId="11" xfId="6" applyNumberFormat="1" applyFont="1" applyBorder="1"/>
    <xf numFmtId="0" fontId="2" fillId="0" borderId="14" xfId="0" applyFont="1" applyBorder="1"/>
    <xf numFmtId="0" fontId="2" fillId="0" borderId="8" xfId="0" applyFont="1" applyBorder="1"/>
    <xf numFmtId="0" fontId="13" fillId="0" borderId="14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4" fontId="0" fillId="0" borderId="12" xfId="8" applyNumberFormat="1" applyFont="1" applyBorder="1"/>
    <xf numFmtId="164" fontId="0" fillId="0" borderId="17" xfId="8" applyNumberFormat="1" applyFont="1" applyBorder="1"/>
    <xf numFmtId="43" fontId="2" fillId="0" borderId="11" xfId="6" applyNumberFormat="1" applyFont="1" applyFill="1" applyBorder="1"/>
    <xf numFmtId="173" fontId="2" fillId="0" borderId="14" xfId="8" applyNumberFormat="1" applyFont="1" applyBorder="1"/>
    <xf numFmtId="164" fontId="12" fillId="0" borderId="13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2" fillId="11" borderId="0" xfId="0" applyFont="1" applyFill="1"/>
    <xf numFmtId="164" fontId="12" fillId="0" borderId="0" xfId="30" applyNumberFormat="1" applyFont="1" applyFill="1" applyAlignment="1">
      <alignment horizontal="right"/>
    </xf>
    <xf numFmtId="0" fontId="13" fillId="13" borderId="0" xfId="0" applyFont="1" applyFill="1"/>
    <xf numFmtId="0" fontId="12" fillId="13" borderId="0" xfId="0" applyFont="1" applyFill="1"/>
    <xf numFmtId="10" fontId="12" fillId="13" borderId="0" xfId="30" applyNumberFormat="1" applyFont="1" applyFill="1"/>
    <xf numFmtId="0" fontId="41" fillId="13" borderId="0" xfId="0" applyFont="1" applyFill="1"/>
    <xf numFmtId="164" fontId="12" fillId="14" borderId="0" xfId="8" applyNumberFormat="1" applyFont="1" applyFill="1"/>
    <xf numFmtId="0" fontId="12" fillId="13" borderId="0" xfId="0" applyFont="1" applyFill="1" applyAlignment="1">
      <alignment horizontal="right"/>
    </xf>
    <xf numFmtId="10" fontId="12" fillId="13" borderId="0" xfId="0" applyNumberFormat="1" applyFont="1" applyFill="1"/>
    <xf numFmtId="164" fontId="12" fillId="13" borderId="0" xfId="8" applyNumberFormat="1" applyFont="1" applyFill="1"/>
    <xf numFmtId="164" fontId="12" fillId="13" borderId="0" xfId="0" applyNumberFormat="1" applyFont="1" applyFill="1"/>
    <xf numFmtId="10" fontId="12" fillId="13" borderId="0" xfId="0" applyNumberFormat="1" applyFont="1" applyFill="1" applyAlignment="1">
      <alignment horizontal="right"/>
    </xf>
    <xf numFmtId="0" fontId="12" fillId="13" borderId="0" xfId="0" applyFont="1" applyFill="1" applyAlignment="1">
      <alignment horizontal="center"/>
    </xf>
    <xf numFmtId="0" fontId="12" fillId="13" borderId="0" xfId="0" applyFont="1" applyFill="1" applyBorder="1"/>
    <xf numFmtId="10" fontId="12" fillId="13" borderId="0" xfId="0" applyNumberFormat="1" applyFont="1" applyFill="1" applyBorder="1"/>
    <xf numFmtId="10" fontId="13" fillId="13" borderId="0" xfId="30" applyNumberFormat="1" applyFont="1" applyFill="1" applyBorder="1"/>
    <xf numFmtId="10" fontId="12" fillId="13" borderId="0" xfId="30" applyNumberFormat="1" applyFont="1" applyFill="1" applyAlignment="1">
      <alignment horizontal="right"/>
    </xf>
    <xf numFmtId="164" fontId="12" fillId="13" borderId="0" xfId="30" applyNumberFormat="1" applyFont="1" applyFill="1"/>
    <xf numFmtId="179" fontId="12" fillId="13" borderId="0" xfId="30" applyNumberFormat="1" applyFont="1" applyFill="1"/>
    <xf numFmtId="164" fontId="12" fillId="13" borderId="0" xfId="30" applyNumberFormat="1" applyFont="1" applyFill="1" applyAlignment="1">
      <alignment horizontal="right"/>
    </xf>
    <xf numFmtId="0" fontId="41" fillId="0" borderId="0" xfId="0" applyFont="1" applyFill="1"/>
    <xf numFmtId="174" fontId="12" fillId="0" borderId="0" xfId="0" applyNumberFormat="1" applyFont="1" applyFill="1"/>
    <xf numFmtId="167" fontId="12" fillId="0" borderId="0" xfId="0" applyNumberFormat="1" applyFont="1" applyFill="1"/>
    <xf numFmtId="0" fontId="2" fillId="0" borderId="0" xfId="0" applyFont="1" applyFill="1"/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7" xfId="0" applyFont="1" applyBorder="1" applyAlignment="1">
      <alignment horizontal="right" wrapText="1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2" fillId="0" borderId="0" xfId="0" applyFont="1" applyFill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 applyBorder="1"/>
    <xf numFmtId="17" fontId="2" fillId="0" borderId="0" xfId="0" applyNumberFormat="1" applyFont="1"/>
    <xf numFmtId="10" fontId="2" fillId="0" borderId="0" xfId="30" applyNumberFormat="1" applyFont="1"/>
    <xf numFmtId="0" fontId="4" fillId="0" borderId="0" xfId="0" applyFont="1" applyFill="1"/>
    <xf numFmtId="10" fontId="2" fillId="0" borderId="0" xfId="0" applyNumberFormat="1" applyFont="1"/>
    <xf numFmtId="2" fontId="2" fillId="0" borderId="0" xfId="0" applyNumberFormat="1" applyFont="1" applyFill="1"/>
    <xf numFmtId="165" fontId="2" fillId="0" borderId="0" xfId="6" applyNumberFormat="1" applyFont="1" applyFill="1"/>
    <xf numFmtId="165" fontId="2" fillId="0" borderId="0" xfId="8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 applyProtection="1">
      <alignment horizontal="left"/>
    </xf>
    <xf numFmtId="165" fontId="2" fillId="0" borderId="0" xfId="0" applyNumberFormat="1" applyFont="1"/>
    <xf numFmtId="164" fontId="2" fillId="0" borderId="0" xfId="8" applyNumberFormat="1" applyFont="1"/>
    <xf numFmtId="0" fontId="2" fillId="0" borderId="0" xfId="0" applyFont="1" applyFill="1" applyAlignment="1">
      <alignment horizontal="center"/>
    </xf>
    <xf numFmtId="0" fontId="3" fillId="0" borderId="0" xfId="0" quotePrefix="1" applyFont="1" applyFill="1"/>
    <xf numFmtId="43" fontId="2" fillId="0" borderId="0" xfId="6" applyFont="1"/>
    <xf numFmtId="0" fontId="4" fillId="0" borderId="0" xfId="0" quotePrefix="1" applyFont="1" applyFill="1" applyAlignment="1">
      <alignment horizontal="left"/>
    </xf>
    <xf numFmtId="0" fontId="2" fillId="0" borderId="0" xfId="0" quotePrefix="1" applyFont="1" applyFill="1"/>
    <xf numFmtId="0" fontId="2" fillId="0" borderId="0" xfId="6" applyNumberFormat="1" applyFont="1"/>
    <xf numFmtId="0" fontId="2" fillId="0" borderId="0" xfId="6" applyNumberFormat="1" applyFont="1" applyBorder="1"/>
    <xf numFmtId="0" fontId="2" fillId="0" borderId="0" xfId="6" applyNumberFormat="1" applyFont="1" applyFill="1"/>
    <xf numFmtId="0" fontId="2" fillId="0" borderId="0" xfId="0" applyFont="1" applyFill="1" applyBorder="1"/>
    <xf numFmtId="0" fontId="2" fillId="0" borderId="0" xfId="6" applyNumberFormat="1" applyFont="1" applyFill="1" applyBorder="1"/>
    <xf numFmtId="0" fontId="2" fillId="0" borderId="0" xfId="0" quotePrefix="1" applyFont="1" applyFill="1" applyBorder="1"/>
    <xf numFmtId="0" fontId="2" fillId="0" borderId="0" xfId="0" quotePrefix="1" applyFont="1" applyAlignment="1">
      <alignment horizontal="left"/>
    </xf>
    <xf numFmtId="166" fontId="2" fillId="0" borderId="0" xfId="0" applyNumberFormat="1" applyFont="1" applyFill="1"/>
    <xf numFmtId="165" fontId="2" fillId="0" borderId="0" xfId="0" applyNumberFormat="1" applyFont="1" applyFill="1"/>
    <xf numFmtId="43" fontId="2" fillId="0" borderId="0" xfId="6" applyFont="1" applyFill="1"/>
    <xf numFmtId="169" fontId="2" fillId="0" borderId="0" xfId="6" applyNumberFormat="1" applyFont="1" applyFill="1"/>
    <xf numFmtId="169" fontId="2" fillId="0" borderId="0" xfId="6" applyNumberFormat="1" applyFont="1"/>
    <xf numFmtId="166" fontId="2" fillId="0" borderId="0" xfId="6" applyNumberFormat="1" applyFont="1"/>
    <xf numFmtId="166" fontId="2" fillId="0" borderId="0" xfId="0" applyNumberFormat="1" applyFont="1"/>
    <xf numFmtId="170" fontId="2" fillId="0" borderId="0" xfId="6" applyNumberFormat="1" applyFont="1"/>
    <xf numFmtId="171" fontId="2" fillId="0" borderId="0" xfId="6" applyNumberFormat="1" applyFont="1"/>
    <xf numFmtId="0" fontId="13" fillId="0" borderId="0" xfId="0" quotePrefix="1" applyFont="1" applyFill="1" applyAlignment="1">
      <alignment horizontal="right" wrapText="1"/>
    </xf>
    <xf numFmtId="0" fontId="13" fillId="0" borderId="3" xfId="0" quotePrefix="1" applyFont="1" applyFill="1" applyBorder="1" applyAlignment="1">
      <alignment horizontal="right"/>
    </xf>
    <xf numFmtId="165" fontId="3" fillId="0" borderId="0" xfId="6" applyNumberFormat="1" applyFont="1" applyBorder="1" applyAlignment="1">
      <alignment horizontal="center"/>
    </xf>
    <xf numFmtId="0" fontId="13" fillId="0" borderId="4" xfId="0" applyFont="1" applyFill="1" applyBorder="1"/>
    <xf numFmtId="15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0" xfId="0" applyFont="1" applyFill="1"/>
    <xf numFmtId="165" fontId="2" fillId="0" borderId="0" xfId="6" applyNumberFormat="1" applyFont="1" applyFill="1" applyBorder="1" applyAlignment="1">
      <alignment horizontal="right"/>
    </xf>
    <xf numFmtId="165" fontId="2" fillId="0" borderId="0" xfId="6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Alignment="1">
      <alignment horizontal="right"/>
    </xf>
    <xf numFmtId="0" fontId="2" fillId="0" borderId="3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7" fontId="2" fillId="0" borderId="0" xfId="6" applyNumberFormat="1" applyFont="1" applyFill="1" applyBorder="1" applyAlignment="1">
      <alignment horizontal="right"/>
    </xf>
    <xf numFmtId="44" fontId="2" fillId="0" borderId="0" xfId="8" applyFont="1" applyFill="1"/>
    <xf numFmtId="0" fontId="2" fillId="0" borderId="0" xfId="0" applyFont="1" applyFill="1" applyAlignment="1">
      <alignment horizontal="right"/>
    </xf>
    <xf numFmtId="172" fontId="2" fillId="0" borderId="0" xfId="8" applyNumberFormat="1" applyFont="1" applyFill="1"/>
    <xf numFmtId="1" fontId="2" fillId="0" borderId="0" xfId="0" applyNumberFormat="1" applyFont="1" applyFill="1"/>
    <xf numFmtId="0" fontId="2" fillId="0" borderId="0" xfId="0" applyFont="1" applyFill="1" applyBorder="1" applyAlignment="1">
      <alignment horizontal="right"/>
    </xf>
    <xf numFmtId="44" fontId="2" fillId="0" borderId="0" xfId="8" applyFont="1" applyFill="1" applyBorder="1" applyAlignment="1">
      <alignment horizontal="right"/>
    </xf>
    <xf numFmtId="10" fontId="2" fillId="0" borderId="0" xfId="3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4" xfId="6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2" fillId="0" borderId="18" xfId="6" applyNumberFormat="1" applyFont="1" applyFill="1" applyBorder="1" applyAlignment="1">
      <alignment horizontal="right"/>
    </xf>
    <xf numFmtId="165" fontId="1" fillId="0" borderId="0" xfId="0" applyNumberFormat="1" applyFont="1" applyFill="1"/>
    <xf numFmtId="10" fontId="2" fillId="0" borderId="0" xfId="30" applyNumberFormat="1" applyFont="1" applyFill="1"/>
    <xf numFmtId="43" fontId="2" fillId="0" borderId="0" xfId="6" applyNumberFormat="1" applyFont="1" applyFill="1"/>
    <xf numFmtId="165" fontId="1" fillId="0" borderId="0" xfId="6" applyNumberFormat="1" applyFont="1" applyFill="1" applyAlignment="1">
      <alignment horizontal="right"/>
    </xf>
    <xf numFmtId="165" fontId="5" fillId="0" borderId="0" xfId="6" applyNumberFormat="1" applyFont="1" applyFill="1"/>
    <xf numFmtId="43" fontId="2" fillId="0" borderId="0" xfId="0" applyNumberFormat="1" applyFont="1" applyFill="1"/>
    <xf numFmtId="171" fontId="2" fillId="0" borderId="0" xfId="0" applyNumberFormat="1" applyFont="1" applyFill="1"/>
    <xf numFmtId="43" fontId="5" fillId="0" borderId="0" xfId="6" applyFont="1" applyFill="1"/>
    <xf numFmtId="164" fontId="5" fillId="0" borderId="0" xfId="8" applyNumberFormat="1" applyFont="1" applyFill="1"/>
    <xf numFmtId="165" fontId="5" fillId="0" borderId="0" xfId="8" applyNumberFormat="1" applyFont="1" applyFill="1"/>
    <xf numFmtId="4" fontId="2" fillId="0" borderId="0" xfId="0" applyNumberFormat="1" applyFont="1" applyFill="1"/>
    <xf numFmtId="165" fontId="12" fillId="10" borderId="0" xfId="6" applyNumberFormat="1" applyFont="1" applyFill="1"/>
    <xf numFmtId="0" fontId="12" fillId="10" borderId="0" xfId="0" applyFont="1" applyFill="1" applyAlignment="1">
      <alignment horizontal="center"/>
    </xf>
    <xf numFmtId="0" fontId="8" fillId="0" borderId="0" xfId="53" applyFont="1"/>
    <xf numFmtId="0" fontId="2" fillId="0" borderId="0" xfId="53"/>
    <xf numFmtId="0" fontId="1" fillId="0" borderId="0" xfId="53" applyFont="1"/>
    <xf numFmtId="0" fontId="1" fillId="0" borderId="0" xfId="53" quotePrefix="1" applyFont="1"/>
    <xf numFmtId="0" fontId="1" fillId="0" borderId="0" xfId="53" applyFont="1" applyAlignment="1"/>
    <xf numFmtId="43" fontId="1" fillId="0" borderId="0" xfId="6" applyFont="1" applyAlignment="1">
      <alignment horizontal="right"/>
    </xf>
    <xf numFmtId="0" fontId="2" fillId="0" borderId="0" xfId="53" applyAlignment="1">
      <alignment horizontal="right"/>
    </xf>
    <xf numFmtId="165" fontId="1" fillId="0" borderId="0" xfId="6" applyNumberFormat="1" applyFont="1" applyAlignment="1">
      <alignment horizontal="right"/>
    </xf>
    <xf numFmtId="0" fontId="1" fillId="0" borderId="3" xfId="53" applyFont="1" applyBorder="1" applyAlignment="1"/>
    <xf numFmtId="43" fontId="1" fillId="0" borderId="3" xfId="6" applyFont="1" applyBorder="1" applyAlignment="1">
      <alignment horizontal="right"/>
    </xf>
    <xf numFmtId="170" fontId="1" fillId="0" borderId="3" xfId="6" applyNumberFormat="1" applyFont="1" applyBorder="1" applyAlignment="1">
      <alignment horizontal="right"/>
    </xf>
    <xf numFmtId="0" fontId="7" fillId="0" borderId="0" xfId="53" applyFont="1"/>
    <xf numFmtId="0" fontId="7" fillId="0" borderId="0" xfId="53" applyFont="1" applyFill="1"/>
    <xf numFmtId="0" fontId="7" fillId="0" borderId="4" xfId="53" applyFont="1" applyBorder="1"/>
    <xf numFmtId="165" fontId="2" fillId="0" borderId="0" xfId="53" applyNumberFormat="1"/>
    <xf numFmtId="0" fontId="3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0" xfId="6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54">
    <cellStyle name="ColumnAttributeAbovePrompt" xfId="1"/>
    <cellStyle name="ColumnAttributePrompt" xfId="2"/>
    <cellStyle name="ColumnAttributeValue" xfId="3"/>
    <cellStyle name="ColumnHeadingPrompt" xfId="4"/>
    <cellStyle name="ColumnHeadingValue" xfId="5"/>
    <cellStyle name="Comma" xfId="6" builtinId="3"/>
    <cellStyle name="Comma0" xfId="7"/>
    <cellStyle name="Currency" xfId="8" builtinId="4"/>
    <cellStyle name="Currency0" xfId="9"/>
    <cellStyle name="Date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ixed" xfId="19"/>
    <cellStyle name="Heading 1" xfId="20" builtinId="16" customBuiltin="1"/>
    <cellStyle name="Heading 2" xfId="21" builtinId="17" customBuiltin="1"/>
    <cellStyle name="LineItemPrompt" xfId="22"/>
    <cellStyle name="LineItemValue" xfId="23"/>
    <cellStyle name="Normal" xfId="0" builtinId="0"/>
    <cellStyle name="Normal 2" xfId="53"/>
    <cellStyle name="Normal 2 19" xfId="24"/>
    <cellStyle name="Output Amounts" xfId="25"/>
    <cellStyle name="Output Column Headings" xfId="26"/>
    <cellStyle name="Output Line Items" xfId="27"/>
    <cellStyle name="Output Report Heading" xfId="28"/>
    <cellStyle name="Output Report Title" xfId="29"/>
    <cellStyle name="Percent" xfId="30" builtinId="5"/>
    <cellStyle name="ReportTitlePrompt" xfId="31"/>
    <cellStyle name="ReportTitleValue" xfId="32"/>
    <cellStyle name="RowAcctAbovePrompt" xfId="33"/>
    <cellStyle name="RowAcctSOBAbovePrompt" xfId="34"/>
    <cellStyle name="RowAcctSOBValue" xfId="35"/>
    <cellStyle name="RowAcctValue" xfId="36"/>
    <cellStyle name="RowAttrAbovePrompt" xfId="37"/>
    <cellStyle name="RowAttrValue" xfId="38"/>
    <cellStyle name="RowColSetAbovePrompt" xfId="39"/>
    <cellStyle name="RowColSetLeftPrompt" xfId="40"/>
    <cellStyle name="RowColSetValue" xfId="41"/>
    <cellStyle name="RowLeftPrompt" xfId="42"/>
    <cellStyle name="SampleUsingFormatMask" xfId="43"/>
    <cellStyle name="SampleWithNoFormatMask" xfId="44"/>
    <cellStyle name="STYL5 - Style5" xfId="45"/>
    <cellStyle name="STYL6 - Style6" xfId="46"/>
    <cellStyle name="STYLE1 - Style1" xfId="47"/>
    <cellStyle name="STYLE2 - Style2" xfId="48"/>
    <cellStyle name="STYLE3 - Style3" xfId="49"/>
    <cellStyle name="STYLE4 - Style4" xfId="50"/>
    <cellStyle name="Total" xfId="51" builtinId="25" customBuiltin="1"/>
    <cellStyle name="UploadThisRowValue" xfId="52"/>
  </cellStyles>
  <dxfs count="1"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DAVID\PSC\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WINDOWS\TEMP\1999\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Financials\LG&amp;E\2008\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06Plan\Utility%20Plan\Supporting%20Schedules\Gross%20Margin\Gross%20Margin%202006-2008%20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Monthly%20Reporting\Tax%20Report\LGE\LGELedge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My%20Documents\BellarExhibi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lge%202012-00222\Rate%20Case%202012\Cost%20of%20Service\Electric%20Cost%20of%20Service%20Studies\WINNT\Profiles\e004977\Temporary%20Internet%20Files\OLK2D\Rate%20Case%20LGE%20Lat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14"/>
  <sheetViews>
    <sheetView view="pageBreakPreview" topLeftCell="A91" zoomScale="60" zoomScaleNormal="100" workbookViewId="0"/>
  </sheetViews>
  <sheetFormatPr defaultColWidth="9.109375" defaultRowHeight="13.8"/>
  <cols>
    <col min="1" max="1" width="7.6640625" style="165" customWidth="1"/>
    <col min="2" max="2" width="55.88671875" style="165" customWidth="1"/>
    <col min="3" max="3" width="14.44140625" style="165" customWidth="1"/>
    <col min="4" max="4" width="12.44140625" style="165" customWidth="1"/>
    <col min="5" max="5" width="2.6640625" style="165" customWidth="1"/>
    <col min="6" max="6" width="17.5546875" style="318" customWidth="1"/>
    <col min="7" max="7" width="2.109375" style="165" customWidth="1"/>
    <col min="8" max="8" width="20.44140625" style="165" bestFit="1" customWidth="1"/>
    <col min="9" max="9" width="19" style="165" bestFit="1" customWidth="1"/>
    <col min="10" max="11" width="18" style="165" customWidth="1"/>
    <col min="12" max="12" width="21.88671875" style="165" hidden="1" customWidth="1"/>
    <col min="13" max="13" width="22.33203125" style="165" hidden="1" customWidth="1"/>
    <col min="14" max="14" width="18.6640625" style="165" bestFit="1" customWidth="1"/>
    <col min="15" max="16" width="18.6640625" style="165" customWidth="1"/>
    <col min="17" max="17" width="17.5546875" style="165" hidden="1" customWidth="1"/>
    <col min="18" max="18" width="17.5546875" style="165" customWidth="1"/>
    <col min="19" max="19" width="16.33203125" style="165" customWidth="1"/>
    <col min="20" max="20" width="17.88671875" style="165" customWidth="1"/>
    <col min="21" max="21" width="16.33203125" style="165" customWidth="1"/>
    <col min="22" max="22" width="16.6640625" style="165" customWidth="1"/>
    <col min="23" max="23" width="16.6640625" style="319" customWidth="1"/>
    <col min="24" max="25" width="16.88671875" style="165" customWidth="1"/>
    <col min="26" max="28" width="17.5546875" style="165" customWidth="1"/>
    <col min="29" max="29" width="17.88671875" style="165" customWidth="1"/>
    <col min="30" max="30" width="15" style="165" customWidth="1"/>
    <col min="31" max="31" width="18.33203125" style="165" bestFit="1" customWidth="1"/>
    <col min="32" max="32" width="18.33203125" style="165" customWidth="1"/>
    <col min="33" max="33" width="14.6640625" style="165" customWidth="1"/>
    <col min="34" max="35" width="17.5546875" style="165" bestFit="1" customWidth="1"/>
    <col min="36" max="36" width="15.109375" style="165" bestFit="1" customWidth="1"/>
    <col min="37" max="37" width="17.5546875" style="165" bestFit="1" customWidth="1"/>
    <col min="38" max="16384" width="9.109375" style="165"/>
  </cols>
  <sheetData>
    <row r="1" spans="1:37" ht="14.4" thickBot="1"/>
    <row r="2" spans="1:37" ht="14.4" hidden="1" thickBot="1">
      <c r="A2" s="319"/>
      <c r="B2" s="319"/>
      <c r="C2" s="319">
        <v>1</v>
      </c>
      <c r="D2" s="319">
        <f>C2+1</f>
        <v>2</v>
      </c>
      <c r="E2" s="319">
        <f t="shared" ref="E2:AG2" si="0">D2+1</f>
        <v>3</v>
      </c>
      <c r="F2" s="320">
        <f t="shared" si="0"/>
        <v>4</v>
      </c>
      <c r="G2" s="319">
        <f t="shared" si="0"/>
        <v>5</v>
      </c>
      <c r="H2" s="319">
        <f t="shared" si="0"/>
        <v>6</v>
      </c>
      <c r="I2" s="319">
        <f t="shared" si="0"/>
        <v>7</v>
      </c>
      <c r="J2" s="319">
        <f t="shared" si="0"/>
        <v>8</v>
      </c>
      <c r="K2" s="319">
        <f t="shared" si="0"/>
        <v>9</v>
      </c>
      <c r="L2" s="319">
        <f t="shared" si="0"/>
        <v>10</v>
      </c>
      <c r="M2" s="319">
        <f t="shared" si="0"/>
        <v>11</v>
      </c>
      <c r="N2" s="319">
        <f t="shared" si="0"/>
        <v>12</v>
      </c>
      <c r="O2" s="319">
        <f t="shared" si="0"/>
        <v>13</v>
      </c>
      <c r="P2" s="319">
        <f t="shared" si="0"/>
        <v>14</v>
      </c>
      <c r="Q2" s="319">
        <f t="shared" si="0"/>
        <v>15</v>
      </c>
      <c r="R2" s="319">
        <f t="shared" si="0"/>
        <v>16</v>
      </c>
      <c r="S2" s="319">
        <f t="shared" si="0"/>
        <v>17</v>
      </c>
      <c r="T2" s="319">
        <f t="shared" si="0"/>
        <v>18</v>
      </c>
      <c r="U2" s="319">
        <f t="shared" si="0"/>
        <v>19</v>
      </c>
      <c r="V2" s="319">
        <f t="shared" si="0"/>
        <v>20</v>
      </c>
      <c r="W2" s="319">
        <f t="shared" si="0"/>
        <v>21</v>
      </c>
      <c r="X2" s="319">
        <f t="shared" si="0"/>
        <v>22</v>
      </c>
      <c r="Y2" s="319">
        <f t="shared" si="0"/>
        <v>23</v>
      </c>
      <c r="Z2" s="319">
        <f t="shared" si="0"/>
        <v>24</v>
      </c>
      <c r="AA2" s="319">
        <f t="shared" si="0"/>
        <v>25</v>
      </c>
      <c r="AB2" s="319">
        <f t="shared" si="0"/>
        <v>26</v>
      </c>
      <c r="AC2" s="319">
        <f t="shared" si="0"/>
        <v>27</v>
      </c>
      <c r="AD2" s="319">
        <f t="shared" si="0"/>
        <v>28</v>
      </c>
      <c r="AE2" s="319">
        <f t="shared" si="0"/>
        <v>29</v>
      </c>
      <c r="AF2" s="319">
        <f t="shared" si="0"/>
        <v>30</v>
      </c>
      <c r="AG2" s="319">
        <f t="shared" si="0"/>
        <v>31</v>
      </c>
    </row>
    <row r="3" spans="1:37" ht="48" customHeight="1" thickBot="1">
      <c r="A3" s="5"/>
      <c r="B3" s="5"/>
      <c r="C3" s="9"/>
      <c r="D3" s="321" t="s">
        <v>1025</v>
      </c>
      <c r="E3" s="9"/>
      <c r="F3" s="322" t="s">
        <v>1026</v>
      </c>
      <c r="G3" s="9"/>
      <c r="H3" s="427" t="s">
        <v>362</v>
      </c>
      <c r="I3" s="428"/>
      <c r="J3" s="429"/>
      <c r="K3" s="325" t="s">
        <v>363</v>
      </c>
      <c r="L3" s="323"/>
      <c r="M3" s="324"/>
      <c r="N3" s="427" t="s">
        <v>190</v>
      </c>
      <c r="O3" s="430"/>
      <c r="P3" s="429"/>
      <c r="Q3" s="325" t="s">
        <v>365</v>
      </c>
      <c r="R3" s="325" t="s">
        <v>366</v>
      </c>
      <c r="S3" s="427" t="s">
        <v>373</v>
      </c>
      <c r="T3" s="428"/>
      <c r="U3" s="429"/>
      <c r="V3" s="425" t="s">
        <v>372</v>
      </c>
      <c r="W3" s="426"/>
      <c r="X3" s="425" t="s">
        <v>374</v>
      </c>
      <c r="Y3" s="426"/>
      <c r="Z3" s="325" t="s">
        <v>371</v>
      </c>
      <c r="AA3" s="325" t="s">
        <v>370</v>
      </c>
      <c r="AB3" s="325" t="s">
        <v>369</v>
      </c>
      <c r="AC3" s="325" t="s">
        <v>1129</v>
      </c>
      <c r="AD3" s="325" t="s">
        <v>368</v>
      </c>
      <c r="AE3" s="325" t="s">
        <v>367</v>
      </c>
      <c r="AF3" s="5"/>
      <c r="AG3" s="5"/>
    </row>
    <row r="4" spans="1:37" ht="14.4" thickBot="1">
      <c r="A4" s="326" t="s">
        <v>1029</v>
      </c>
      <c r="B4" s="326"/>
      <c r="C4" s="327" t="s">
        <v>1030</v>
      </c>
      <c r="D4" s="327" t="s">
        <v>1031</v>
      </c>
      <c r="E4" s="195"/>
      <c r="F4" s="200" t="s">
        <v>1032</v>
      </c>
      <c r="G4" s="328"/>
      <c r="H4" s="195" t="s">
        <v>198</v>
      </c>
      <c r="I4" s="195" t="s">
        <v>1389</v>
      </c>
      <c r="J4" s="195" t="s">
        <v>1390</v>
      </c>
      <c r="K4" s="195"/>
      <c r="L4" s="195"/>
      <c r="M4" s="195"/>
      <c r="N4" s="195" t="s">
        <v>198</v>
      </c>
      <c r="O4" s="195" t="s">
        <v>1389</v>
      </c>
      <c r="P4" s="195" t="s">
        <v>1390</v>
      </c>
      <c r="Q4" s="195" t="s">
        <v>364</v>
      </c>
      <c r="R4" s="195" t="s">
        <v>221</v>
      </c>
      <c r="S4" s="195" t="s">
        <v>364</v>
      </c>
      <c r="T4" s="195" t="s">
        <v>1033</v>
      </c>
      <c r="U4" s="195" t="s">
        <v>1035</v>
      </c>
      <c r="V4" s="195" t="s">
        <v>1033</v>
      </c>
      <c r="W4" s="195" t="s">
        <v>1035</v>
      </c>
      <c r="X4" s="195" t="s">
        <v>1033</v>
      </c>
      <c r="Y4" s="195" t="s">
        <v>1035</v>
      </c>
      <c r="Z4" s="195" t="s">
        <v>1035</v>
      </c>
      <c r="AA4" s="195"/>
      <c r="AB4" s="195"/>
      <c r="AC4" s="195"/>
      <c r="AD4" s="195"/>
      <c r="AE4" s="195"/>
      <c r="AF4" s="195" t="s">
        <v>1036</v>
      </c>
      <c r="AG4" s="329" t="s">
        <v>1037</v>
      </c>
    </row>
    <row r="5" spans="1:37">
      <c r="F5" s="330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2"/>
      <c r="X5" s="331"/>
      <c r="Y5" s="331"/>
      <c r="Z5" s="331"/>
      <c r="AA5" s="331"/>
      <c r="AB5" s="331"/>
      <c r="AC5" s="331"/>
      <c r="AD5" s="331"/>
      <c r="AE5" s="331"/>
      <c r="AG5" s="333"/>
    </row>
    <row r="6" spans="1:37">
      <c r="A6" s="334" t="s">
        <v>1038</v>
      </c>
      <c r="F6" s="330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2"/>
      <c r="X6" s="331"/>
      <c r="Y6" s="331"/>
      <c r="Z6" s="331"/>
      <c r="AA6" s="331"/>
      <c r="AB6" s="331"/>
      <c r="AC6" s="331"/>
      <c r="AD6" s="331"/>
      <c r="AE6" s="331"/>
      <c r="AG6" s="333"/>
      <c r="AK6" s="335">
        <v>40969</v>
      </c>
    </row>
    <row r="7" spans="1:37">
      <c r="AG7" s="333"/>
      <c r="AH7" s="165" t="s">
        <v>1433</v>
      </c>
      <c r="AJ7" s="336">
        <v>0.71</v>
      </c>
      <c r="AK7" s="165">
        <v>0.78709751259645411</v>
      </c>
    </row>
    <row r="8" spans="1:37">
      <c r="A8" s="337" t="s">
        <v>1238</v>
      </c>
      <c r="B8" s="318"/>
      <c r="AG8" s="333"/>
      <c r="AJ8" s="338"/>
      <c r="AK8" s="165">
        <v>0.21290248740354584</v>
      </c>
    </row>
    <row r="9" spans="1:37">
      <c r="A9" s="339">
        <v>301</v>
      </c>
      <c r="B9" s="318" t="s">
        <v>1241</v>
      </c>
      <c r="C9" s="165" t="s">
        <v>1242</v>
      </c>
      <c r="D9" s="165" t="s">
        <v>1268</v>
      </c>
      <c r="F9" s="203">
        <v>2240.29</v>
      </c>
      <c r="H9" s="201">
        <f t="shared" ref="H9:Q13" si="1">IF(VLOOKUP($D9,$C$6:$AE$598,H$2,)=0,0,((VLOOKUP($D9,$C$6:$AE$598,H$2,)/VLOOKUP($D9,$C$6:$AE$598,4,))*$F9))</f>
        <v>507.94706375665822</v>
      </c>
      <c r="I9" s="201">
        <f t="shared" si="1"/>
        <v>478.83039449178909</v>
      </c>
      <c r="J9" s="201">
        <f t="shared" si="1"/>
        <v>491.76212070027429</v>
      </c>
      <c r="K9" s="201">
        <f t="shared" si="1"/>
        <v>0</v>
      </c>
      <c r="L9" s="201">
        <f t="shared" si="1"/>
        <v>0</v>
      </c>
      <c r="M9" s="201">
        <f t="shared" si="1"/>
        <v>0</v>
      </c>
      <c r="N9" s="201">
        <f t="shared" si="1"/>
        <v>54.517179913724163</v>
      </c>
      <c r="O9" s="201">
        <f t="shared" si="1"/>
        <v>51.392132423417713</v>
      </c>
      <c r="P9" s="201">
        <f t="shared" si="1"/>
        <v>52.780074779239179</v>
      </c>
      <c r="Q9" s="201">
        <f t="shared" si="1"/>
        <v>0</v>
      </c>
      <c r="R9" s="201">
        <f t="shared" ref="R9:AE13" si="2">IF(VLOOKUP($D9,$C$6:$AE$598,R$2,)=0,0,((VLOOKUP($D9,$C$6:$AE$598,R$2,)/VLOOKUP($D9,$C$6:$AE$598,4,))*$F9))</f>
        <v>66.304969448025446</v>
      </c>
      <c r="S9" s="201">
        <f t="shared" si="2"/>
        <v>0</v>
      </c>
      <c r="T9" s="201">
        <f t="shared" si="2"/>
        <v>102.09607807721086</v>
      </c>
      <c r="U9" s="201">
        <f t="shared" si="2"/>
        <v>167.14017717316594</v>
      </c>
      <c r="V9" s="201">
        <f t="shared" si="2"/>
        <v>34.032026025736954</v>
      </c>
      <c r="W9" s="201">
        <f t="shared" si="2"/>
        <v>55.713392391055322</v>
      </c>
      <c r="X9" s="201">
        <f t="shared" si="2"/>
        <v>47.667080905456118</v>
      </c>
      <c r="Y9" s="201">
        <f t="shared" si="2"/>
        <v>37.911161294644629</v>
      </c>
      <c r="Z9" s="201">
        <f t="shared" si="2"/>
        <v>17.358020842120801</v>
      </c>
      <c r="AA9" s="201">
        <f t="shared" si="2"/>
        <v>23.390563181441916</v>
      </c>
      <c r="AB9" s="201">
        <f t="shared" si="2"/>
        <v>51.447564596039129</v>
      </c>
      <c r="AC9" s="201">
        <f t="shared" si="2"/>
        <v>0</v>
      </c>
      <c r="AD9" s="201">
        <f t="shared" si="2"/>
        <v>0</v>
      </c>
      <c r="AE9" s="201">
        <f t="shared" si="2"/>
        <v>0</v>
      </c>
      <c r="AF9" s="201">
        <f>SUM(H9:AE9)</f>
        <v>2240.29</v>
      </c>
      <c r="AG9" s="333" t="str">
        <f>IF(ABS(AF9-F9)&lt;1,"ok","err")</f>
        <v>ok</v>
      </c>
      <c r="AH9" s="165" t="s">
        <v>1434</v>
      </c>
      <c r="AJ9" s="336">
        <v>0.28999999999999998</v>
      </c>
    </row>
    <row r="10" spans="1:37">
      <c r="A10" s="339">
        <v>302</v>
      </c>
      <c r="B10" s="318" t="s">
        <v>1240</v>
      </c>
      <c r="C10" s="165" t="s">
        <v>1242</v>
      </c>
      <c r="D10" s="165" t="s">
        <v>1268</v>
      </c>
      <c r="F10" s="340">
        <v>0</v>
      </c>
      <c r="H10" s="201">
        <f t="shared" si="1"/>
        <v>0</v>
      </c>
      <c r="I10" s="201">
        <f t="shared" si="1"/>
        <v>0</v>
      </c>
      <c r="J10" s="201">
        <f t="shared" si="1"/>
        <v>0</v>
      </c>
      <c r="K10" s="201">
        <f t="shared" si="1"/>
        <v>0</v>
      </c>
      <c r="L10" s="201">
        <f t="shared" si="1"/>
        <v>0</v>
      </c>
      <c r="M10" s="201">
        <f t="shared" si="1"/>
        <v>0</v>
      </c>
      <c r="N10" s="201">
        <f t="shared" si="1"/>
        <v>0</v>
      </c>
      <c r="O10" s="201">
        <f t="shared" si="1"/>
        <v>0</v>
      </c>
      <c r="P10" s="201">
        <f t="shared" si="1"/>
        <v>0</v>
      </c>
      <c r="Q10" s="201">
        <f t="shared" si="1"/>
        <v>0</v>
      </c>
      <c r="R10" s="201">
        <f t="shared" si="2"/>
        <v>0</v>
      </c>
      <c r="S10" s="201">
        <f t="shared" si="2"/>
        <v>0</v>
      </c>
      <c r="T10" s="201">
        <f t="shared" si="2"/>
        <v>0</v>
      </c>
      <c r="U10" s="201">
        <f t="shared" si="2"/>
        <v>0</v>
      </c>
      <c r="V10" s="201">
        <f t="shared" si="2"/>
        <v>0</v>
      </c>
      <c r="W10" s="201">
        <f t="shared" si="2"/>
        <v>0</v>
      </c>
      <c r="X10" s="201">
        <f t="shared" si="2"/>
        <v>0</v>
      </c>
      <c r="Y10" s="201">
        <f t="shared" si="2"/>
        <v>0</v>
      </c>
      <c r="Z10" s="201">
        <f t="shared" si="2"/>
        <v>0</v>
      </c>
      <c r="AA10" s="201">
        <f t="shared" si="2"/>
        <v>0</v>
      </c>
      <c r="AB10" s="201">
        <f t="shared" si="2"/>
        <v>0</v>
      </c>
      <c r="AC10" s="201">
        <f t="shared" si="2"/>
        <v>0</v>
      </c>
      <c r="AD10" s="201">
        <f t="shared" si="2"/>
        <v>0</v>
      </c>
      <c r="AE10" s="201">
        <f t="shared" si="2"/>
        <v>0</v>
      </c>
      <c r="AF10" s="201">
        <f>SUM(H10:AE10)</f>
        <v>0</v>
      </c>
      <c r="AG10" s="333" t="str">
        <f>IF(ABS(AF10-F10)&lt;1,"ok","err")</f>
        <v>ok</v>
      </c>
    </row>
    <row r="11" spans="1:37">
      <c r="A11" s="339">
        <v>303</v>
      </c>
      <c r="B11" s="318" t="s">
        <v>1019</v>
      </c>
      <c r="C11" s="165" t="s">
        <v>1243</v>
      </c>
      <c r="D11" s="165" t="s">
        <v>1268</v>
      </c>
      <c r="F11" s="340">
        <v>0</v>
      </c>
      <c r="H11" s="201">
        <f t="shared" si="1"/>
        <v>0</v>
      </c>
      <c r="I11" s="201">
        <f t="shared" si="1"/>
        <v>0</v>
      </c>
      <c r="J11" s="201">
        <f t="shared" si="1"/>
        <v>0</v>
      </c>
      <c r="K11" s="201">
        <f t="shared" si="1"/>
        <v>0</v>
      </c>
      <c r="L11" s="201">
        <f t="shared" si="1"/>
        <v>0</v>
      </c>
      <c r="M11" s="201">
        <f t="shared" si="1"/>
        <v>0</v>
      </c>
      <c r="N11" s="201">
        <f t="shared" si="1"/>
        <v>0</v>
      </c>
      <c r="O11" s="201">
        <f t="shared" si="1"/>
        <v>0</v>
      </c>
      <c r="P11" s="201">
        <f t="shared" si="1"/>
        <v>0</v>
      </c>
      <c r="Q11" s="201">
        <f t="shared" si="1"/>
        <v>0</v>
      </c>
      <c r="R11" s="201">
        <f t="shared" si="2"/>
        <v>0</v>
      </c>
      <c r="S11" s="201">
        <f t="shared" si="2"/>
        <v>0</v>
      </c>
      <c r="T11" s="201">
        <f t="shared" si="2"/>
        <v>0</v>
      </c>
      <c r="U11" s="201">
        <f t="shared" si="2"/>
        <v>0</v>
      </c>
      <c r="V11" s="201">
        <f t="shared" si="2"/>
        <v>0</v>
      </c>
      <c r="W11" s="201">
        <f t="shared" si="2"/>
        <v>0</v>
      </c>
      <c r="X11" s="201">
        <f t="shared" si="2"/>
        <v>0</v>
      </c>
      <c r="Y11" s="201">
        <f t="shared" si="2"/>
        <v>0</v>
      </c>
      <c r="Z11" s="201">
        <f t="shared" si="2"/>
        <v>0</v>
      </c>
      <c r="AA11" s="201">
        <f t="shared" si="2"/>
        <v>0</v>
      </c>
      <c r="AB11" s="201">
        <f t="shared" si="2"/>
        <v>0</v>
      </c>
      <c r="AC11" s="201">
        <f t="shared" si="2"/>
        <v>0</v>
      </c>
      <c r="AD11" s="201">
        <f t="shared" si="2"/>
        <v>0</v>
      </c>
      <c r="AE11" s="201">
        <f t="shared" si="2"/>
        <v>0</v>
      </c>
      <c r="AF11" s="201">
        <f>SUM(H11:AE11)</f>
        <v>0</v>
      </c>
      <c r="AG11" s="333" t="str">
        <f>IF(ABS(AF11-F11)&lt;1,"ok","err")</f>
        <v>ok</v>
      </c>
    </row>
    <row r="12" spans="1:37">
      <c r="A12" s="339">
        <v>301</v>
      </c>
      <c r="B12" s="318" t="s">
        <v>1017</v>
      </c>
      <c r="C12" s="165" t="s">
        <v>1242</v>
      </c>
      <c r="D12" s="165" t="s">
        <v>1268</v>
      </c>
      <c r="F12" s="341">
        <v>0</v>
      </c>
      <c r="H12" s="201">
        <f t="shared" si="1"/>
        <v>0</v>
      </c>
      <c r="I12" s="201">
        <f t="shared" si="1"/>
        <v>0</v>
      </c>
      <c r="J12" s="201">
        <f t="shared" si="1"/>
        <v>0</v>
      </c>
      <c r="K12" s="201">
        <f t="shared" si="1"/>
        <v>0</v>
      </c>
      <c r="L12" s="201">
        <f t="shared" si="1"/>
        <v>0</v>
      </c>
      <c r="M12" s="201">
        <f t="shared" si="1"/>
        <v>0</v>
      </c>
      <c r="N12" s="201">
        <f t="shared" si="1"/>
        <v>0</v>
      </c>
      <c r="O12" s="201">
        <f t="shared" si="1"/>
        <v>0</v>
      </c>
      <c r="P12" s="201">
        <f t="shared" si="1"/>
        <v>0</v>
      </c>
      <c r="Q12" s="201">
        <f t="shared" si="1"/>
        <v>0</v>
      </c>
      <c r="R12" s="201">
        <f t="shared" si="2"/>
        <v>0</v>
      </c>
      <c r="S12" s="201">
        <f t="shared" si="2"/>
        <v>0</v>
      </c>
      <c r="T12" s="201">
        <f t="shared" si="2"/>
        <v>0</v>
      </c>
      <c r="U12" s="201">
        <f t="shared" si="2"/>
        <v>0</v>
      </c>
      <c r="V12" s="201">
        <f t="shared" si="2"/>
        <v>0</v>
      </c>
      <c r="W12" s="201">
        <f t="shared" si="2"/>
        <v>0</v>
      </c>
      <c r="X12" s="201">
        <f t="shared" si="2"/>
        <v>0</v>
      </c>
      <c r="Y12" s="201">
        <f t="shared" si="2"/>
        <v>0</v>
      </c>
      <c r="Z12" s="201">
        <f t="shared" si="2"/>
        <v>0</v>
      </c>
      <c r="AA12" s="201">
        <f t="shared" si="2"/>
        <v>0</v>
      </c>
      <c r="AB12" s="201">
        <f t="shared" si="2"/>
        <v>0</v>
      </c>
      <c r="AC12" s="201">
        <f t="shared" si="2"/>
        <v>0</v>
      </c>
      <c r="AD12" s="201">
        <f t="shared" si="2"/>
        <v>0</v>
      </c>
      <c r="AE12" s="201">
        <f t="shared" si="2"/>
        <v>0</v>
      </c>
      <c r="AF12" s="201">
        <f>SUM(H12:AE12)</f>
        <v>0</v>
      </c>
      <c r="AG12" s="333" t="str">
        <f>IF(ABS(AF12-F12)&lt;1,"ok","err")</f>
        <v>ok</v>
      </c>
    </row>
    <row r="13" spans="1:37">
      <c r="A13" s="339">
        <v>302</v>
      </c>
      <c r="B13" s="318" t="s">
        <v>1018</v>
      </c>
      <c r="C13" s="165" t="s">
        <v>1242</v>
      </c>
      <c r="D13" s="165" t="s">
        <v>1268</v>
      </c>
      <c r="F13" s="340">
        <v>0</v>
      </c>
      <c r="H13" s="201">
        <f t="shared" si="1"/>
        <v>0</v>
      </c>
      <c r="I13" s="201">
        <f t="shared" si="1"/>
        <v>0</v>
      </c>
      <c r="J13" s="201">
        <f t="shared" si="1"/>
        <v>0</v>
      </c>
      <c r="K13" s="201">
        <f t="shared" si="1"/>
        <v>0</v>
      </c>
      <c r="L13" s="201">
        <f t="shared" si="1"/>
        <v>0</v>
      </c>
      <c r="M13" s="201">
        <f t="shared" si="1"/>
        <v>0</v>
      </c>
      <c r="N13" s="201">
        <f t="shared" si="1"/>
        <v>0</v>
      </c>
      <c r="O13" s="201">
        <f t="shared" si="1"/>
        <v>0</v>
      </c>
      <c r="P13" s="201">
        <f t="shared" si="1"/>
        <v>0</v>
      </c>
      <c r="Q13" s="201">
        <f t="shared" si="1"/>
        <v>0</v>
      </c>
      <c r="R13" s="201">
        <f t="shared" si="2"/>
        <v>0</v>
      </c>
      <c r="S13" s="201">
        <f t="shared" si="2"/>
        <v>0</v>
      </c>
      <c r="T13" s="201">
        <f t="shared" si="2"/>
        <v>0</v>
      </c>
      <c r="U13" s="201">
        <f t="shared" si="2"/>
        <v>0</v>
      </c>
      <c r="V13" s="201">
        <f t="shared" si="2"/>
        <v>0</v>
      </c>
      <c r="W13" s="201">
        <f t="shared" si="2"/>
        <v>0</v>
      </c>
      <c r="X13" s="201">
        <f t="shared" si="2"/>
        <v>0</v>
      </c>
      <c r="Y13" s="201">
        <f t="shared" si="2"/>
        <v>0</v>
      </c>
      <c r="Z13" s="201">
        <f t="shared" si="2"/>
        <v>0</v>
      </c>
      <c r="AA13" s="201">
        <f t="shared" si="2"/>
        <v>0</v>
      </c>
      <c r="AB13" s="201">
        <f t="shared" si="2"/>
        <v>0</v>
      </c>
      <c r="AC13" s="201">
        <f t="shared" si="2"/>
        <v>0</v>
      </c>
      <c r="AD13" s="201">
        <f t="shared" si="2"/>
        <v>0</v>
      </c>
      <c r="AE13" s="201">
        <f t="shared" si="2"/>
        <v>0</v>
      </c>
      <c r="AF13" s="201">
        <f>SUM(H13:AE13)</f>
        <v>0</v>
      </c>
      <c r="AG13" s="333" t="str">
        <f>IF(ABS(AF13-F13)&lt;1,"ok","err")</f>
        <v>ok</v>
      </c>
    </row>
    <row r="14" spans="1:37">
      <c r="A14" s="318"/>
      <c r="B14" s="318"/>
      <c r="AG14" s="333"/>
    </row>
    <row r="15" spans="1:37">
      <c r="A15" s="318"/>
      <c r="B15" s="318" t="s">
        <v>1040</v>
      </c>
      <c r="C15" s="165" t="s">
        <v>1041</v>
      </c>
      <c r="F15" s="342">
        <f>SUM(F9:F14)</f>
        <v>2240.29</v>
      </c>
      <c r="G15" s="343">
        <f>SUM(G9:G11)</f>
        <v>0</v>
      </c>
      <c r="H15" s="343">
        <f>SUM(H9:H13)</f>
        <v>507.94706375665822</v>
      </c>
      <c r="I15" s="343">
        <f>SUM(I9:I13)</f>
        <v>478.83039449178909</v>
      </c>
      <c r="J15" s="343">
        <f t="shared" ref="J15:AE15" si="3">SUM(J9:J13)</f>
        <v>491.76212070027429</v>
      </c>
      <c r="K15" s="343">
        <f t="shared" si="3"/>
        <v>0</v>
      </c>
      <c r="L15" s="343">
        <f t="shared" si="3"/>
        <v>0</v>
      </c>
      <c r="M15" s="343">
        <f t="shared" si="3"/>
        <v>0</v>
      </c>
      <c r="N15" s="343">
        <f t="shared" si="3"/>
        <v>54.517179913724163</v>
      </c>
      <c r="O15" s="343">
        <f t="shared" si="3"/>
        <v>51.392132423417713</v>
      </c>
      <c r="P15" s="343">
        <f t="shared" si="3"/>
        <v>52.780074779239179</v>
      </c>
      <c r="Q15" s="343">
        <f t="shared" si="3"/>
        <v>0</v>
      </c>
      <c r="R15" s="343">
        <f t="shared" si="3"/>
        <v>66.304969448025446</v>
      </c>
      <c r="S15" s="343">
        <f t="shared" si="3"/>
        <v>0</v>
      </c>
      <c r="T15" s="343">
        <f t="shared" si="3"/>
        <v>102.09607807721086</v>
      </c>
      <c r="U15" s="343">
        <f t="shared" si="3"/>
        <v>167.14017717316594</v>
      </c>
      <c r="V15" s="343">
        <f t="shared" si="3"/>
        <v>34.032026025736954</v>
      </c>
      <c r="W15" s="343">
        <f t="shared" si="3"/>
        <v>55.713392391055322</v>
      </c>
      <c r="X15" s="343">
        <f t="shared" si="3"/>
        <v>47.667080905456118</v>
      </c>
      <c r="Y15" s="343">
        <f t="shared" si="3"/>
        <v>37.911161294644629</v>
      </c>
      <c r="Z15" s="343">
        <f t="shared" si="3"/>
        <v>17.358020842120801</v>
      </c>
      <c r="AA15" s="343">
        <f t="shared" si="3"/>
        <v>23.390563181441916</v>
      </c>
      <c r="AB15" s="343">
        <f t="shared" si="3"/>
        <v>51.447564596039129</v>
      </c>
      <c r="AC15" s="343">
        <f t="shared" si="3"/>
        <v>0</v>
      </c>
      <c r="AD15" s="343">
        <f t="shared" si="3"/>
        <v>0</v>
      </c>
      <c r="AE15" s="343">
        <f t="shared" si="3"/>
        <v>0</v>
      </c>
      <c r="AF15" s="201">
        <f>SUM(H15:AE15)</f>
        <v>2240.29</v>
      </c>
      <c r="AG15" s="333" t="str">
        <f>IF(ABS(AF15-F15)&lt;1,"ok","err")</f>
        <v>ok</v>
      </c>
    </row>
    <row r="16" spans="1:37">
      <c r="A16" s="318"/>
      <c r="B16" s="318"/>
      <c r="F16" s="342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201"/>
      <c r="AG16" s="333"/>
    </row>
    <row r="17" spans="1:33">
      <c r="A17" s="337" t="s">
        <v>210</v>
      </c>
      <c r="B17" s="318"/>
      <c r="W17" s="165"/>
      <c r="AG17" s="333"/>
    </row>
    <row r="18" spans="1:33">
      <c r="A18" s="318"/>
      <c r="B18" s="318"/>
      <c r="F18" s="342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201"/>
      <c r="AG18" s="333"/>
    </row>
    <row r="19" spans="1:33">
      <c r="A19" s="318"/>
      <c r="B19" s="318" t="s">
        <v>211</v>
      </c>
      <c r="C19" s="165" t="s">
        <v>212</v>
      </c>
      <c r="D19" s="165" t="s">
        <v>671</v>
      </c>
      <c r="F19" s="342">
        <v>2130297617.5699999</v>
      </c>
      <c r="G19" s="343"/>
      <c r="H19" s="201">
        <f t="shared" ref="H19:AE19" si="4">IF(VLOOKUP($D19,$C$6:$AE$598,H$2,)=0,0,((VLOOKUP($D19,$C$6:$AE$598,H$2,)/VLOOKUP($D19,$C$6:$AE$598,4,))*$F19))</f>
        <v>731856241.91533005</v>
      </c>
      <c r="I19" s="201">
        <f t="shared" si="4"/>
        <v>689904594.45883977</v>
      </c>
      <c r="J19" s="201">
        <f t="shared" si="4"/>
        <v>708536781.19583011</v>
      </c>
      <c r="K19" s="201">
        <f t="shared" si="4"/>
        <v>0</v>
      </c>
      <c r="L19" s="201">
        <f t="shared" si="4"/>
        <v>0</v>
      </c>
      <c r="M19" s="201">
        <f t="shared" si="4"/>
        <v>0</v>
      </c>
      <c r="N19" s="201">
        <f t="shared" si="4"/>
        <v>0</v>
      </c>
      <c r="O19" s="201">
        <f t="shared" si="4"/>
        <v>0</v>
      </c>
      <c r="P19" s="201">
        <f t="shared" si="4"/>
        <v>0</v>
      </c>
      <c r="Q19" s="201">
        <f t="shared" si="4"/>
        <v>0</v>
      </c>
      <c r="R19" s="201">
        <f t="shared" si="4"/>
        <v>0</v>
      </c>
      <c r="S19" s="201">
        <f t="shared" si="4"/>
        <v>0</v>
      </c>
      <c r="T19" s="201">
        <f t="shared" si="4"/>
        <v>0</v>
      </c>
      <c r="U19" s="201">
        <f t="shared" si="4"/>
        <v>0</v>
      </c>
      <c r="V19" s="201">
        <f t="shared" si="4"/>
        <v>0</v>
      </c>
      <c r="W19" s="201">
        <f t="shared" si="4"/>
        <v>0</v>
      </c>
      <c r="X19" s="201">
        <f t="shared" si="4"/>
        <v>0</v>
      </c>
      <c r="Y19" s="201">
        <f t="shared" si="4"/>
        <v>0</v>
      </c>
      <c r="Z19" s="201">
        <f t="shared" si="4"/>
        <v>0</v>
      </c>
      <c r="AA19" s="201">
        <f t="shared" si="4"/>
        <v>0</v>
      </c>
      <c r="AB19" s="201">
        <f t="shared" si="4"/>
        <v>0</v>
      </c>
      <c r="AC19" s="201">
        <f t="shared" si="4"/>
        <v>0</v>
      </c>
      <c r="AD19" s="201">
        <f t="shared" si="4"/>
        <v>0</v>
      </c>
      <c r="AE19" s="201">
        <f t="shared" si="4"/>
        <v>0</v>
      </c>
      <c r="AF19" s="201">
        <f>SUM(H19:AE19)</f>
        <v>2130297617.5699999</v>
      </c>
      <c r="AG19" s="333" t="str">
        <f>IF(ABS(AF19-F19)&lt;1,"ok","err")</f>
        <v>ok</v>
      </c>
    </row>
    <row r="20" spans="1:33">
      <c r="A20" s="318"/>
      <c r="B20" s="318"/>
      <c r="AG20" s="333"/>
    </row>
    <row r="21" spans="1:33">
      <c r="A21" s="337" t="s">
        <v>318</v>
      </c>
      <c r="B21" s="318"/>
      <c r="W21" s="165"/>
      <c r="AG21" s="333"/>
    </row>
    <row r="22" spans="1:33">
      <c r="A22" s="318"/>
      <c r="B22" s="318"/>
      <c r="F22" s="342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201"/>
      <c r="AG22" s="333"/>
    </row>
    <row r="23" spans="1:33">
      <c r="A23" s="318"/>
      <c r="B23" s="318" t="s">
        <v>319</v>
      </c>
      <c r="C23" s="165" t="s">
        <v>320</v>
      </c>
      <c r="D23" s="165" t="s">
        <v>671</v>
      </c>
      <c r="F23" s="342">
        <v>42551882.549999997</v>
      </c>
      <c r="G23" s="343"/>
      <c r="H23" s="201">
        <f t="shared" ref="H23:AE23" si="5">IF(VLOOKUP($D23,$C$6:$AE$598,H$2,)=0,0,((VLOOKUP($D23,$C$6:$AE$598,H$2,)/VLOOKUP($D23,$C$6:$AE$598,4,))*$F23))</f>
        <v>14618549.348512432</v>
      </c>
      <c r="I23" s="201">
        <f t="shared" si="5"/>
        <v>13780581.188277693</v>
      </c>
      <c r="J23" s="201">
        <f t="shared" si="5"/>
        <v>14152752.013209872</v>
      </c>
      <c r="K23" s="201">
        <f t="shared" si="5"/>
        <v>0</v>
      </c>
      <c r="L23" s="201">
        <f t="shared" si="5"/>
        <v>0</v>
      </c>
      <c r="M23" s="201">
        <f t="shared" si="5"/>
        <v>0</v>
      </c>
      <c r="N23" s="201">
        <f t="shared" si="5"/>
        <v>0</v>
      </c>
      <c r="O23" s="201">
        <f t="shared" si="5"/>
        <v>0</v>
      </c>
      <c r="P23" s="201">
        <f t="shared" si="5"/>
        <v>0</v>
      </c>
      <c r="Q23" s="201">
        <f t="shared" si="5"/>
        <v>0</v>
      </c>
      <c r="R23" s="201">
        <f t="shared" si="5"/>
        <v>0</v>
      </c>
      <c r="S23" s="201">
        <f t="shared" si="5"/>
        <v>0</v>
      </c>
      <c r="T23" s="201">
        <f t="shared" si="5"/>
        <v>0</v>
      </c>
      <c r="U23" s="201">
        <f t="shared" si="5"/>
        <v>0</v>
      </c>
      <c r="V23" s="201">
        <f t="shared" si="5"/>
        <v>0</v>
      </c>
      <c r="W23" s="201">
        <f t="shared" si="5"/>
        <v>0</v>
      </c>
      <c r="X23" s="201">
        <f t="shared" si="5"/>
        <v>0</v>
      </c>
      <c r="Y23" s="201">
        <f t="shared" si="5"/>
        <v>0</v>
      </c>
      <c r="Z23" s="201">
        <f t="shared" si="5"/>
        <v>0</v>
      </c>
      <c r="AA23" s="201">
        <f t="shared" si="5"/>
        <v>0</v>
      </c>
      <c r="AB23" s="201">
        <f t="shared" si="5"/>
        <v>0</v>
      </c>
      <c r="AC23" s="201">
        <f t="shared" si="5"/>
        <v>0</v>
      </c>
      <c r="AD23" s="201">
        <f t="shared" si="5"/>
        <v>0</v>
      </c>
      <c r="AE23" s="201">
        <f t="shared" si="5"/>
        <v>0</v>
      </c>
      <c r="AF23" s="201">
        <f>SUM(H23:AE23)</f>
        <v>42551882.549999997</v>
      </c>
      <c r="AG23" s="333" t="str">
        <f>IF(ABS(AF23-F23)&lt;1,"ok","err")</f>
        <v>ok</v>
      </c>
    </row>
    <row r="24" spans="1:33">
      <c r="A24" s="318"/>
      <c r="B24" s="318"/>
      <c r="AG24" s="333"/>
    </row>
    <row r="25" spans="1:33">
      <c r="A25" s="337" t="s">
        <v>213</v>
      </c>
      <c r="B25" s="318"/>
      <c r="W25" s="165"/>
      <c r="AG25" s="333"/>
    </row>
    <row r="26" spans="1:33">
      <c r="A26" s="318"/>
      <c r="B26" s="318"/>
      <c r="F26" s="342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201"/>
      <c r="AG26" s="333"/>
    </row>
    <row r="27" spans="1:33">
      <c r="A27" s="318"/>
      <c r="B27" s="318" t="s">
        <v>214</v>
      </c>
      <c r="C27" s="165" t="s">
        <v>215</v>
      </c>
      <c r="D27" s="165" t="s">
        <v>671</v>
      </c>
      <c r="F27" s="342">
        <v>237084259.33999994</v>
      </c>
      <c r="G27" s="343"/>
      <c r="H27" s="201">
        <f t="shared" ref="H27:AE27" si="6">IF(VLOOKUP($D27,$C$6:$AE$598,H$2,)=0,0,((VLOOKUP($D27,$C$6:$AE$598,H$2,)/VLOOKUP($D27,$C$6:$AE$598,4,))*$F27))</f>
        <v>81449462.097119585</v>
      </c>
      <c r="I27" s="201">
        <f t="shared" si="6"/>
        <v>76780595.557870418</v>
      </c>
      <c r="J27" s="201">
        <f t="shared" si="6"/>
        <v>78854201.685009956</v>
      </c>
      <c r="K27" s="201">
        <f t="shared" si="6"/>
        <v>0</v>
      </c>
      <c r="L27" s="201">
        <f t="shared" si="6"/>
        <v>0</v>
      </c>
      <c r="M27" s="201">
        <f t="shared" si="6"/>
        <v>0</v>
      </c>
      <c r="N27" s="201">
        <f t="shared" si="6"/>
        <v>0</v>
      </c>
      <c r="O27" s="201">
        <f t="shared" si="6"/>
        <v>0</v>
      </c>
      <c r="P27" s="201">
        <f t="shared" si="6"/>
        <v>0</v>
      </c>
      <c r="Q27" s="201">
        <f t="shared" si="6"/>
        <v>0</v>
      </c>
      <c r="R27" s="201">
        <f t="shared" si="6"/>
        <v>0</v>
      </c>
      <c r="S27" s="201">
        <f t="shared" si="6"/>
        <v>0</v>
      </c>
      <c r="T27" s="201">
        <f t="shared" si="6"/>
        <v>0</v>
      </c>
      <c r="U27" s="201">
        <f t="shared" si="6"/>
        <v>0</v>
      </c>
      <c r="V27" s="201">
        <f t="shared" si="6"/>
        <v>0</v>
      </c>
      <c r="W27" s="201">
        <f t="shared" si="6"/>
        <v>0</v>
      </c>
      <c r="X27" s="201">
        <f t="shared" si="6"/>
        <v>0</v>
      </c>
      <c r="Y27" s="201">
        <f t="shared" si="6"/>
        <v>0</v>
      </c>
      <c r="Z27" s="201">
        <f t="shared" si="6"/>
        <v>0</v>
      </c>
      <c r="AA27" s="201">
        <f t="shared" si="6"/>
        <v>0</v>
      </c>
      <c r="AB27" s="201">
        <f t="shared" si="6"/>
        <v>0</v>
      </c>
      <c r="AC27" s="201">
        <f t="shared" si="6"/>
        <v>0</v>
      </c>
      <c r="AD27" s="201">
        <f t="shared" si="6"/>
        <v>0</v>
      </c>
      <c r="AE27" s="201">
        <f t="shared" si="6"/>
        <v>0</v>
      </c>
      <c r="AF27" s="201">
        <f>SUM(H27:AE27)</f>
        <v>237084259.33999997</v>
      </c>
      <c r="AG27" s="333" t="str">
        <f>IF(ABS(AF27-F27)&lt;1,"ok","err")</f>
        <v>ok</v>
      </c>
    </row>
    <row r="28" spans="1:33">
      <c r="A28" s="318"/>
      <c r="B28" s="318"/>
      <c r="AG28" s="333"/>
    </row>
    <row r="29" spans="1:33">
      <c r="A29" s="318"/>
      <c r="B29" s="87" t="s">
        <v>216</v>
      </c>
      <c r="C29" s="165" t="s">
        <v>217</v>
      </c>
      <c r="F29" s="342">
        <f>F19+F23+F27</f>
        <v>2409933759.46</v>
      </c>
      <c r="G29" s="343"/>
      <c r="H29" s="343">
        <f t="shared" ref="H29:AE29" si="7">H19+H23+H27</f>
        <v>827924253.36096203</v>
      </c>
      <c r="I29" s="343">
        <f t="shared" si="7"/>
        <v>780465771.20498788</v>
      </c>
      <c r="J29" s="343">
        <f t="shared" si="7"/>
        <v>801543734.89404988</v>
      </c>
      <c r="K29" s="343">
        <f t="shared" si="7"/>
        <v>0</v>
      </c>
      <c r="L29" s="343">
        <f t="shared" si="7"/>
        <v>0</v>
      </c>
      <c r="M29" s="343">
        <f t="shared" si="7"/>
        <v>0</v>
      </c>
      <c r="N29" s="343">
        <f t="shared" si="7"/>
        <v>0</v>
      </c>
      <c r="O29" s="343">
        <f>O19+O23+O27</f>
        <v>0</v>
      </c>
      <c r="P29" s="343">
        <f>P19+P23+P27</f>
        <v>0</v>
      </c>
      <c r="Q29" s="343">
        <f t="shared" si="7"/>
        <v>0</v>
      </c>
      <c r="R29" s="343"/>
      <c r="S29" s="343">
        <f t="shared" si="7"/>
        <v>0</v>
      </c>
      <c r="T29" s="343">
        <f t="shared" si="7"/>
        <v>0</v>
      </c>
      <c r="U29" s="343"/>
      <c r="V29" s="343"/>
      <c r="W29" s="343"/>
      <c r="X29" s="343">
        <f t="shared" si="7"/>
        <v>0</v>
      </c>
      <c r="Y29" s="343">
        <f t="shared" si="7"/>
        <v>0</v>
      </c>
      <c r="Z29" s="343"/>
      <c r="AA29" s="343"/>
      <c r="AB29" s="343">
        <f t="shared" si="7"/>
        <v>0</v>
      </c>
      <c r="AC29" s="343">
        <f t="shared" si="7"/>
        <v>0</v>
      </c>
      <c r="AD29" s="343">
        <f t="shared" si="7"/>
        <v>0</v>
      </c>
      <c r="AE29" s="343">
        <f t="shared" si="7"/>
        <v>0</v>
      </c>
      <c r="AF29" s="201">
        <f>SUM(H29:AE29)</f>
        <v>2409933759.46</v>
      </c>
      <c r="AG29" s="333" t="str">
        <f>IF(ABS(AF29-F29)&lt;1,"ok","err")</f>
        <v>ok</v>
      </c>
    </row>
    <row r="30" spans="1:33">
      <c r="A30" s="318"/>
      <c r="B30" s="318"/>
      <c r="AG30" s="333"/>
    </row>
    <row r="31" spans="1:33">
      <c r="A31" s="337" t="s">
        <v>1236</v>
      </c>
      <c r="B31" s="318"/>
      <c r="W31" s="165"/>
      <c r="AG31" s="333"/>
    </row>
    <row r="32" spans="1:33">
      <c r="A32" s="318"/>
      <c r="B32" s="318"/>
      <c r="W32" s="165"/>
      <c r="AF32" s="201"/>
      <c r="AG32" s="333"/>
    </row>
    <row r="33" spans="1:33">
      <c r="A33" s="318"/>
      <c r="B33" s="318" t="s">
        <v>1239</v>
      </c>
      <c r="C33" s="165" t="s">
        <v>1266</v>
      </c>
      <c r="D33" s="165" t="s">
        <v>1267</v>
      </c>
      <c r="F33" s="342">
        <v>258654497.12999997</v>
      </c>
      <c r="G33" s="343"/>
      <c r="H33" s="201">
        <f t="shared" ref="H33:AE33" si="8">IF(VLOOKUP($D33,$C$6:$AE$598,H$2,)=0,0,((VLOOKUP($D33,$C$6:$AE$598,H$2,)/VLOOKUP($D33,$C$6:$AE$598,4,))*$F33))</f>
        <v>0</v>
      </c>
      <c r="I33" s="201">
        <f t="shared" si="8"/>
        <v>0</v>
      </c>
      <c r="J33" s="201">
        <f t="shared" si="8"/>
        <v>0</v>
      </c>
      <c r="K33" s="201">
        <f t="shared" si="8"/>
        <v>0</v>
      </c>
      <c r="L33" s="201">
        <f t="shared" si="8"/>
        <v>0</v>
      </c>
      <c r="M33" s="201">
        <f t="shared" si="8"/>
        <v>0</v>
      </c>
      <c r="N33" s="201">
        <f t="shared" si="8"/>
        <v>88859841.302357897</v>
      </c>
      <c r="O33" s="201">
        <f t="shared" si="8"/>
        <v>83766195.143653035</v>
      </c>
      <c r="P33" s="201">
        <f t="shared" si="8"/>
        <v>86028460.683989033</v>
      </c>
      <c r="Q33" s="201">
        <f t="shared" si="8"/>
        <v>0</v>
      </c>
      <c r="R33" s="201">
        <f t="shared" si="8"/>
        <v>0</v>
      </c>
      <c r="S33" s="201">
        <f t="shared" si="8"/>
        <v>0</v>
      </c>
      <c r="T33" s="201">
        <f t="shared" si="8"/>
        <v>0</v>
      </c>
      <c r="U33" s="201">
        <f t="shared" si="8"/>
        <v>0</v>
      </c>
      <c r="V33" s="201">
        <f t="shared" si="8"/>
        <v>0</v>
      </c>
      <c r="W33" s="201">
        <f t="shared" si="8"/>
        <v>0</v>
      </c>
      <c r="X33" s="201">
        <f t="shared" si="8"/>
        <v>0</v>
      </c>
      <c r="Y33" s="201">
        <f t="shared" si="8"/>
        <v>0</v>
      </c>
      <c r="Z33" s="201">
        <f t="shared" si="8"/>
        <v>0</v>
      </c>
      <c r="AA33" s="201">
        <f t="shared" si="8"/>
        <v>0</v>
      </c>
      <c r="AB33" s="201">
        <f t="shared" si="8"/>
        <v>0</v>
      </c>
      <c r="AC33" s="201">
        <f t="shared" si="8"/>
        <v>0</v>
      </c>
      <c r="AD33" s="201">
        <f t="shared" si="8"/>
        <v>0</v>
      </c>
      <c r="AE33" s="201">
        <f t="shared" si="8"/>
        <v>0</v>
      </c>
      <c r="AF33" s="201">
        <f>SUM(H33:AE33)</f>
        <v>258654497.13</v>
      </c>
      <c r="AG33" s="333" t="str">
        <f>IF(ABS(AF33-F33)&lt;1,"ok","err")</f>
        <v>ok</v>
      </c>
    </row>
    <row r="34" spans="1:33">
      <c r="A34" s="318"/>
      <c r="B34" s="318"/>
      <c r="W34" s="165"/>
      <c r="AG34" s="333"/>
    </row>
    <row r="35" spans="1:33">
      <c r="A35" s="337" t="s">
        <v>1042</v>
      </c>
      <c r="B35" s="318"/>
      <c r="W35" s="165"/>
      <c r="AG35" s="333"/>
    </row>
    <row r="36" spans="1:33">
      <c r="A36" s="344"/>
      <c r="B36" s="345" t="s">
        <v>321</v>
      </c>
      <c r="C36" s="165" t="s">
        <v>1043</v>
      </c>
      <c r="D36" s="165" t="s">
        <v>1044</v>
      </c>
      <c r="F36" s="203">
        <v>108073254.56</v>
      </c>
      <c r="H36" s="201">
        <f t="shared" ref="H36:Q44" si="9">IF(VLOOKUP($D36,$C$6:$AE$598,H$2,)=0,0,((VLOOKUP($D36,$C$6:$AE$598,H$2,)/VLOOKUP($D36,$C$6:$AE$598,4,))*$F36))</f>
        <v>0</v>
      </c>
      <c r="I36" s="201">
        <f t="shared" si="9"/>
        <v>0</v>
      </c>
      <c r="J36" s="201">
        <f t="shared" si="9"/>
        <v>0</v>
      </c>
      <c r="K36" s="201">
        <f t="shared" si="9"/>
        <v>0</v>
      </c>
      <c r="L36" s="201">
        <f t="shared" si="9"/>
        <v>0</v>
      </c>
      <c r="M36" s="201">
        <f t="shared" si="9"/>
        <v>0</v>
      </c>
      <c r="N36" s="201">
        <f t="shared" si="9"/>
        <v>0</v>
      </c>
      <c r="O36" s="201">
        <f t="shared" si="9"/>
        <v>0</v>
      </c>
      <c r="P36" s="201">
        <f t="shared" si="9"/>
        <v>0</v>
      </c>
      <c r="Q36" s="201">
        <f t="shared" si="9"/>
        <v>0</v>
      </c>
      <c r="R36" s="201">
        <f t="shared" ref="R36:AE44" si="10">IF(VLOOKUP($D36,$C$6:$AE$598,R$2,)=0,0,((VLOOKUP($D36,$C$6:$AE$598,R$2,)/VLOOKUP($D36,$C$6:$AE$598,4,))*$F36))</f>
        <v>108073254.56</v>
      </c>
      <c r="S36" s="201">
        <f t="shared" si="10"/>
        <v>0</v>
      </c>
      <c r="T36" s="201">
        <f t="shared" si="10"/>
        <v>0</v>
      </c>
      <c r="U36" s="201">
        <f t="shared" si="10"/>
        <v>0</v>
      </c>
      <c r="V36" s="201">
        <f t="shared" si="10"/>
        <v>0</v>
      </c>
      <c r="W36" s="201">
        <f t="shared" si="10"/>
        <v>0</v>
      </c>
      <c r="X36" s="201">
        <f t="shared" si="10"/>
        <v>0</v>
      </c>
      <c r="Y36" s="201">
        <f t="shared" si="10"/>
        <v>0</v>
      </c>
      <c r="Z36" s="201">
        <f t="shared" si="10"/>
        <v>0</v>
      </c>
      <c r="AA36" s="201">
        <f t="shared" si="10"/>
        <v>0</v>
      </c>
      <c r="AB36" s="201">
        <f t="shared" si="10"/>
        <v>0</v>
      </c>
      <c r="AC36" s="201">
        <f t="shared" si="10"/>
        <v>0</v>
      </c>
      <c r="AD36" s="201">
        <f t="shared" si="10"/>
        <v>0</v>
      </c>
      <c r="AE36" s="201">
        <f t="shared" si="10"/>
        <v>0</v>
      </c>
      <c r="AF36" s="201">
        <f t="shared" ref="AF36:AF43" si="11">SUM(H36:AE36)</f>
        <v>108073254.56</v>
      </c>
      <c r="AG36" s="333" t="str">
        <f t="shared" ref="AG36:AG44" si="12">IF(ABS(AF36-F36)&lt;1,"ok","err")</f>
        <v>ok</v>
      </c>
    </row>
    <row r="37" spans="1:33">
      <c r="A37" s="344"/>
      <c r="B37" s="345" t="s">
        <v>322</v>
      </c>
      <c r="C37" s="165" t="s">
        <v>1046</v>
      </c>
      <c r="D37" s="165" t="s">
        <v>1047</v>
      </c>
      <c r="F37" s="340">
        <f>135724484.95+235886587.03</f>
        <v>371611071.98000002</v>
      </c>
      <c r="H37" s="201">
        <f t="shared" si="9"/>
        <v>0</v>
      </c>
      <c r="I37" s="201">
        <f t="shared" si="9"/>
        <v>0</v>
      </c>
      <c r="J37" s="201">
        <f t="shared" si="9"/>
        <v>0</v>
      </c>
      <c r="K37" s="201">
        <f t="shared" si="9"/>
        <v>0</v>
      </c>
      <c r="L37" s="201">
        <f t="shared" si="9"/>
        <v>0</v>
      </c>
      <c r="M37" s="201">
        <f t="shared" si="9"/>
        <v>0</v>
      </c>
      <c r="N37" s="201">
        <f t="shared" si="9"/>
        <v>0</v>
      </c>
      <c r="O37" s="201">
        <f t="shared" si="9"/>
        <v>0</v>
      </c>
      <c r="P37" s="201">
        <f t="shared" si="9"/>
        <v>0</v>
      </c>
      <c r="Q37" s="201">
        <f t="shared" si="9"/>
        <v>0</v>
      </c>
      <c r="R37" s="201">
        <f t="shared" si="10"/>
        <v>0</v>
      </c>
      <c r="S37" s="201">
        <f t="shared" si="10"/>
        <v>0</v>
      </c>
      <c r="T37" s="201">
        <f t="shared" si="10"/>
        <v>126617182.50038551</v>
      </c>
      <c r="U37" s="201">
        <f t="shared" si="10"/>
        <v>152091121.48461449</v>
      </c>
      <c r="V37" s="201">
        <f t="shared" si="10"/>
        <v>42205727.5001285</v>
      </c>
      <c r="W37" s="201">
        <f t="shared" si="10"/>
        <v>50697040.494871497</v>
      </c>
      <c r="X37" s="201">
        <f t="shared" si="10"/>
        <v>0</v>
      </c>
      <c r="Y37" s="201">
        <f t="shared" si="10"/>
        <v>0</v>
      </c>
      <c r="Z37" s="201">
        <f t="shared" si="10"/>
        <v>0</v>
      </c>
      <c r="AA37" s="201">
        <f t="shared" si="10"/>
        <v>0</v>
      </c>
      <c r="AB37" s="201">
        <f t="shared" si="10"/>
        <v>0</v>
      </c>
      <c r="AC37" s="201">
        <f t="shared" si="10"/>
        <v>0</v>
      </c>
      <c r="AD37" s="201">
        <f t="shared" si="10"/>
        <v>0</v>
      </c>
      <c r="AE37" s="201">
        <f t="shared" si="10"/>
        <v>0</v>
      </c>
      <c r="AF37" s="201">
        <f t="shared" si="11"/>
        <v>371611071.98000002</v>
      </c>
      <c r="AG37" s="333" t="str">
        <f t="shared" si="12"/>
        <v>ok</v>
      </c>
    </row>
    <row r="38" spans="1:33">
      <c r="A38" s="344"/>
      <c r="B38" s="345" t="s">
        <v>323</v>
      </c>
      <c r="C38" s="165" t="s">
        <v>1049</v>
      </c>
      <c r="D38" s="165" t="s">
        <v>1048</v>
      </c>
      <c r="F38" s="340">
        <f>68421939.96+144459779.98</f>
        <v>212881719.94</v>
      </c>
      <c r="H38" s="201">
        <f t="shared" si="9"/>
        <v>0</v>
      </c>
      <c r="I38" s="201">
        <f t="shared" si="9"/>
        <v>0</v>
      </c>
      <c r="J38" s="201">
        <f t="shared" si="9"/>
        <v>0</v>
      </c>
      <c r="K38" s="201">
        <f t="shared" si="9"/>
        <v>0</v>
      </c>
      <c r="L38" s="201">
        <f t="shared" si="9"/>
        <v>0</v>
      </c>
      <c r="M38" s="201">
        <f t="shared" si="9"/>
        <v>0</v>
      </c>
      <c r="N38" s="201">
        <f t="shared" si="9"/>
        <v>0</v>
      </c>
      <c r="O38" s="201">
        <f t="shared" si="9"/>
        <v>0</v>
      </c>
      <c r="P38" s="201">
        <f t="shared" si="9"/>
        <v>0</v>
      </c>
      <c r="Q38" s="201">
        <f t="shared" si="9"/>
        <v>0</v>
      </c>
      <c r="R38" s="201">
        <f t="shared" si="10"/>
        <v>0</v>
      </c>
      <c r="S38" s="201">
        <f t="shared" si="10"/>
        <v>0</v>
      </c>
      <c r="T38" s="201">
        <f t="shared" si="10"/>
        <v>39580033.7798445</v>
      </c>
      <c r="U38" s="201">
        <f t="shared" si="10"/>
        <v>120081256.17515549</v>
      </c>
      <c r="V38" s="201">
        <f t="shared" si="10"/>
        <v>13193344.5932815</v>
      </c>
      <c r="W38" s="201">
        <f t="shared" si="10"/>
        <v>40027085.391718499</v>
      </c>
      <c r="X38" s="201">
        <f t="shared" si="10"/>
        <v>0</v>
      </c>
      <c r="Y38" s="201">
        <f t="shared" si="10"/>
        <v>0</v>
      </c>
      <c r="Z38" s="201">
        <f t="shared" si="10"/>
        <v>0</v>
      </c>
      <c r="AA38" s="201">
        <f t="shared" si="10"/>
        <v>0</v>
      </c>
      <c r="AB38" s="201">
        <f t="shared" si="10"/>
        <v>0</v>
      </c>
      <c r="AC38" s="201">
        <f t="shared" si="10"/>
        <v>0</v>
      </c>
      <c r="AD38" s="201">
        <f t="shared" si="10"/>
        <v>0</v>
      </c>
      <c r="AE38" s="201">
        <f t="shared" si="10"/>
        <v>0</v>
      </c>
      <c r="AF38" s="201">
        <f t="shared" si="11"/>
        <v>212881719.94</v>
      </c>
      <c r="AG38" s="333" t="str">
        <f t="shared" si="12"/>
        <v>ok</v>
      </c>
    </row>
    <row r="39" spans="1:33">
      <c r="A39" s="344"/>
      <c r="B39" s="345" t="s">
        <v>324</v>
      </c>
      <c r="C39" s="165" t="s">
        <v>1050</v>
      </c>
      <c r="D39" s="165" t="s">
        <v>1051</v>
      </c>
      <c r="F39" s="340">
        <v>139487571.31</v>
      </c>
      <c r="H39" s="201">
        <f t="shared" si="9"/>
        <v>0</v>
      </c>
      <c r="I39" s="201">
        <f t="shared" si="9"/>
        <v>0</v>
      </c>
      <c r="J39" s="201">
        <f t="shared" si="9"/>
        <v>0</v>
      </c>
      <c r="K39" s="201">
        <f t="shared" si="9"/>
        <v>0</v>
      </c>
      <c r="L39" s="201">
        <f t="shared" si="9"/>
        <v>0</v>
      </c>
      <c r="M39" s="201">
        <f t="shared" si="9"/>
        <v>0</v>
      </c>
      <c r="N39" s="201">
        <f t="shared" si="9"/>
        <v>0</v>
      </c>
      <c r="O39" s="201">
        <f t="shared" si="9"/>
        <v>0</v>
      </c>
      <c r="P39" s="201">
        <f t="shared" si="9"/>
        <v>0</v>
      </c>
      <c r="Q39" s="201">
        <f t="shared" si="9"/>
        <v>0</v>
      </c>
      <c r="R39" s="201">
        <f t="shared" si="10"/>
        <v>0</v>
      </c>
      <c r="S39" s="201">
        <f t="shared" si="10"/>
        <v>0</v>
      </c>
      <c r="T39" s="201">
        <f t="shared" si="10"/>
        <v>0</v>
      </c>
      <c r="U39" s="201">
        <f t="shared" si="10"/>
        <v>0</v>
      </c>
      <c r="V39" s="201">
        <f t="shared" si="10"/>
        <v>0</v>
      </c>
      <c r="W39" s="201">
        <f t="shared" si="10"/>
        <v>0</v>
      </c>
      <c r="X39" s="201">
        <f t="shared" si="10"/>
        <v>77694577.219670013</v>
      </c>
      <c r="Y39" s="201">
        <f t="shared" si="10"/>
        <v>61792994.090330005</v>
      </c>
      <c r="Z39" s="201">
        <f t="shared" si="10"/>
        <v>0</v>
      </c>
      <c r="AA39" s="201">
        <f t="shared" si="10"/>
        <v>0</v>
      </c>
      <c r="AB39" s="201">
        <f t="shared" si="10"/>
        <v>0</v>
      </c>
      <c r="AC39" s="201">
        <f t="shared" si="10"/>
        <v>0</v>
      </c>
      <c r="AD39" s="201">
        <f t="shared" si="10"/>
        <v>0</v>
      </c>
      <c r="AE39" s="201">
        <f t="shared" si="10"/>
        <v>0</v>
      </c>
      <c r="AF39" s="201">
        <f t="shared" si="11"/>
        <v>139487571.31</v>
      </c>
      <c r="AG39" s="333" t="str">
        <f t="shared" si="12"/>
        <v>ok</v>
      </c>
    </row>
    <row r="40" spans="1:33">
      <c r="A40" s="344"/>
      <c r="B40" s="345" t="s">
        <v>325</v>
      </c>
      <c r="C40" s="165" t="s">
        <v>1052</v>
      </c>
      <c r="D40" s="165" t="s">
        <v>1053</v>
      </c>
      <c r="F40" s="340">
        <v>28292567.220000006</v>
      </c>
      <c r="H40" s="201">
        <f t="shared" si="9"/>
        <v>0</v>
      </c>
      <c r="I40" s="201">
        <f t="shared" si="9"/>
        <v>0</v>
      </c>
      <c r="J40" s="201">
        <f t="shared" si="9"/>
        <v>0</v>
      </c>
      <c r="K40" s="201">
        <f t="shared" si="9"/>
        <v>0</v>
      </c>
      <c r="L40" s="201">
        <f t="shared" si="9"/>
        <v>0</v>
      </c>
      <c r="M40" s="201">
        <f t="shared" si="9"/>
        <v>0</v>
      </c>
      <c r="N40" s="201">
        <f t="shared" si="9"/>
        <v>0</v>
      </c>
      <c r="O40" s="201">
        <f t="shared" si="9"/>
        <v>0</v>
      </c>
      <c r="P40" s="201">
        <f t="shared" si="9"/>
        <v>0</v>
      </c>
      <c r="Q40" s="201">
        <f t="shared" si="9"/>
        <v>0</v>
      </c>
      <c r="R40" s="201">
        <f t="shared" si="10"/>
        <v>0</v>
      </c>
      <c r="S40" s="201">
        <f t="shared" si="10"/>
        <v>0</v>
      </c>
      <c r="T40" s="201">
        <f t="shared" si="10"/>
        <v>0</v>
      </c>
      <c r="U40" s="201">
        <f t="shared" si="10"/>
        <v>0</v>
      </c>
      <c r="V40" s="201">
        <f t="shared" si="10"/>
        <v>0</v>
      </c>
      <c r="W40" s="201">
        <f t="shared" si="10"/>
        <v>0</v>
      </c>
      <c r="X40" s="201">
        <f t="shared" si="10"/>
        <v>0</v>
      </c>
      <c r="Y40" s="201">
        <f t="shared" si="10"/>
        <v>0</v>
      </c>
      <c r="Z40" s="201">
        <f t="shared" si="10"/>
        <v>28292567.220000006</v>
      </c>
      <c r="AA40" s="201">
        <f t="shared" si="10"/>
        <v>0</v>
      </c>
      <c r="AB40" s="201">
        <f t="shared" si="10"/>
        <v>0</v>
      </c>
      <c r="AC40" s="201">
        <f t="shared" si="10"/>
        <v>0</v>
      </c>
      <c r="AD40" s="201">
        <f t="shared" si="10"/>
        <v>0</v>
      </c>
      <c r="AE40" s="201">
        <f t="shared" si="10"/>
        <v>0</v>
      </c>
      <c r="AF40" s="201">
        <f t="shared" si="11"/>
        <v>28292567.220000006</v>
      </c>
      <c r="AG40" s="333" t="str">
        <f t="shared" si="12"/>
        <v>ok</v>
      </c>
    </row>
    <row r="41" spans="1:33">
      <c r="A41" s="344"/>
      <c r="B41" s="345" t="s">
        <v>326</v>
      </c>
      <c r="C41" s="165" t="s">
        <v>1054</v>
      </c>
      <c r="D41" s="165" t="s">
        <v>1055</v>
      </c>
      <c r="F41" s="340">
        <v>38125261.350000001</v>
      </c>
      <c r="H41" s="201">
        <f t="shared" si="9"/>
        <v>0</v>
      </c>
      <c r="I41" s="201">
        <f t="shared" si="9"/>
        <v>0</v>
      </c>
      <c r="J41" s="201">
        <f t="shared" si="9"/>
        <v>0</v>
      </c>
      <c r="K41" s="201">
        <f t="shared" si="9"/>
        <v>0</v>
      </c>
      <c r="L41" s="201">
        <f t="shared" si="9"/>
        <v>0</v>
      </c>
      <c r="M41" s="201">
        <f t="shared" si="9"/>
        <v>0</v>
      </c>
      <c r="N41" s="201">
        <f t="shared" si="9"/>
        <v>0</v>
      </c>
      <c r="O41" s="201">
        <f t="shared" si="9"/>
        <v>0</v>
      </c>
      <c r="P41" s="201">
        <f t="shared" si="9"/>
        <v>0</v>
      </c>
      <c r="Q41" s="201">
        <f t="shared" si="9"/>
        <v>0</v>
      </c>
      <c r="R41" s="201">
        <f t="shared" si="10"/>
        <v>0</v>
      </c>
      <c r="S41" s="201">
        <f t="shared" si="10"/>
        <v>0</v>
      </c>
      <c r="T41" s="201">
        <f t="shared" si="10"/>
        <v>0</v>
      </c>
      <c r="U41" s="201">
        <f t="shared" si="10"/>
        <v>0</v>
      </c>
      <c r="V41" s="201">
        <f t="shared" si="10"/>
        <v>0</v>
      </c>
      <c r="W41" s="201">
        <f t="shared" si="10"/>
        <v>0</v>
      </c>
      <c r="X41" s="201">
        <f t="shared" si="10"/>
        <v>0</v>
      </c>
      <c r="Y41" s="201">
        <f t="shared" si="10"/>
        <v>0</v>
      </c>
      <c r="Z41" s="201">
        <f t="shared" si="10"/>
        <v>0</v>
      </c>
      <c r="AA41" s="201">
        <f t="shared" si="10"/>
        <v>38125261.350000001</v>
      </c>
      <c r="AB41" s="201">
        <f t="shared" si="10"/>
        <v>0</v>
      </c>
      <c r="AC41" s="201">
        <f t="shared" si="10"/>
        <v>0</v>
      </c>
      <c r="AD41" s="201">
        <f t="shared" si="10"/>
        <v>0</v>
      </c>
      <c r="AE41" s="201">
        <f t="shared" si="10"/>
        <v>0</v>
      </c>
      <c r="AF41" s="201">
        <f t="shared" si="11"/>
        <v>38125261.350000001</v>
      </c>
      <c r="AG41" s="333" t="str">
        <f t="shared" si="12"/>
        <v>ok</v>
      </c>
    </row>
    <row r="42" spans="1:33">
      <c r="A42" s="344"/>
      <c r="B42" s="345" t="s">
        <v>327</v>
      </c>
      <c r="C42" s="165" t="s">
        <v>1056</v>
      </c>
      <c r="D42" s="165" t="s">
        <v>1058</v>
      </c>
      <c r="F42" s="340">
        <v>0</v>
      </c>
      <c r="H42" s="201">
        <f t="shared" si="9"/>
        <v>0</v>
      </c>
      <c r="I42" s="201">
        <f t="shared" si="9"/>
        <v>0</v>
      </c>
      <c r="J42" s="201">
        <f t="shared" si="9"/>
        <v>0</v>
      </c>
      <c r="K42" s="201">
        <f t="shared" si="9"/>
        <v>0</v>
      </c>
      <c r="L42" s="201">
        <f t="shared" si="9"/>
        <v>0</v>
      </c>
      <c r="M42" s="201">
        <f t="shared" si="9"/>
        <v>0</v>
      </c>
      <c r="N42" s="201">
        <f t="shared" si="9"/>
        <v>0</v>
      </c>
      <c r="O42" s="201">
        <f t="shared" si="9"/>
        <v>0</v>
      </c>
      <c r="P42" s="201">
        <f t="shared" si="9"/>
        <v>0</v>
      </c>
      <c r="Q42" s="201">
        <f t="shared" si="9"/>
        <v>0</v>
      </c>
      <c r="R42" s="201">
        <f t="shared" si="10"/>
        <v>0</v>
      </c>
      <c r="S42" s="201">
        <f t="shared" si="10"/>
        <v>0</v>
      </c>
      <c r="T42" s="201">
        <f t="shared" si="10"/>
        <v>0</v>
      </c>
      <c r="U42" s="201">
        <f t="shared" si="10"/>
        <v>0</v>
      </c>
      <c r="V42" s="201">
        <f t="shared" si="10"/>
        <v>0</v>
      </c>
      <c r="W42" s="201">
        <f t="shared" si="10"/>
        <v>0</v>
      </c>
      <c r="X42" s="201">
        <f t="shared" si="10"/>
        <v>0</v>
      </c>
      <c r="Y42" s="201">
        <f t="shared" si="10"/>
        <v>0</v>
      </c>
      <c r="Z42" s="201">
        <f t="shared" si="10"/>
        <v>0</v>
      </c>
      <c r="AA42" s="201">
        <f t="shared" si="10"/>
        <v>0</v>
      </c>
      <c r="AB42" s="201">
        <f t="shared" si="10"/>
        <v>0</v>
      </c>
      <c r="AC42" s="201">
        <f t="shared" si="10"/>
        <v>0</v>
      </c>
      <c r="AD42" s="201">
        <f t="shared" si="10"/>
        <v>0</v>
      </c>
      <c r="AE42" s="201">
        <f t="shared" si="10"/>
        <v>0</v>
      </c>
      <c r="AF42" s="201">
        <f t="shared" si="11"/>
        <v>0</v>
      </c>
      <c r="AG42" s="333" t="str">
        <f t="shared" si="12"/>
        <v>ok</v>
      </c>
    </row>
    <row r="43" spans="1:33">
      <c r="A43" s="344"/>
      <c r="B43" s="345" t="s">
        <v>328</v>
      </c>
      <c r="C43" s="165" t="s">
        <v>1057</v>
      </c>
      <c r="D43" s="165" t="s">
        <v>1058</v>
      </c>
      <c r="F43" s="340">
        <v>83856546.370000005</v>
      </c>
      <c r="H43" s="201">
        <f t="shared" si="9"/>
        <v>0</v>
      </c>
      <c r="I43" s="201">
        <f t="shared" si="9"/>
        <v>0</v>
      </c>
      <c r="J43" s="201">
        <f t="shared" si="9"/>
        <v>0</v>
      </c>
      <c r="K43" s="201">
        <f t="shared" si="9"/>
        <v>0</v>
      </c>
      <c r="L43" s="201">
        <f t="shared" si="9"/>
        <v>0</v>
      </c>
      <c r="M43" s="201">
        <f t="shared" si="9"/>
        <v>0</v>
      </c>
      <c r="N43" s="201">
        <f t="shared" si="9"/>
        <v>0</v>
      </c>
      <c r="O43" s="201">
        <f t="shared" si="9"/>
        <v>0</v>
      </c>
      <c r="P43" s="201">
        <f t="shared" si="9"/>
        <v>0</v>
      </c>
      <c r="Q43" s="201">
        <f t="shared" si="9"/>
        <v>0</v>
      </c>
      <c r="R43" s="201">
        <f t="shared" si="10"/>
        <v>0</v>
      </c>
      <c r="S43" s="201">
        <f t="shared" si="10"/>
        <v>0</v>
      </c>
      <c r="T43" s="201">
        <f t="shared" si="10"/>
        <v>0</v>
      </c>
      <c r="U43" s="201">
        <f t="shared" si="10"/>
        <v>0</v>
      </c>
      <c r="V43" s="201">
        <f t="shared" si="10"/>
        <v>0</v>
      </c>
      <c r="W43" s="201">
        <f t="shared" si="10"/>
        <v>0</v>
      </c>
      <c r="X43" s="201">
        <f t="shared" si="10"/>
        <v>0</v>
      </c>
      <c r="Y43" s="201">
        <f t="shared" si="10"/>
        <v>0</v>
      </c>
      <c r="Z43" s="201">
        <f t="shared" si="10"/>
        <v>0</v>
      </c>
      <c r="AA43" s="201">
        <f t="shared" si="10"/>
        <v>0</v>
      </c>
      <c r="AB43" s="201">
        <f t="shared" si="10"/>
        <v>83856546.370000005</v>
      </c>
      <c r="AC43" s="201">
        <f t="shared" si="10"/>
        <v>0</v>
      </c>
      <c r="AD43" s="201">
        <f t="shared" si="10"/>
        <v>0</v>
      </c>
      <c r="AE43" s="201">
        <f t="shared" si="10"/>
        <v>0</v>
      </c>
      <c r="AF43" s="201">
        <f t="shared" si="11"/>
        <v>83856546.370000005</v>
      </c>
      <c r="AG43" s="333" t="str">
        <f t="shared" si="12"/>
        <v>ok</v>
      </c>
    </row>
    <row r="44" spans="1:33">
      <c r="A44" s="344"/>
      <c r="B44" s="345" t="s">
        <v>1016</v>
      </c>
      <c r="C44" s="318" t="s">
        <v>1451</v>
      </c>
      <c r="D44" s="318" t="s">
        <v>1047</v>
      </c>
      <c r="F44" s="340">
        <v>626515.48</v>
      </c>
      <c r="H44" s="201">
        <f t="shared" si="9"/>
        <v>0</v>
      </c>
      <c r="I44" s="201">
        <f t="shared" si="9"/>
        <v>0</v>
      </c>
      <c r="J44" s="201">
        <f t="shared" si="9"/>
        <v>0</v>
      </c>
      <c r="K44" s="201">
        <f t="shared" si="9"/>
        <v>0</v>
      </c>
      <c r="L44" s="201">
        <f t="shared" si="9"/>
        <v>0</v>
      </c>
      <c r="M44" s="201">
        <f t="shared" si="9"/>
        <v>0</v>
      </c>
      <c r="N44" s="201">
        <f t="shared" si="9"/>
        <v>0</v>
      </c>
      <c r="O44" s="201">
        <f t="shared" si="9"/>
        <v>0</v>
      </c>
      <c r="P44" s="201">
        <f t="shared" si="9"/>
        <v>0</v>
      </c>
      <c r="Q44" s="201">
        <f t="shared" si="9"/>
        <v>0</v>
      </c>
      <c r="R44" s="201">
        <f t="shared" si="10"/>
        <v>0</v>
      </c>
      <c r="S44" s="201">
        <f t="shared" si="10"/>
        <v>0</v>
      </c>
      <c r="T44" s="201">
        <f t="shared" si="10"/>
        <v>213469.48692299999</v>
      </c>
      <c r="U44" s="201">
        <f t="shared" si="10"/>
        <v>256417.12307699997</v>
      </c>
      <c r="V44" s="201">
        <f t="shared" si="10"/>
        <v>71156.495641000001</v>
      </c>
      <c r="W44" s="201">
        <f t="shared" si="10"/>
        <v>85472.374358999994</v>
      </c>
      <c r="X44" s="201">
        <f t="shared" si="10"/>
        <v>0</v>
      </c>
      <c r="Y44" s="201">
        <f t="shared" si="10"/>
        <v>0</v>
      </c>
      <c r="Z44" s="201">
        <f t="shared" si="10"/>
        <v>0</v>
      </c>
      <c r="AA44" s="201">
        <f t="shared" si="10"/>
        <v>0</v>
      </c>
      <c r="AB44" s="201">
        <f t="shared" si="10"/>
        <v>0</v>
      </c>
      <c r="AC44" s="201">
        <f t="shared" si="10"/>
        <v>0</v>
      </c>
      <c r="AD44" s="201">
        <f t="shared" si="10"/>
        <v>0</v>
      </c>
      <c r="AE44" s="201">
        <f t="shared" si="10"/>
        <v>0</v>
      </c>
      <c r="AF44" s="201">
        <f>SUM(H44:AE44)</f>
        <v>626515.48</v>
      </c>
      <c r="AG44" s="333" t="str">
        <f t="shared" si="12"/>
        <v>ok</v>
      </c>
    </row>
    <row r="45" spans="1:33">
      <c r="A45" s="318"/>
      <c r="B45" s="318"/>
      <c r="W45" s="165"/>
      <c r="AF45" s="201"/>
      <c r="AG45" s="333"/>
    </row>
    <row r="46" spans="1:33">
      <c r="A46" s="318"/>
      <c r="B46" s="318" t="s">
        <v>1059</v>
      </c>
      <c r="C46" s="165" t="s">
        <v>1039</v>
      </c>
      <c r="F46" s="203">
        <f>SUM(F36:F45)</f>
        <v>982954508.21000004</v>
      </c>
      <c r="G46" s="346"/>
      <c r="H46" s="347">
        <f t="shared" ref="H46:M46" si="13">SUM(H36:H45)</f>
        <v>0</v>
      </c>
      <c r="I46" s="347">
        <f t="shared" si="13"/>
        <v>0</v>
      </c>
      <c r="J46" s="347">
        <f t="shared" si="13"/>
        <v>0</v>
      </c>
      <c r="K46" s="347">
        <f t="shared" si="13"/>
        <v>0</v>
      </c>
      <c r="L46" s="347">
        <f t="shared" si="13"/>
        <v>0</v>
      </c>
      <c r="M46" s="347">
        <f t="shared" si="13"/>
        <v>0</v>
      </c>
      <c r="N46" s="347">
        <f>SUM(N36:N45)</f>
        <v>0</v>
      </c>
      <c r="O46" s="347">
        <f>SUM(O36:O45)</f>
        <v>0</v>
      </c>
      <c r="P46" s="347">
        <f>SUM(P36:P45)</f>
        <v>0</v>
      </c>
      <c r="Q46" s="347">
        <f t="shared" ref="Q46:AE46" si="14">SUM(Q36:Q45)</f>
        <v>0</v>
      </c>
      <c r="R46" s="347">
        <f t="shared" si="14"/>
        <v>108073254.56</v>
      </c>
      <c r="S46" s="347">
        <f t="shared" si="14"/>
        <v>0</v>
      </c>
      <c r="T46" s="347">
        <f t="shared" si="14"/>
        <v>166410685.76715302</v>
      </c>
      <c r="U46" s="347">
        <f>SUM(U36:U45)</f>
        <v>272428794.78284699</v>
      </c>
      <c r="V46" s="347">
        <f>SUM(V36:V45)</f>
        <v>55470228.589051001</v>
      </c>
      <c r="W46" s="347">
        <f>SUM(W36:W45)</f>
        <v>90809598.260949001</v>
      </c>
      <c r="X46" s="347">
        <f t="shared" si="14"/>
        <v>77694577.219670013</v>
      </c>
      <c r="Y46" s="347">
        <f t="shared" si="14"/>
        <v>61792994.090330005</v>
      </c>
      <c r="Z46" s="347">
        <f>SUM(Z36:Z45)</f>
        <v>28292567.220000006</v>
      </c>
      <c r="AA46" s="347">
        <f>SUM(AA36:AA45)</f>
        <v>38125261.350000001</v>
      </c>
      <c r="AB46" s="347">
        <f t="shared" si="14"/>
        <v>83856546.370000005</v>
      </c>
      <c r="AC46" s="347">
        <f t="shared" si="14"/>
        <v>0</v>
      </c>
      <c r="AD46" s="347">
        <f t="shared" si="14"/>
        <v>0</v>
      </c>
      <c r="AE46" s="347">
        <f t="shared" si="14"/>
        <v>0</v>
      </c>
      <c r="AF46" s="201">
        <f>SUM(H46:AE46)</f>
        <v>982954508.21000016</v>
      </c>
      <c r="AG46" s="333" t="str">
        <f>IF(ABS(AF46-F46)&lt;1,"ok","err")</f>
        <v>ok</v>
      </c>
    </row>
    <row r="47" spans="1:33">
      <c r="A47" s="318"/>
      <c r="B47" s="318"/>
      <c r="W47" s="165"/>
      <c r="AG47" s="333"/>
    </row>
    <row r="48" spans="1:33">
      <c r="A48" s="318"/>
      <c r="B48" s="87" t="s">
        <v>972</v>
      </c>
      <c r="C48" s="165" t="s">
        <v>1268</v>
      </c>
      <c r="F48" s="342">
        <f>F29+F33+F46</f>
        <v>3651542764.8000002</v>
      </c>
      <c r="G48" s="343"/>
      <c r="H48" s="343">
        <f t="shared" ref="H48:AE48" si="15">H29+H33+H46</f>
        <v>827924253.36096203</v>
      </c>
      <c r="I48" s="343">
        <f t="shared" si="15"/>
        <v>780465771.20498788</v>
      </c>
      <c r="J48" s="343">
        <f t="shared" si="15"/>
        <v>801543734.89404988</v>
      </c>
      <c r="K48" s="343">
        <f t="shared" si="15"/>
        <v>0</v>
      </c>
      <c r="L48" s="343">
        <f t="shared" si="15"/>
        <v>0</v>
      </c>
      <c r="M48" s="343">
        <f t="shared" si="15"/>
        <v>0</v>
      </c>
      <c r="N48" s="343">
        <f t="shared" si="15"/>
        <v>88859841.302357897</v>
      </c>
      <c r="O48" s="343">
        <f t="shared" si="15"/>
        <v>83766195.143653035</v>
      </c>
      <c r="P48" s="343">
        <f t="shared" si="15"/>
        <v>86028460.683989033</v>
      </c>
      <c r="Q48" s="343">
        <f t="shared" si="15"/>
        <v>0</v>
      </c>
      <c r="R48" s="343">
        <f t="shared" si="15"/>
        <v>108073254.56</v>
      </c>
      <c r="S48" s="343">
        <f t="shared" si="15"/>
        <v>0</v>
      </c>
      <c r="T48" s="343">
        <f t="shared" si="15"/>
        <v>166410685.76715302</v>
      </c>
      <c r="U48" s="343">
        <f t="shared" si="15"/>
        <v>272428794.78284699</v>
      </c>
      <c r="V48" s="343">
        <f t="shared" si="15"/>
        <v>55470228.589051001</v>
      </c>
      <c r="W48" s="343">
        <f t="shared" si="15"/>
        <v>90809598.260949001</v>
      </c>
      <c r="X48" s="343">
        <f t="shared" si="15"/>
        <v>77694577.219670013</v>
      </c>
      <c r="Y48" s="343">
        <f t="shared" si="15"/>
        <v>61792994.090330005</v>
      </c>
      <c r="Z48" s="343">
        <f t="shared" si="15"/>
        <v>28292567.220000006</v>
      </c>
      <c r="AA48" s="343">
        <f t="shared" si="15"/>
        <v>38125261.350000001</v>
      </c>
      <c r="AB48" s="343">
        <f t="shared" si="15"/>
        <v>83856546.370000005</v>
      </c>
      <c r="AC48" s="343">
        <f t="shared" si="15"/>
        <v>0</v>
      </c>
      <c r="AD48" s="343">
        <f t="shared" si="15"/>
        <v>0</v>
      </c>
      <c r="AE48" s="343">
        <f t="shared" si="15"/>
        <v>0</v>
      </c>
      <c r="AF48" s="201">
        <f>SUM(H48:AE48)</f>
        <v>3651542764.7999988</v>
      </c>
      <c r="AG48" s="333" t="str">
        <f>IF(ABS(AF48-F48)&lt;1,"ok","err")</f>
        <v>ok</v>
      </c>
    </row>
    <row r="49" spans="1:33">
      <c r="A49" s="318"/>
      <c r="B49" s="318"/>
      <c r="W49" s="165"/>
      <c r="AG49" s="333"/>
    </row>
    <row r="50" spans="1:33">
      <c r="A50" s="337" t="s">
        <v>1060</v>
      </c>
      <c r="B50" s="318"/>
      <c r="F50" s="342"/>
      <c r="W50" s="165"/>
      <c r="AG50" s="333"/>
    </row>
    <row r="51" spans="1:33">
      <c r="A51" s="318"/>
      <c r="B51" s="318"/>
      <c r="W51" s="165"/>
      <c r="AF51" s="201"/>
      <c r="AG51" s="333"/>
    </row>
    <row r="52" spans="1:33">
      <c r="A52" s="318"/>
      <c r="B52" s="318" t="s">
        <v>1061</v>
      </c>
      <c r="C52" s="165" t="s">
        <v>1062</v>
      </c>
      <c r="D52" s="165" t="s">
        <v>1268</v>
      </c>
      <c r="F52" s="203">
        <v>16083154.01</v>
      </c>
      <c r="G52" s="347"/>
      <c r="H52" s="201">
        <f t="shared" ref="H52:AE52" si="16">IF(VLOOKUP($D52,$C$6:$AE$598,H$2,)=0,0,((VLOOKUP($D52,$C$6:$AE$598,H$2,)/VLOOKUP($D52,$C$6:$AE$598,4,))*$F52))</f>
        <v>3646577.3874478852</v>
      </c>
      <c r="I52" s="201">
        <f t="shared" si="16"/>
        <v>3437547.361850698</v>
      </c>
      <c r="J52" s="201">
        <f t="shared" si="16"/>
        <v>3530384.8713812591</v>
      </c>
      <c r="K52" s="201">
        <f t="shared" si="16"/>
        <v>0</v>
      </c>
      <c r="L52" s="201">
        <f t="shared" si="16"/>
        <v>0</v>
      </c>
      <c r="M52" s="201">
        <f t="shared" si="16"/>
        <v>0</v>
      </c>
      <c r="N52" s="201">
        <f t="shared" si="16"/>
        <v>391381.56254025339</v>
      </c>
      <c r="O52" s="201">
        <f t="shared" si="16"/>
        <v>368946.69023570238</v>
      </c>
      <c r="P52" s="201">
        <f t="shared" si="16"/>
        <v>378910.79785823287</v>
      </c>
      <c r="Q52" s="201">
        <f t="shared" si="16"/>
        <v>0</v>
      </c>
      <c r="R52" s="201">
        <f t="shared" si="16"/>
        <v>476006.69344635651</v>
      </c>
      <c r="S52" s="201">
        <f t="shared" si="16"/>
        <v>0</v>
      </c>
      <c r="T52" s="201">
        <f t="shared" si="16"/>
        <v>732952.85321666696</v>
      </c>
      <c r="U52" s="201">
        <f t="shared" si="16"/>
        <v>1199907.6953138721</v>
      </c>
      <c r="V52" s="201">
        <f t="shared" si="16"/>
        <v>244317.61773888898</v>
      </c>
      <c r="W52" s="201">
        <f t="shared" si="16"/>
        <v>399969.23177129071</v>
      </c>
      <c r="X52" s="201">
        <f t="shared" si="16"/>
        <v>342204.35899351467</v>
      </c>
      <c r="Y52" s="201">
        <f t="shared" si="16"/>
        <v>272166.12393918668</v>
      </c>
      <c r="Z52" s="201">
        <f t="shared" si="16"/>
        <v>124614.10018909103</v>
      </c>
      <c r="AA52" s="201">
        <f t="shared" si="16"/>
        <v>167922.02350042446</v>
      </c>
      <c r="AB52" s="201">
        <f t="shared" si="16"/>
        <v>369344.64057667565</v>
      </c>
      <c r="AC52" s="201">
        <f t="shared" si="16"/>
        <v>0</v>
      </c>
      <c r="AD52" s="201">
        <f t="shared" si="16"/>
        <v>0</v>
      </c>
      <c r="AE52" s="201">
        <f t="shared" si="16"/>
        <v>0</v>
      </c>
      <c r="AF52" s="201">
        <f>SUM(H52:AE52)</f>
        <v>16083154.01</v>
      </c>
      <c r="AG52" s="333" t="str">
        <f>IF(ABS(AF52-F52)&lt;1,"ok","err")</f>
        <v>ok</v>
      </c>
    </row>
    <row r="53" spans="1:33">
      <c r="A53" s="318"/>
      <c r="B53" s="318"/>
      <c r="F53" s="342"/>
      <c r="O53" s="201"/>
      <c r="P53" s="201"/>
      <c r="W53" s="165"/>
      <c r="AF53" s="201"/>
      <c r="AG53" s="333"/>
    </row>
    <row r="54" spans="1:33">
      <c r="A54" s="318"/>
      <c r="B54" s="318" t="s">
        <v>218</v>
      </c>
      <c r="C54" s="165" t="s">
        <v>219</v>
      </c>
      <c r="D54" s="165" t="s">
        <v>1268</v>
      </c>
      <c r="F54" s="203">
        <f>220137386.69*$AJ$7</f>
        <v>156297544.5499</v>
      </c>
      <c r="H54" s="201">
        <f t="shared" ref="H54:Q59" si="17">IF(VLOOKUP($D54,$C$6:$AE$598,H$2,)=0,0,((VLOOKUP($D54,$C$6:$AE$598,H$2,)/VLOOKUP($D54,$C$6:$AE$598,4,))*$F54))</f>
        <v>35437768.693560734</v>
      </c>
      <c r="I54" s="201">
        <f t="shared" si="17"/>
        <v>33406396.00896607</v>
      </c>
      <c r="J54" s="201">
        <f t="shared" si="17"/>
        <v>34308599.318884797</v>
      </c>
      <c r="K54" s="201">
        <f t="shared" si="17"/>
        <v>0</v>
      </c>
      <c r="L54" s="201">
        <f t="shared" si="17"/>
        <v>0</v>
      </c>
      <c r="M54" s="201">
        <f t="shared" si="17"/>
        <v>0</v>
      </c>
      <c r="N54" s="201">
        <f t="shared" si="17"/>
        <v>3803481.4047735855</v>
      </c>
      <c r="O54" s="201">
        <f t="shared" si="17"/>
        <v>3585457.2876562811</v>
      </c>
      <c r="P54" s="201">
        <f t="shared" si="17"/>
        <v>3682289.3862648089</v>
      </c>
      <c r="Q54" s="201">
        <f t="shared" si="17"/>
        <v>0</v>
      </c>
      <c r="R54" s="201">
        <f t="shared" ref="R54:AE59" si="18">IF(VLOOKUP($D54,$C$6:$AE$598,R$2,)=0,0,((VLOOKUP($D54,$C$6:$AE$598,R$2,)/VLOOKUP($D54,$C$6:$AE$598,4,))*$F54))</f>
        <v>4625876.0768393893</v>
      </c>
      <c r="S54" s="201">
        <f t="shared" si="18"/>
        <v>0</v>
      </c>
      <c r="T54" s="201">
        <f t="shared" si="18"/>
        <v>7122902.0848385403</v>
      </c>
      <c r="U54" s="201">
        <f t="shared" si="18"/>
        <v>11660811.452000001</v>
      </c>
      <c r="V54" s="201">
        <f t="shared" si="18"/>
        <v>2374300.6949461796</v>
      </c>
      <c r="W54" s="201">
        <f t="shared" si="18"/>
        <v>3886937.1506666676</v>
      </c>
      <c r="X54" s="201">
        <f t="shared" si="18"/>
        <v>3325572.8951984853</v>
      </c>
      <c r="Y54" s="201">
        <f t="shared" si="18"/>
        <v>2644934.995642601</v>
      </c>
      <c r="Z54" s="201">
        <f t="shared" si="18"/>
        <v>1211011.090470193</v>
      </c>
      <c r="AA54" s="201">
        <f t="shared" si="18"/>
        <v>1631881.4041479758</v>
      </c>
      <c r="AB54" s="201">
        <f t="shared" si="18"/>
        <v>3589324.6050436702</v>
      </c>
      <c r="AC54" s="201">
        <f t="shared" si="18"/>
        <v>0</v>
      </c>
      <c r="AD54" s="201">
        <f t="shared" si="18"/>
        <v>0</v>
      </c>
      <c r="AE54" s="201">
        <f t="shared" si="18"/>
        <v>0</v>
      </c>
      <c r="AF54" s="201">
        <f t="shared" ref="AF54:AF59" si="19">SUM(H54:AE54)</f>
        <v>156297544.5499</v>
      </c>
      <c r="AG54" s="333" t="str">
        <f t="shared" ref="AG54:AG59" si="20">IF(ABS(AF54-F54)&lt;1,"ok","err")</f>
        <v>ok</v>
      </c>
    </row>
    <row r="55" spans="1:33">
      <c r="A55" s="339">
        <v>106</v>
      </c>
      <c r="B55" s="318" t="s">
        <v>1244</v>
      </c>
      <c r="C55" s="165" t="s">
        <v>1245</v>
      </c>
      <c r="D55" s="165" t="s">
        <v>1268</v>
      </c>
      <c r="F55" s="340">
        <f>104948941.12+7531529.32*$AJ$7</f>
        <v>110296326.93720001</v>
      </c>
      <c r="H55" s="201">
        <f t="shared" si="17"/>
        <v>25007787.121709757</v>
      </c>
      <c r="I55" s="201">
        <f t="shared" si="17"/>
        <v>23574284.462428894</v>
      </c>
      <c r="J55" s="201">
        <f t="shared" si="17"/>
        <v>24210952.885603324</v>
      </c>
      <c r="K55" s="201">
        <f t="shared" si="17"/>
        <v>0</v>
      </c>
      <c r="L55" s="201">
        <f t="shared" si="17"/>
        <v>0</v>
      </c>
      <c r="M55" s="201">
        <f t="shared" si="17"/>
        <v>0</v>
      </c>
      <c r="N55" s="201">
        <f t="shared" si="17"/>
        <v>2684047.4668271849</v>
      </c>
      <c r="O55" s="201">
        <f t="shared" si="17"/>
        <v>2530191.8232787531</v>
      </c>
      <c r="P55" s="201">
        <f t="shared" si="17"/>
        <v>2598524.4694306669</v>
      </c>
      <c r="Q55" s="201">
        <f t="shared" si="17"/>
        <v>0</v>
      </c>
      <c r="R55" s="201">
        <f t="shared" si="18"/>
        <v>3264396.3896640497</v>
      </c>
      <c r="S55" s="201">
        <f t="shared" si="18"/>
        <v>0</v>
      </c>
      <c r="T55" s="201">
        <f t="shared" si="18"/>
        <v>5026502.1075887261</v>
      </c>
      <c r="U55" s="201">
        <f t="shared" si="18"/>
        <v>8228821.994399406</v>
      </c>
      <c r="V55" s="201">
        <f t="shared" si="18"/>
        <v>1675500.7025295752</v>
      </c>
      <c r="W55" s="201">
        <f t="shared" si="18"/>
        <v>2742940.6647998025</v>
      </c>
      <c r="X55" s="201">
        <f t="shared" si="18"/>
        <v>2346796.1467890996</v>
      </c>
      <c r="Y55" s="201">
        <f t="shared" si="18"/>
        <v>1866482.3932272368</v>
      </c>
      <c r="Z55" s="201">
        <f t="shared" si="18"/>
        <v>854588.44247186196</v>
      </c>
      <c r="AA55" s="201">
        <f t="shared" si="18"/>
        <v>1151588.9478172695</v>
      </c>
      <c r="AB55" s="201">
        <f t="shared" si="18"/>
        <v>2532920.9186343946</v>
      </c>
      <c r="AC55" s="201">
        <f t="shared" si="18"/>
        <v>0</v>
      </c>
      <c r="AD55" s="201">
        <f t="shared" si="18"/>
        <v>0</v>
      </c>
      <c r="AE55" s="201">
        <f t="shared" si="18"/>
        <v>0</v>
      </c>
      <c r="AF55" s="201">
        <f t="shared" si="19"/>
        <v>110296326.93720001</v>
      </c>
      <c r="AG55" s="333" t="str">
        <f t="shared" si="20"/>
        <v>ok</v>
      </c>
    </row>
    <row r="56" spans="1:33">
      <c r="A56" s="339">
        <v>105</v>
      </c>
      <c r="B56" s="318" t="s">
        <v>1437</v>
      </c>
      <c r="C56" s="165" t="s">
        <v>141</v>
      </c>
      <c r="D56" s="165" t="s">
        <v>1039</v>
      </c>
      <c r="F56" s="340">
        <v>627087.6</v>
      </c>
      <c r="H56" s="201">
        <f t="shared" si="17"/>
        <v>0</v>
      </c>
      <c r="I56" s="201">
        <f t="shared" si="17"/>
        <v>0</v>
      </c>
      <c r="J56" s="201">
        <f t="shared" si="17"/>
        <v>0</v>
      </c>
      <c r="K56" s="201">
        <f t="shared" si="17"/>
        <v>0</v>
      </c>
      <c r="L56" s="201">
        <f t="shared" si="17"/>
        <v>0</v>
      </c>
      <c r="M56" s="201">
        <f t="shared" si="17"/>
        <v>0</v>
      </c>
      <c r="N56" s="201">
        <f t="shared" si="17"/>
        <v>0</v>
      </c>
      <c r="O56" s="201">
        <f t="shared" si="17"/>
        <v>0</v>
      </c>
      <c r="P56" s="201">
        <f t="shared" si="17"/>
        <v>0</v>
      </c>
      <c r="Q56" s="201">
        <f t="shared" si="17"/>
        <v>0</v>
      </c>
      <c r="R56" s="201">
        <f t="shared" si="18"/>
        <v>68946.626990534802</v>
      </c>
      <c r="S56" s="201">
        <f t="shared" si="18"/>
        <v>0</v>
      </c>
      <c r="T56" s="201">
        <f t="shared" si="18"/>
        <v>106163.68985591322</v>
      </c>
      <c r="U56" s="201">
        <f t="shared" si="18"/>
        <v>173799.21213482058</v>
      </c>
      <c r="V56" s="201">
        <f t="shared" si="18"/>
        <v>35387.896618637737</v>
      </c>
      <c r="W56" s="201">
        <f t="shared" si="18"/>
        <v>57933.070711606859</v>
      </c>
      <c r="X56" s="201">
        <f t="shared" si="18"/>
        <v>49566.1859778445</v>
      </c>
      <c r="Y56" s="201">
        <f t="shared" si="18"/>
        <v>39421.58058920128</v>
      </c>
      <c r="Z56" s="201">
        <f t="shared" si="18"/>
        <v>18049.582078968462</v>
      </c>
      <c r="AA56" s="201">
        <f t="shared" si="18"/>
        <v>24322.467051788059</v>
      </c>
      <c r="AB56" s="201">
        <f t="shared" si="18"/>
        <v>53497.28799068449</v>
      </c>
      <c r="AC56" s="201">
        <f t="shared" si="18"/>
        <v>0</v>
      </c>
      <c r="AD56" s="201">
        <f t="shared" si="18"/>
        <v>0</v>
      </c>
      <c r="AE56" s="201">
        <f t="shared" si="18"/>
        <v>0</v>
      </c>
      <c r="AF56" s="201">
        <f t="shared" si="19"/>
        <v>627087.6</v>
      </c>
      <c r="AG56" s="333" t="str">
        <f t="shared" si="20"/>
        <v>ok</v>
      </c>
    </row>
    <row r="57" spans="1:33">
      <c r="A57" s="339">
        <v>105</v>
      </c>
      <c r="B57" s="318" t="s">
        <v>1438</v>
      </c>
      <c r="C57" s="165" t="s">
        <v>141</v>
      </c>
      <c r="D57" s="165" t="s">
        <v>671</v>
      </c>
      <c r="F57" s="340">
        <v>0</v>
      </c>
      <c r="H57" s="201">
        <f t="shared" si="17"/>
        <v>0</v>
      </c>
      <c r="I57" s="201">
        <f t="shared" si="17"/>
        <v>0</v>
      </c>
      <c r="J57" s="201">
        <f t="shared" si="17"/>
        <v>0</v>
      </c>
      <c r="K57" s="201">
        <f t="shared" si="17"/>
        <v>0</v>
      </c>
      <c r="L57" s="201">
        <f t="shared" si="17"/>
        <v>0</v>
      </c>
      <c r="M57" s="201">
        <f t="shared" si="17"/>
        <v>0</v>
      </c>
      <c r="N57" s="201">
        <f t="shared" si="17"/>
        <v>0</v>
      </c>
      <c r="O57" s="201">
        <f t="shared" si="17"/>
        <v>0</v>
      </c>
      <c r="P57" s="201">
        <f t="shared" si="17"/>
        <v>0</v>
      </c>
      <c r="Q57" s="201">
        <f t="shared" si="17"/>
        <v>0</v>
      </c>
      <c r="R57" s="201">
        <f t="shared" si="18"/>
        <v>0</v>
      </c>
      <c r="S57" s="201">
        <f t="shared" si="18"/>
        <v>0</v>
      </c>
      <c r="T57" s="201">
        <f t="shared" si="18"/>
        <v>0</v>
      </c>
      <c r="U57" s="201">
        <f t="shared" si="18"/>
        <v>0</v>
      </c>
      <c r="V57" s="201">
        <f t="shared" si="18"/>
        <v>0</v>
      </c>
      <c r="W57" s="201">
        <f t="shared" si="18"/>
        <v>0</v>
      </c>
      <c r="X57" s="201">
        <f t="shared" si="18"/>
        <v>0</v>
      </c>
      <c r="Y57" s="201">
        <f t="shared" si="18"/>
        <v>0</v>
      </c>
      <c r="Z57" s="201">
        <f t="shared" si="18"/>
        <v>0</v>
      </c>
      <c r="AA57" s="201">
        <f t="shared" si="18"/>
        <v>0</v>
      </c>
      <c r="AB57" s="201">
        <f t="shared" si="18"/>
        <v>0</v>
      </c>
      <c r="AC57" s="201">
        <f t="shared" si="18"/>
        <v>0</v>
      </c>
      <c r="AD57" s="201">
        <f t="shared" si="18"/>
        <v>0</v>
      </c>
      <c r="AE57" s="201">
        <f t="shared" si="18"/>
        <v>0</v>
      </c>
      <c r="AF57" s="201">
        <f t="shared" si="19"/>
        <v>0</v>
      </c>
      <c r="AG57" s="333" t="str">
        <f t="shared" si="20"/>
        <v>ok</v>
      </c>
    </row>
    <row r="58" spans="1:33">
      <c r="A58" s="318"/>
      <c r="B58" s="318" t="s">
        <v>816</v>
      </c>
      <c r="D58" s="165" t="s">
        <v>671</v>
      </c>
      <c r="F58" s="340">
        <v>0</v>
      </c>
      <c r="H58" s="165">
        <f t="shared" si="17"/>
        <v>0</v>
      </c>
      <c r="I58" s="165">
        <f t="shared" si="17"/>
        <v>0</v>
      </c>
      <c r="J58" s="165">
        <f t="shared" si="17"/>
        <v>0</v>
      </c>
      <c r="K58" s="165">
        <f t="shared" si="17"/>
        <v>0</v>
      </c>
      <c r="L58" s="165">
        <f t="shared" si="17"/>
        <v>0</v>
      </c>
      <c r="M58" s="165">
        <f t="shared" si="17"/>
        <v>0</v>
      </c>
      <c r="N58" s="165">
        <f t="shared" si="17"/>
        <v>0</v>
      </c>
      <c r="O58" s="201">
        <f t="shared" si="17"/>
        <v>0</v>
      </c>
      <c r="P58" s="201">
        <f t="shared" si="17"/>
        <v>0</v>
      </c>
      <c r="Q58" s="165">
        <f t="shared" si="17"/>
        <v>0</v>
      </c>
      <c r="R58" s="165">
        <f t="shared" si="18"/>
        <v>0</v>
      </c>
      <c r="S58" s="165">
        <f t="shared" si="18"/>
        <v>0</v>
      </c>
      <c r="T58" s="165">
        <f t="shared" si="18"/>
        <v>0</v>
      </c>
      <c r="U58" s="165">
        <f t="shared" si="18"/>
        <v>0</v>
      </c>
      <c r="V58" s="165">
        <f t="shared" si="18"/>
        <v>0</v>
      </c>
      <c r="W58" s="165">
        <f t="shared" si="18"/>
        <v>0</v>
      </c>
      <c r="X58" s="165">
        <f t="shared" si="18"/>
        <v>0</v>
      </c>
      <c r="Y58" s="165">
        <f t="shared" si="18"/>
        <v>0</v>
      </c>
      <c r="Z58" s="165">
        <f t="shared" si="18"/>
        <v>0</v>
      </c>
      <c r="AA58" s="165">
        <f t="shared" si="18"/>
        <v>0</v>
      </c>
      <c r="AB58" s="165">
        <f t="shared" si="18"/>
        <v>0</v>
      </c>
      <c r="AC58" s="165">
        <f t="shared" si="18"/>
        <v>0</v>
      </c>
      <c r="AD58" s="165">
        <f t="shared" si="18"/>
        <v>0</v>
      </c>
      <c r="AE58" s="165">
        <f t="shared" si="18"/>
        <v>0</v>
      </c>
      <c r="AF58" s="201">
        <f t="shared" si="19"/>
        <v>0</v>
      </c>
      <c r="AG58" s="333" t="str">
        <f t="shared" si="20"/>
        <v>ok</v>
      </c>
    </row>
    <row r="59" spans="1:33">
      <c r="A59" s="339"/>
      <c r="B59" s="318" t="s">
        <v>23</v>
      </c>
      <c r="D59" s="165" t="s">
        <v>1039</v>
      </c>
      <c r="F59" s="203">
        <v>0</v>
      </c>
      <c r="H59" s="201">
        <f t="shared" si="17"/>
        <v>0</v>
      </c>
      <c r="I59" s="201">
        <f t="shared" si="17"/>
        <v>0</v>
      </c>
      <c r="J59" s="201">
        <f t="shared" si="17"/>
        <v>0</v>
      </c>
      <c r="K59" s="201">
        <f t="shared" si="17"/>
        <v>0</v>
      </c>
      <c r="L59" s="201">
        <f t="shared" si="17"/>
        <v>0</v>
      </c>
      <c r="M59" s="201">
        <f t="shared" si="17"/>
        <v>0</v>
      </c>
      <c r="N59" s="201">
        <f t="shared" si="17"/>
        <v>0</v>
      </c>
      <c r="O59" s="201">
        <f t="shared" si="17"/>
        <v>0</v>
      </c>
      <c r="P59" s="201">
        <f t="shared" si="17"/>
        <v>0</v>
      </c>
      <c r="Q59" s="201">
        <f t="shared" si="17"/>
        <v>0</v>
      </c>
      <c r="R59" s="201">
        <f t="shared" si="18"/>
        <v>0</v>
      </c>
      <c r="S59" s="201">
        <f t="shared" si="18"/>
        <v>0</v>
      </c>
      <c r="T59" s="201">
        <f t="shared" si="18"/>
        <v>0</v>
      </c>
      <c r="U59" s="201">
        <f t="shared" si="18"/>
        <v>0</v>
      </c>
      <c r="V59" s="201">
        <f t="shared" si="18"/>
        <v>0</v>
      </c>
      <c r="W59" s="201">
        <f t="shared" si="18"/>
        <v>0</v>
      </c>
      <c r="X59" s="201">
        <f t="shared" si="18"/>
        <v>0</v>
      </c>
      <c r="Y59" s="201">
        <f t="shared" si="18"/>
        <v>0</v>
      </c>
      <c r="Z59" s="201">
        <f t="shared" si="18"/>
        <v>0</v>
      </c>
      <c r="AA59" s="201">
        <f t="shared" si="18"/>
        <v>0</v>
      </c>
      <c r="AB59" s="201">
        <f t="shared" si="18"/>
        <v>0</v>
      </c>
      <c r="AC59" s="201">
        <f t="shared" si="18"/>
        <v>0</v>
      </c>
      <c r="AD59" s="201">
        <f t="shared" si="18"/>
        <v>0</v>
      </c>
      <c r="AE59" s="201">
        <f t="shared" si="18"/>
        <v>0</v>
      </c>
      <c r="AF59" s="201">
        <f t="shared" si="19"/>
        <v>0</v>
      </c>
      <c r="AG59" s="333" t="str">
        <f t="shared" si="20"/>
        <v>ok</v>
      </c>
    </row>
    <row r="60" spans="1:33">
      <c r="A60" s="318"/>
      <c r="B60" s="318"/>
      <c r="W60" s="165"/>
      <c r="AF60" s="201"/>
      <c r="AG60" s="333"/>
    </row>
    <row r="61" spans="1:33" s="318" customFormat="1">
      <c r="B61" s="318" t="s">
        <v>1063</v>
      </c>
      <c r="C61" s="318" t="s">
        <v>1064</v>
      </c>
      <c r="F61" s="342">
        <f>F15+SUM(F48:F59)</f>
        <v>3934849118.1871004</v>
      </c>
      <c r="G61" s="342"/>
      <c r="H61" s="342">
        <f t="shared" ref="H61:AE61" si="21">H15+SUM(H48:H59)</f>
        <v>892016894.51074409</v>
      </c>
      <c r="I61" s="342">
        <f t="shared" si="21"/>
        <v>840884477.86862814</v>
      </c>
      <c r="J61" s="342">
        <f t="shared" si="21"/>
        <v>863594163.73204005</v>
      </c>
      <c r="K61" s="342">
        <f t="shared" si="21"/>
        <v>0</v>
      </c>
      <c r="L61" s="342">
        <f t="shared" si="21"/>
        <v>0</v>
      </c>
      <c r="M61" s="342">
        <f t="shared" si="21"/>
        <v>0</v>
      </c>
      <c r="N61" s="342">
        <f t="shared" si="21"/>
        <v>95738806.253678828</v>
      </c>
      <c r="O61" s="342">
        <f t="shared" si="21"/>
        <v>90250842.336956188</v>
      </c>
      <c r="P61" s="342">
        <f t="shared" si="21"/>
        <v>92688238.117617533</v>
      </c>
      <c r="Q61" s="342">
        <f t="shared" si="21"/>
        <v>0</v>
      </c>
      <c r="R61" s="342">
        <f t="shared" si="21"/>
        <v>116508546.65190978</v>
      </c>
      <c r="S61" s="342">
        <f t="shared" si="21"/>
        <v>0</v>
      </c>
      <c r="T61" s="342">
        <f t="shared" si="21"/>
        <v>179399308.59873095</v>
      </c>
      <c r="U61" s="342">
        <f t="shared" si="21"/>
        <v>293692302.27687234</v>
      </c>
      <c r="V61" s="342">
        <f t="shared" si="21"/>
        <v>59799769.532910295</v>
      </c>
      <c r="W61" s="342">
        <f t="shared" si="21"/>
        <v>97897434.092290774</v>
      </c>
      <c r="X61" s="342">
        <f t="shared" si="21"/>
        <v>83758764.473709866</v>
      </c>
      <c r="Y61" s="342">
        <f t="shared" si="21"/>
        <v>66616037.094889522</v>
      </c>
      <c r="Z61" s="342">
        <f t="shared" si="21"/>
        <v>30500847.793230962</v>
      </c>
      <c r="AA61" s="342">
        <f t="shared" si="21"/>
        <v>41100999.583080642</v>
      </c>
      <c r="AB61" s="342">
        <f t="shared" si="21"/>
        <v>90401685.269810036</v>
      </c>
      <c r="AC61" s="342">
        <f t="shared" si="21"/>
        <v>0</v>
      </c>
      <c r="AD61" s="342">
        <f t="shared" si="21"/>
        <v>0</v>
      </c>
      <c r="AE61" s="342">
        <f t="shared" si="21"/>
        <v>0</v>
      </c>
      <c r="AF61" s="342">
        <f>SUM(H61:AE61)</f>
        <v>3934849118.1871004</v>
      </c>
      <c r="AG61" s="348" t="str">
        <f>IF(ABS(AF61-F61)&lt;1,"ok","err")</f>
        <v>ok</v>
      </c>
    </row>
    <row r="62" spans="1:33">
      <c r="A62" s="337"/>
      <c r="B62" s="318"/>
      <c r="AG62" s="333"/>
    </row>
    <row r="63" spans="1:33">
      <c r="A63" s="337" t="s">
        <v>1065</v>
      </c>
      <c r="B63" s="318"/>
      <c r="AG63" s="333"/>
    </row>
    <row r="64" spans="1:33">
      <c r="A64" s="337"/>
      <c r="B64" s="318"/>
      <c r="AG64" s="333"/>
    </row>
    <row r="65" spans="1:35">
      <c r="A65" s="318"/>
      <c r="B65" s="318" t="s">
        <v>336</v>
      </c>
      <c r="C65" s="165" t="s">
        <v>123</v>
      </c>
      <c r="D65" s="165" t="s">
        <v>671</v>
      </c>
      <c r="F65" s="203">
        <v>104203661.26000002</v>
      </c>
      <c r="H65" s="201">
        <f t="shared" ref="H65:Q68" si="22">IF(VLOOKUP($D65,$C$6:$AE$598,H$2,)=0,0,((VLOOKUP($D65,$C$6:$AE$598,H$2,)/VLOOKUP($D65,$C$6:$AE$598,4,))*$F65))</f>
        <v>35798800.737782717</v>
      </c>
      <c r="I65" s="201">
        <f t="shared" si="22"/>
        <v>33746732.883601114</v>
      </c>
      <c r="J65" s="201">
        <f t="shared" si="22"/>
        <v>34658127.638616189</v>
      </c>
      <c r="K65" s="201">
        <f t="shared" si="22"/>
        <v>0</v>
      </c>
      <c r="L65" s="201">
        <f t="shared" si="22"/>
        <v>0</v>
      </c>
      <c r="M65" s="201">
        <f t="shared" si="22"/>
        <v>0</v>
      </c>
      <c r="N65" s="201">
        <f t="shared" si="22"/>
        <v>0</v>
      </c>
      <c r="O65" s="201">
        <f t="shared" si="22"/>
        <v>0</v>
      </c>
      <c r="P65" s="201">
        <f t="shared" si="22"/>
        <v>0</v>
      </c>
      <c r="Q65" s="201">
        <f t="shared" si="22"/>
        <v>0</v>
      </c>
      <c r="R65" s="201">
        <f t="shared" ref="R65:AE68" si="23">IF(VLOOKUP($D65,$C$6:$AE$598,R$2,)=0,0,((VLOOKUP($D65,$C$6:$AE$598,R$2,)/VLOOKUP($D65,$C$6:$AE$598,4,))*$F65))</f>
        <v>0</v>
      </c>
      <c r="S65" s="201">
        <f t="shared" si="23"/>
        <v>0</v>
      </c>
      <c r="T65" s="201">
        <f t="shared" si="23"/>
        <v>0</v>
      </c>
      <c r="U65" s="201">
        <f t="shared" si="23"/>
        <v>0</v>
      </c>
      <c r="V65" s="201">
        <f t="shared" si="23"/>
        <v>0</v>
      </c>
      <c r="W65" s="201">
        <f t="shared" si="23"/>
        <v>0</v>
      </c>
      <c r="X65" s="201">
        <f t="shared" si="23"/>
        <v>0</v>
      </c>
      <c r="Y65" s="201">
        <f t="shared" si="23"/>
        <v>0</v>
      </c>
      <c r="Z65" s="201">
        <f t="shared" si="23"/>
        <v>0</v>
      </c>
      <c r="AA65" s="201">
        <f t="shared" si="23"/>
        <v>0</v>
      </c>
      <c r="AB65" s="201">
        <f t="shared" si="23"/>
        <v>0</v>
      </c>
      <c r="AC65" s="201">
        <f t="shared" si="23"/>
        <v>0</v>
      </c>
      <c r="AD65" s="201">
        <f t="shared" si="23"/>
        <v>0</v>
      </c>
      <c r="AE65" s="201">
        <f t="shared" si="23"/>
        <v>0</v>
      </c>
      <c r="AF65" s="201">
        <f>SUM(H65:AE65)</f>
        <v>104203661.26000002</v>
      </c>
      <c r="AG65" s="333" t="str">
        <f>IF(ABS(AF65-F65)&lt;1,"ok","err")</f>
        <v>ok</v>
      </c>
    </row>
    <row r="66" spans="1:35">
      <c r="A66" s="318"/>
      <c r="B66" s="318" t="s">
        <v>24</v>
      </c>
      <c r="C66" s="165" t="s">
        <v>124</v>
      </c>
      <c r="D66" s="165" t="s">
        <v>1267</v>
      </c>
      <c r="F66" s="340">
        <v>11300038.919999998</v>
      </c>
      <c r="H66" s="201">
        <f t="shared" si="22"/>
        <v>0</v>
      </c>
      <c r="I66" s="201">
        <f t="shared" si="22"/>
        <v>0</v>
      </c>
      <c r="J66" s="201">
        <f t="shared" si="22"/>
        <v>0</v>
      </c>
      <c r="K66" s="201">
        <f t="shared" si="22"/>
        <v>0</v>
      </c>
      <c r="L66" s="201">
        <f t="shared" si="22"/>
        <v>0</v>
      </c>
      <c r="M66" s="201">
        <f t="shared" si="22"/>
        <v>0</v>
      </c>
      <c r="N66" s="201">
        <f t="shared" si="22"/>
        <v>3882088.5632504434</v>
      </c>
      <c r="O66" s="201">
        <f t="shared" si="22"/>
        <v>3659558.5068364446</v>
      </c>
      <c r="P66" s="201">
        <f t="shared" si="22"/>
        <v>3758391.84991311</v>
      </c>
      <c r="Q66" s="201">
        <f t="shared" si="22"/>
        <v>0</v>
      </c>
      <c r="R66" s="201">
        <f t="shared" si="23"/>
        <v>0</v>
      </c>
      <c r="S66" s="201">
        <f t="shared" si="23"/>
        <v>0</v>
      </c>
      <c r="T66" s="201">
        <f t="shared" si="23"/>
        <v>0</v>
      </c>
      <c r="U66" s="201">
        <f t="shared" si="23"/>
        <v>0</v>
      </c>
      <c r="V66" s="201">
        <f t="shared" si="23"/>
        <v>0</v>
      </c>
      <c r="W66" s="201">
        <f t="shared" si="23"/>
        <v>0</v>
      </c>
      <c r="X66" s="201">
        <f t="shared" si="23"/>
        <v>0</v>
      </c>
      <c r="Y66" s="201">
        <f t="shared" si="23"/>
        <v>0</v>
      </c>
      <c r="Z66" s="201">
        <f t="shared" si="23"/>
        <v>0</v>
      </c>
      <c r="AA66" s="201">
        <f t="shared" si="23"/>
        <v>0</v>
      </c>
      <c r="AB66" s="201">
        <f t="shared" si="23"/>
        <v>0</v>
      </c>
      <c r="AC66" s="201">
        <f t="shared" si="23"/>
        <v>0</v>
      </c>
      <c r="AD66" s="201">
        <f t="shared" si="23"/>
        <v>0</v>
      </c>
      <c r="AE66" s="201">
        <f t="shared" si="23"/>
        <v>0</v>
      </c>
      <c r="AF66" s="201">
        <f>SUM(H66:AE66)</f>
        <v>11300038.919999998</v>
      </c>
      <c r="AG66" s="333" t="str">
        <f>IF(ABS(AF66-F66)&lt;1,"ok","err")</f>
        <v>ok</v>
      </c>
    </row>
    <row r="67" spans="1:35">
      <c r="A67" s="318"/>
      <c r="B67" s="318" t="s">
        <v>1435</v>
      </c>
      <c r="C67" s="165" t="s">
        <v>125</v>
      </c>
      <c r="D67" s="165" t="s">
        <v>1039</v>
      </c>
      <c r="F67" s="340">
        <v>21638588.689999979</v>
      </c>
      <c r="H67" s="201">
        <f t="shared" si="22"/>
        <v>0</v>
      </c>
      <c r="I67" s="201">
        <f t="shared" si="22"/>
        <v>0</v>
      </c>
      <c r="J67" s="201">
        <f t="shared" si="22"/>
        <v>0</v>
      </c>
      <c r="K67" s="201">
        <f t="shared" si="22"/>
        <v>0</v>
      </c>
      <c r="L67" s="201">
        <f t="shared" si="22"/>
        <v>0</v>
      </c>
      <c r="M67" s="201">
        <f t="shared" si="22"/>
        <v>0</v>
      </c>
      <c r="N67" s="201">
        <f t="shared" si="22"/>
        <v>0</v>
      </c>
      <c r="O67" s="201">
        <f t="shared" si="22"/>
        <v>0</v>
      </c>
      <c r="P67" s="201">
        <f t="shared" si="22"/>
        <v>0</v>
      </c>
      <c r="Q67" s="201">
        <f t="shared" si="22"/>
        <v>0</v>
      </c>
      <c r="R67" s="201">
        <f t="shared" si="23"/>
        <v>2379105.7310191332</v>
      </c>
      <c r="S67" s="201">
        <f t="shared" si="23"/>
        <v>0</v>
      </c>
      <c r="T67" s="201">
        <f t="shared" si="23"/>
        <v>3663335.742254877</v>
      </c>
      <c r="U67" s="201">
        <f t="shared" si="23"/>
        <v>5997199.858570694</v>
      </c>
      <c r="V67" s="201">
        <f t="shared" si="23"/>
        <v>1221111.9140849588</v>
      </c>
      <c r="W67" s="201">
        <f t="shared" si="23"/>
        <v>1999066.6195235646</v>
      </c>
      <c r="X67" s="201">
        <f t="shared" si="23"/>
        <v>1710354.8392706562</v>
      </c>
      <c r="Y67" s="201">
        <f t="shared" si="23"/>
        <v>1360300.16839659</v>
      </c>
      <c r="Z67" s="201">
        <f t="shared" si="23"/>
        <v>622827.62828222616</v>
      </c>
      <c r="AA67" s="201">
        <f t="shared" si="23"/>
        <v>839282.8377721362</v>
      </c>
      <c r="AB67" s="201">
        <f t="shared" si="23"/>
        <v>1846003.3508251433</v>
      </c>
      <c r="AC67" s="201">
        <f t="shared" si="23"/>
        <v>0</v>
      </c>
      <c r="AD67" s="201">
        <f t="shared" si="23"/>
        <v>0</v>
      </c>
      <c r="AE67" s="201">
        <f t="shared" si="23"/>
        <v>0</v>
      </c>
      <c r="AF67" s="201">
        <f>SUM(H67:AE67)</f>
        <v>21638588.689999975</v>
      </c>
      <c r="AG67" s="333" t="str">
        <f>IF(ABS(AF67-F67)&lt;1,"ok","err")</f>
        <v>ok</v>
      </c>
    </row>
    <row r="68" spans="1:35">
      <c r="A68" s="318"/>
      <c r="B68" s="318" t="s">
        <v>1436</v>
      </c>
      <c r="C68" s="165" t="s">
        <v>126</v>
      </c>
      <c r="D68" s="165" t="s">
        <v>1268</v>
      </c>
      <c r="F68" s="340">
        <f>10802513.78*$AJ$7</f>
        <v>7669784.7837999994</v>
      </c>
      <c r="H68" s="201">
        <f t="shared" si="22"/>
        <v>1738991.2290715512</v>
      </c>
      <c r="I68" s="201">
        <f t="shared" si="22"/>
        <v>1639308.3367305461</v>
      </c>
      <c r="J68" s="201">
        <f t="shared" si="22"/>
        <v>1683580.9786215993</v>
      </c>
      <c r="K68" s="201">
        <f t="shared" si="22"/>
        <v>0</v>
      </c>
      <c r="L68" s="201">
        <f t="shared" si="22"/>
        <v>0</v>
      </c>
      <c r="M68" s="201">
        <f t="shared" si="22"/>
        <v>0</v>
      </c>
      <c r="N68" s="201">
        <f t="shared" si="22"/>
        <v>186643.26357657649</v>
      </c>
      <c r="O68" s="201">
        <f t="shared" si="22"/>
        <v>175944.45150769042</v>
      </c>
      <c r="P68" s="201">
        <f t="shared" si="22"/>
        <v>180696.16631312677</v>
      </c>
      <c r="Q68" s="201">
        <f t="shared" si="22"/>
        <v>0</v>
      </c>
      <c r="R68" s="201">
        <f t="shared" si="23"/>
        <v>226999.56066526633</v>
      </c>
      <c r="S68" s="201">
        <f t="shared" si="23"/>
        <v>0</v>
      </c>
      <c r="T68" s="201">
        <f t="shared" si="23"/>
        <v>349532.84892681241</v>
      </c>
      <c r="U68" s="201">
        <f t="shared" si="23"/>
        <v>572215.73441134149</v>
      </c>
      <c r="V68" s="201">
        <f t="shared" si="23"/>
        <v>116510.94964227079</v>
      </c>
      <c r="W68" s="201">
        <f t="shared" si="23"/>
        <v>190738.57813711383</v>
      </c>
      <c r="X68" s="201">
        <f t="shared" si="23"/>
        <v>163191.48494919445</v>
      </c>
      <c r="Y68" s="201">
        <f t="shared" si="23"/>
        <v>129791.43237431442</v>
      </c>
      <c r="Z68" s="201">
        <f t="shared" si="23"/>
        <v>59426.36182448762</v>
      </c>
      <c r="AA68" s="201">
        <f t="shared" si="23"/>
        <v>80079.179737237471</v>
      </c>
      <c r="AB68" s="201">
        <f t="shared" si="23"/>
        <v>176134.22731086978</v>
      </c>
      <c r="AC68" s="201">
        <f t="shared" si="23"/>
        <v>0</v>
      </c>
      <c r="AD68" s="201">
        <f t="shared" si="23"/>
        <v>0</v>
      </c>
      <c r="AE68" s="201">
        <f t="shared" si="23"/>
        <v>0</v>
      </c>
      <c r="AF68" s="201">
        <f>SUM(H68:AE68)</f>
        <v>7669784.7837999985</v>
      </c>
      <c r="AG68" s="333" t="str">
        <f>IF(ABS(AF68-F68)&lt;1,"ok","err")</f>
        <v>ok</v>
      </c>
    </row>
    <row r="69" spans="1:35">
      <c r="A69" s="318"/>
      <c r="B69" s="318"/>
      <c r="F69" s="340"/>
      <c r="AF69" s="201"/>
      <c r="AG69" s="333"/>
    </row>
    <row r="70" spans="1:35">
      <c r="A70" s="349" t="s">
        <v>1066</v>
      </c>
      <c r="B70" s="318"/>
      <c r="C70" s="165" t="s">
        <v>1067</v>
      </c>
      <c r="F70" s="203">
        <f>SUM(F65:F68)</f>
        <v>144812073.65380001</v>
      </c>
      <c r="G70" s="347"/>
      <c r="H70" s="347">
        <f t="shared" ref="H70:AE70" si="24">SUM(H65:H68)</f>
        <v>37537791.966854267</v>
      </c>
      <c r="I70" s="347">
        <f t="shared" si="24"/>
        <v>35386041.220331661</v>
      </c>
      <c r="J70" s="347">
        <f t="shared" si="24"/>
        <v>36341708.617237791</v>
      </c>
      <c r="K70" s="347">
        <f t="shared" si="24"/>
        <v>0</v>
      </c>
      <c r="L70" s="347">
        <f t="shared" si="24"/>
        <v>0</v>
      </c>
      <c r="M70" s="347">
        <f t="shared" si="24"/>
        <v>0</v>
      </c>
      <c r="N70" s="347">
        <f t="shared" si="24"/>
        <v>4068731.8268270199</v>
      </c>
      <c r="O70" s="347">
        <f t="shared" si="24"/>
        <v>3835502.958344135</v>
      </c>
      <c r="P70" s="347">
        <f t="shared" si="24"/>
        <v>3939088.0162262367</v>
      </c>
      <c r="Q70" s="347">
        <f t="shared" si="24"/>
        <v>0</v>
      </c>
      <c r="R70" s="347">
        <f t="shared" si="24"/>
        <v>2606105.2916843994</v>
      </c>
      <c r="S70" s="347">
        <f t="shared" si="24"/>
        <v>0</v>
      </c>
      <c r="T70" s="347">
        <f t="shared" si="24"/>
        <v>4012868.5911816894</v>
      </c>
      <c r="U70" s="347">
        <f t="shared" si="24"/>
        <v>6569415.5929820351</v>
      </c>
      <c r="V70" s="347">
        <f t="shared" si="24"/>
        <v>1337622.8637272296</v>
      </c>
      <c r="W70" s="347">
        <f t="shared" si="24"/>
        <v>2189805.1976606785</v>
      </c>
      <c r="X70" s="347">
        <f t="shared" si="24"/>
        <v>1873546.3242198506</v>
      </c>
      <c r="Y70" s="347">
        <f t="shared" si="24"/>
        <v>1490091.6007709044</v>
      </c>
      <c r="Z70" s="347">
        <f t="shared" si="24"/>
        <v>682253.99010671373</v>
      </c>
      <c r="AA70" s="347">
        <f t="shared" si="24"/>
        <v>919362.01750937372</v>
      </c>
      <c r="AB70" s="347">
        <f t="shared" si="24"/>
        <v>2022137.5781360131</v>
      </c>
      <c r="AC70" s="347">
        <f t="shared" si="24"/>
        <v>0</v>
      </c>
      <c r="AD70" s="347">
        <f t="shared" si="24"/>
        <v>0</v>
      </c>
      <c r="AE70" s="347">
        <f t="shared" si="24"/>
        <v>0</v>
      </c>
      <c r="AF70" s="201">
        <f>SUM(H70:AE70)</f>
        <v>144812073.65380001</v>
      </c>
      <c r="AG70" s="333" t="str">
        <f>IF(ABS(AF70-F70)&lt;1,"ok","err")</f>
        <v>ok</v>
      </c>
    </row>
    <row r="71" spans="1:35">
      <c r="A71" s="349"/>
      <c r="B71" s="318"/>
      <c r="F71" s="203"/>
      <c r="G71" s="347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7"/>
      <c r="S71" s="347"/>
      <c r="T71" s="347"/>
      <c r="U71" s="347"/>
      <c r="V71" s="347"/>
      <c r="W71" s="347"/>
      <c r="X71" s="347"/>
      <c r="Y71" s="347"/>
      <c r="Z71" s="347"/>
      <c r="AA71" s="347"/>
      <c r="AB71" s="347"/>
      <c r="AC71" s="347"/>
      <c r="AD71" s="347"/>
      <c r="AE71" s="347"/>
      <c r="AF71" s="201"/>
      <c r="AG71" s="333"/>
    </row>
    <row r="72" spans="1:35">
      <c r="A72" s="87" t="s">
        <v>1246</v>
      </c>
      <c r="B72" s="318"/>
      <c r="F72" s="203">
        <f>F61+F70</f>
        <v>4079661191.8409004</v>
      </c>
      <c r="G72" s="347"/>
      <c r="H72" s="347">
        <f t="shared" ref="H72:AE72" si="25">H61+H70</f>
        <v>929554686.47759831</v>
      </c>
      <c r="I72" s="347">
        <f t="shared" si="25"/>
        <v>876270519.08895981</v>
      </c>
      <c r="J72" s="347">
        <f t="shared" si="25"/>
        <v>899935872.34927785</v>
      </c>
      <c r="K72" s="347">
        <f t="shared" si="25"/>
        <v>0</v>
      </c>
      <c r="L72" s="347">
        <f t="shared" si="25"/>
        <v>0</v>
      </c>
      <c r="M72" s="347">
        <f t="shared" si="25"/>
        <v>0</v>
      </c>
      <c r="N72" s="347">
        <f t="shared" si="25"/>
        <v>99807538.080505848</v>
      </c>
      <c r="O72" s="347">
        <f t="shared" si="25"/>
        <v>94086345.29530032</v>
      </c>
      <c r="P72" s="347">
        <f t="shared" si="25"/>
        <v>96627326.133843765</v>
      </c>
      <c r="Q72" s="347">
        <f t="shared" si="25"/>
        <v>0</v>
      </c>
      <c r="R72" s="347">
        <f t="shared" si="25"/>
        <v>119114651.94359419</v>
      </c>
      <c r="S72" s="347">
        <f t="shared" si="25"/>
        <v>0</v>
      </c>
      <c r="T72" s="347">
        <f t="shared" si="25"/>
        <v>183412177.18991265</v>
      </c>
      <c r="U72" s="347">
        <f t="shared" si="25"/>
        <v>300261717.86985439</v>
      </c>
      <c r="V72" s="347">
        <f t="shared" si="25"/>
        <v>61137392.396637522</v>
      </c>
      <c r="W72" s="347">
        <f t="shared" si="25"/>
        <v>100087239.28995146</v>
      </c>
      <c r="X72" s="347">
        <f t="shared" si="25"/>
        <v>85632310.797929719</v>
      </c>
      <c r="Y72" s="347">
        <f t="shared" si="25"/>
        <v>68106128.695660427</v>
      </c>
      <c r="Z72" s="347">
        <f t="shared" si="25"/>
        <v>31183101.783337675</v>
      </c>
      <c r="AA72" s="347">
        <f t="shared" si="25"/>
        <v>42020361.600590013</v>
      </c>
      <c r="AB72" s="347">
        <f t="shared" si="25"/>
        <v>92423822.847946048</v>
      </c>
      <c r="AC72" s="347">
        <f t="shared" si="25"/>
        <v>0</v>
      </c>
      <c r="AD72" s="347">
        <f t="shared" si="25"/>
        <v>0</v>
      </c>
      <c r="AE72" s="347">
        <f t="shared" si="25"/>
        <v>0</v>
      </c>
      <c r="AF72" s="201">
        <f>SUM(H72:AE72)</f>
        <v>4079661191.8409004</v>
      </c>
      <c r="AG72" s="333" t="str">
        <f>IF(ABS(AF72-F72)&lt;1,"ok","err")</f>
        <v>ok</v>
      </c>
    </row>
    <row r="73" spans="1:35">
      <c r="A73" s="87"/>
      <c r="B73" s="318"/>
      <c r="F73" s="203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347"/>
      <c r="Y73" s="347"/>
      <c r="Z73" s="347"/>
      <c r="AA73" s="347"/>
      <c r="AB73" s="347"/>
      <c r="AC73" s="347"/>
      <c r="AD73" s="347"/>
      <c r="AE73" s="347"/>
      <c r="AF73" s="201"/>
      <c r="AG73" s="333"/>
    </row>
    <row r="74" spans="1:35">
      <c r="A74" s="337" t="s">
        <v>1069</v>
      </c>
      <c r="B74" s="318"/>
      <c r="AG74" s="333"/>
      <c r="AH74" s="343"/>
      <c r="AI74" s="343"/>
    </row>
    <row r="75" spans="1:35">
      <c r="A75" s="318"/>
      <c r="B75" s="318"/>
      <c r="AG75" s="333"/>
      <c r="AI75" s="343"/>
    </row>
    <row r="76" spans="1:35">
      <c r="A76" s="337" t="s">
        <v>1070</v>
      </c>
      <c r="B76" s="318"/>
      <c r="AG76" s="333"/>
    </row>
    <row r="77" spans="1:35">
      <c r="A77" s="318" t="s">
        <v>1038</v>
      </c>
      <c r="B77" s="318"/>
      <c r="F77" s="342">
        <f>F61</f>
        <v>3934849118.1871004</v>
      </c>
      <c r="G77" s="343"/>
      <c r="H77" s="343">
        <f t="shared" ref="H77:M77" si="26">H61</f>
        <v>892016894.51074409</v>
      </c>
      <c r="I77" s="343">
        <f t="shared" si="26"/>
        <v>840884477.86862814</v>
      </c>
      <c r="J77" s="343">
        <f t="shared" si="26"/>
        <v>863594163.73204005</v>
      </c>
      <c r="K77" s="343">
        <f t="shared" si="26"/>
        <v>0</v>
      </c>
      <c r="L77" s="343">
        <f t="shared" si="26"/>
        <v>0</v>
      </c>
      <c r="M77" s="343">
        <f t="shared" si="26"/>
        <v>0</v>
      </c>
      <c r="N77" s="343">
        <f>N61</f>
        <v>95738806.253678828</v>
      </c>
      <c r="O77" s="343">
        <f>O61</f>
        <v>90250842.336956188</v>
      </c>
      <c r="P77" s="343">
        <f>P61</f>
        <v>92688238.117617533</v>
      </c>
      <c r="Q77" s="343">
        <f t="shared" ref="Q77:AB77" si="27">Q61</f>
        <v>0</v>
      </c>
      <c r="R77" s="343">
        <f t="shared" si="27"/>
        <v>116508546.65190978</v>
      </c>
      <c r="S77" s="343">
        <f t="shared" si="27"/>
        <v>0</v>
      </c>
      <c r="T77" s="343">
        <f t="shared" si="27"/>
        <v>179399308.59873095</v>
      </c>
      <c r="U77" s="343">
        <f t="shared" si="27"/>
        <v>293692302.27687234</v>
      </c>
      <c r="V77" s="343">
        <f t="shared" si="27"/>
        <v>59799769.532910295</v>
      </c>
      <c r="W77" s="343">
        <f t="shared" si="27"/>
        <v>97897434.092290774</v>
      </c>
      <c r="X77" s="343">
        <f t="shared" si="27"/>
        <v>83758764.473709866</v>
      </c>
      <c r="Y77" s="343">
        <f t="shared" si="27"/>
        <v>66616037.094889522</v>
      </c>
      <c r="Z77" s="343">
        <f t="shared" si="27"/>
        <v>30500847.793230962</v>
      </c>
      <c r="AA77" s="343">
        <f t="shared" si="27"/>
        <v>41100999.583080642</v>
      </c>
      <c r="AB77" s="343">
        <f t="shared" si="27"/>
        <v>90401685.269810036</v>
      </c>
      <c r="AC77" s="343">
        <f>AC61</f>
        <v>0</v>
      </c>
      <c r="AD77" s="343">
        <f>AD61</f>
        <v>0</v>
      </c>
      <c r="AE77" s="343">
        <f>AE61</f>
        <v>0</v>
      </c>
      <c r="AF77" s="201">
        <f>SUM(H77:AE77)</f>
        <v>3934849118.1871004</v>
      </c>
      <c r="AG77" s="333" t="str">
        <f>IF(ABS(AF77-F77)&lt;1,"ok","err")</f>
        <v>ok</v>
      </c>
    </row>
    <row r="78" spans="1:35">
      <c r="A78" s="318" t="s">
        <v>1065</v>
      </c>
      <c r="B78" s="318"/>
      <c r="F78" s="340">
        <f>F70</f>
        <v>144812073.65380001</v>
      </c>
      <c r="G78" s="350"/>
      <c r="H78" s="350">
        <f t="shared" ref="H78:AE78" si="28">H70</f>
        <v>37537791.966854267</v>
      </c>
      <c r="I78" s="350">
        <f t="shared" si="28"/>
        <v>35386041.220331661</v>
      </c>
      <c r="J78" s="350">
        <f t="shared" si="28"/>
        <v>36341708.617237791</v>
      </c>
      <c r="K78" s="350">
        <f>K70</f>
        <v>0</v>
      </c>
      <c r="L78" s="350">
        <f t="shared" si="28"/>
        <v>0</v>
      </c>
      <c r="M78" s="350">
        <f t="shared" si="28"/>
        <v>0</v>
      </c>
      <c r="N78" s="350">
        <f>N70</f>
        <v>4068731.8268270199</v>
      </c>
      <c r="O78" s="350">
        <f>O70</f>
        <v>3835502.958344135</v>
      </c>
      <c r="P78" s="350">
        <f>P70</f>
        <v>3939088.0162262367</v>
      </c>
      <c r="Q78" s="350">
        <f t="shared" si="28"/>
        <v>0</v>
      </c>
      <c r="R78" s="350">
        <f>R70</f>
        <v>2606105.2916843994</v>
      </c>
      <c r="S78" s="350">
        <f t="shared" si="28"/>
        <v>0</v>
      </c>
      <c r="T78" s="350">
        <f t="shared" si="28"/>
        <v>4012868.5911816894</v>
      </c>
      <c r="U78" s="350">
        <f>U70</f>
        <v>6569415.5929820351</v>
      </c>
      <c r="V78" s="350">
        <f>V70</f>
        <v>1337622.8637272296</v>
      </c>
      <c r="W78" s="350">
        <f>W70</f>
        <v>2189805.1976606785</v>
      </c>
      <c r="X78" s="350">
        <f t="shared" si="28"/>
        <v>1873546.3242198506</v>
      </c>
      <c r="Y78" s="350">
        <f t="shared" si="28"/>
        <v>1490091.6007709044</v>
      </c>
      <c r="Z78" s="350">
        <f>Z70</f>
        <v>682253.99010671373</v>
      </c>
      <c r="AA78" s="350">
        <f>AA70</f>
        <v>919362.01750937372</v>
      </c>
      <c r="AB78" s="350">
        <f t="shared" si="28"/>
        <v>2022137.5781360131</v>
      </c>
      <c r="AC78" s="350">
        <f t="shared" si="28"/>
        <v>0</v>
      </c>
      <c r="AD78" s="350">
        <f t="shared" si="28"/>
        <v>0</v>
      </c>
      <c r="AE78" s="201">
        <f t="shared" si="28"/>
        <v>0</v>
      </c>
      <c r="AF78" s="201">
        <f>SUM(H78:AE78)</f>
        <v>144812073.65380001</v>
      </c>
      <c r="AG78" s="333" t="str">
        <f>IF(ABS(AF78-F78)&lt;1,"ok","err")</f>
        <v>ok</v>
      </c>
    </row>
    <row r="79" spans="1:35">
      <c r="A79" s="318"/>
      <c r="B79" s="318"/>
      <c r="W79" s="165"/>
      <c r="AF79" s="201"/>
      <c r="AG79" s="333"/>
    </row>
    <row r="80" spans="1:35">
      <c r="A80" s="349" t="s">
        <v>1071</v>
      </c>
      <c r="B80" s="318"/>
      <c r="C80" s="165" t="s">
        <v>1072</v>
      </c>
      <c r="F80" s="342">
        <f>F77+F78</f>
        <v>4079661191.8409004</v>
      </c>
      <c r="G80" s="343"/>
      <c r="H80" s="343">
        <f t="shared" ref="H80:AE80" si="29">H77+H78</f>
        <v>929554686.47759831</v>
      </c>
      <c r="I80" s="343">
        <f t="shared" si="29"/>
        <v>876270519.08895981</v>
      </c>
      <c r="J80" s="343">
        <f t="shared" si="29"/>
        <v>899935872.34927785</v>
      </c>
      <c r="K80" s="343">
        <f>K77+K78</f>
        <v>0</v>
      </c>
      <c r="L80" s="343">
        <f t="shared" si="29"/>
        <v>0</v>
      </c>
      <c r="M80" s="343">
        <f t="shared" si="29"/>
        <v>0</v>
      </c>
      <c r="N80" s="343">
        <f t="shared" si="29"/>
        <v>99807538.080505848</v>
      </c>
      <c r="O80" s="343">
        <f>O77+O78</f>
        <v>94086345.29530032</v>
      </c>
      <c r="P80" s="343">
        <f>P77+P78</f>
        <v>96627326.133843765</v>
      </c>
      <c r="Q80" s="343">
        <f t="shared" si="29"/>
        <v>0</v>
      </c>
      <c r="R80" s="343">
        <f>R77+R78</f>
        <v>119114651.94359419</v>
      </c>
      <c r="S80" s="343">
        <f t="shared" si="29"/>
        <v>0</v>
      </c>
      <c r="T80" s="343">
        <f t="shared" si="29"/>
        <v>183412177.18991265</v>
      </c>
      <c r="U80" s="343">
        <f>U77+U78</f>
        <v>300261717.86985439</v>
      </c>
      <c r="V80" s="343">
        <f>V77+V78</f>
        <v>61137392.396637522</v>
      </c>
      <c r="W80" s="343">
        <f>W77+W78</f>
        <v>100087239.28995146</v>
      </c>
      <c r="X80" s="343">
        <f t="shared" si="29"/>
        <v>85632310.797929719</v>
      </c>
      <c r="Y80" s="343">
        <f t="shared" si="29"/>
        <v>68106128.695660427</v>
      </c>
      <c r="Z80" s="343">
        <f>Z77+Z78</f>
        <v>31183101.783337675</v>
      </c>
      <c r="AA80" s="343">
        <f>AA77+AA78</f>
        <v>42020361.600590013</v>
      </c>
      <c r="AB80" s="343">
        <f t="shared" si="29"/>
        <v>92423822.847946048</v>
      </c>
      <c r="AC80" s="343">
        <f t="shared" si="29"/>
        <v>0</v>
      </c>
      <c r="AD80" s="343">
        <f t="shared" si="29"/>
        <v>0</v>
      </c>
      <c r="AE80" s="343">
        <f t="shared" si="29"/>
        <v>0</v>
      </c>
      <c r="AF80" s="201">
        <f>SUM(H80:AE80)</f>
        <v>4079661191.8409004</v>
      </c>
      <c r="AG80" s="333" t="str">
        <f>IF(ABS(AF80-F80)&lt;1,"ok","err")</f>
        <v>ok</v>
      </c>
    </row>
    <row r="81" spans="1:33">
      <c r="A81" s="318"/>
      <c r="B81" s="318"/>
      <c r="W81" s="165"/>
      <c r="AG81" s="333"/>
    </row>
    <row r="82" spans="1:33">
      <c r="A82" s="351" t="s">
        <v>817</v>
      </c>
      <c r="B82" s="318"/>
      <c r="W82" s="165"/>
      <c r="AG82" s="333"/>
    </row>
    <row r="83" spans="1:33">
      <c r="A83" s="352" t="s">
        <v>642</v>
      </c>
      <c r="B83" s="318"/>
      <c r="C83" s="165" t="s">
        <v>2</v>
      </c>
      <c r="D83" s="165" t="s">
        <v>671</v>
      </c>
      <c r="F83" s="203">
        <f>1242995301.27-6476958.15</f>
        <v>1236518343.1199999</v>
      </c>
      <c r="H83" s="201">
        <f t="shared" ref="H83:Q87" si="30">IF(VLOOKUP($D83,$C$6:$AE$598,H$2,)=0,0,((VLOOKUP($D83,$C$6:$AE$598,H$2,)/VLOOKUP($D83,$C$6:$AE$598,4,))*$F83))</f>
        <v>424801520.77879214</v>
      </c>
      <c r="I83" s="201">
        <f t="shared" si="30"/>
        <v>400450941.22774071</v>
      </c>
      <c r="J83" s="201">
        <f t="shared" si="30"/>
        <v>411265881.11346704</v>
      </c>
      <c r="K83" s="201">
        <f t="shared" si="30"/>
        <v>0</v>
      </c>
      <c r="L83" s="201">
        <f t="shared" si="30"/>
        <v>0</v>
      </c>
      <c r="M83" s="201">
        <f t="shared" si="30"/>
        <v>0</v>
      </c>
      <c r="N83" s="201">
        <f t="shared" si="30"/>
        <v>0</v>
      </c>
      <c r="O83" s="201">
        <f t="shared" si="30"/>
        <v>0</v>
      </c>
      <c r="P83" s="201">
        <f t="shared" si="30"/>
        <v>0</v>
      </c>
      <c r="Q83" s="201">
        <f t="shared" si="30"/>
        <v>0</v>
      </c>
      <c r="R83" s="201">
        <f t="shared" ref="R83:AE87" si="31">IF(VLOOKUP($D83,$C$6:$AE$598,R$2,)=0,0,((VLOOKUP($D83,$C$6:$AE$598,R$2,)/VLOOKUP($D83,$C$6:$AE$598,4,))*$F83))</f>
        <v>0</v>
      </c>
      <c r="S83" s="201">
        <f t="shared" si="31"/>
        <v>0</v>
      </c>
      <c r="T83" s="201">
        <f t="shared" si="31"/>
        <v>0</v>
      </c>
      <c r="U83" s="201">
        <f t="shared" si="31"/>
        <v>0</v>
      </c>
      <c r="V83" s="201">
        <f t="shared" si="31"/>
        <v>0</v>
      </c>
      <c r="W83" s="201">
        <f t="shared" si="31"/>
        <v>0</v>
      </c>
      <c r="X83" s="201">
        <f t="shared" si="31"/>
        <v>0</v>
      </c>
      <c r="Y83" s="201">
        <f t="shared" si="31"/>
        <v>0</v>
      </c>
      <c r="Z83" s="201">
        <f t="shared" si="31"/>
        <v>0</v>
      </c>
      <c r="AA83" s="201">
        <f t="shared" si="31"/>
        <v>0</v>
      </c>
      <c r="AB83" s="201">
        <f t="shared" si="31"/>
        <v>0</v>
      </c>
      <c r="AC83" s="201">
        <f t="shared" si="31"/>
        <v>0</v>
      </c>
      <c r="AD83" s="201">
        <f t="shared" si="31"/>
        <v>0</v>
      </c>
      <c r="AE83" s="201">
        <f t="shared" si="31"/>
        <v>0</v>
      </c>
      <c r="AF83" s="201">
        <f>SUM(H83:AE83)</f>
        <v>1236518343.1199999</v>
      </c>
      <c r="AG83" s="333" t="str">
        <f>IF(ABS(AF83-F83)&lt;1,"ok","err")</f>
        <v>ok</v>
      </c>
    </row>
    <row r="84" spans="1:33">
      <c r="A84" s="318" t="s">
        <v>638</v>
      </c>
      <c r="B84" s="318"/>
      <c r="C84" s="165" t="s">
        <v>3</v>
      </c>
      <c r="D84" s="165" t="s">
        <v>1266</v>
      </c>
      <c r="F84" s="340">
        <f>140997721.22-1142141.95</f>
        <v>139855579.27000001</v>
      </c>
      <c r="H84" s="201">
        <f t="shared" si="30"/>
        <v>0</v>
      </c>
      <c r="I84" s="201">
        <f t="shared" si="30"/>
        <v>0</v>
      </c>
      <c r="J84" s="201">
        <f t="shared" si="30"/>
        <v>0</v>
      </c>
      <c r="K84" s="201">
        <f t="shared" si="30"/>
        <v>0</v>
      </c>
      <c r="L84" s="201">
        <f t="shared" si="30"/>
        <v>0</v>
      </c>
      <c r="M84" s="201">
        <f t="shared" si="30"/>
        <v>0</v>
      </c>
      <c r="N84" s="201">
        <f t="shared" si="30"/>
        <v>48046891.575735644</v>
      </c>
      <c r="O84" s="201">
        <f t="shared" si="30"/>
        <v>45292735.579893678</v>
      </c>
      <c r="P84" s="201">
        <f t="shared" si="30"/>
        <v>46515952.114370681</v>
      </c>
      <c r="Q84" s="201">
        <f t="shared" si="30"/>
        <v>0</v>
      </c>
      <c r="R84" s="201">
        <f t="shared" si="31"/>
        <v>0</v>
      </c>
      <c r="S84" s="201">
        <f t="shared" si="31"/>
        <v>0</v>
      </c>
      <c r="T84" s="201">
        <f t="shared" si="31"/>
        <v>0</v>
      </c>
      <c r="U84" s="201">
        <f t="shared" si="31"/>
        <v>0</v>
      </c>
      <c r="V84" s="201">
        <f t="shared" si="31"/>
        <v>0</v>
      </c>
      <c r="W84" s="201">
        <f t="shared" si="31"/>
        <v>0</v>
      </c>
      <c r="X84" s="201">
        <f t="shared" si="31"/>
        <v>0</v>
      </c>
      <c r="Y84" s="201">
        <f t="shared" si="31"/>
        <v>0</v>
      </c>
      <c r="Z84" s="201">
        <f t="shared" si="31"/>
        <v>0</v>
      </c>
      <c r="AA84" s="201">
        <f t="shared" si="31"/>
        <v>0</v>
      </c>
      <c r="AB84" s="201">
        <f t="shared" si="31"/>
        <v>0</v>
      </c>
      <c r="AC84" s="201">
        <f t="shared" si="31"/>
        <v>0</v>
      </c>
      <c r="AD84" s="201">
        <f t="shared" si="31"/>
        <v>0</v>
      </c>
      <c r="AE84" s="201">
        <f t="shared" si="31"/>
        <v>0</v>
      </c>
      <c r="AF84" s="201">
        <f>SUM(H84:AE84)</f>
        <v>139855579.27000001</v>
      </c>
      <c r="AG84" s="333" t="str">
        <f>IF(ABS(AF84-F84)&lt;1,"ok","err")</f>
        <v>ok</v>
      </c>
    </row>
    <row r="85" spans="1:33">
      <c r="A85" s="318" t="s">
        <v>335</v>
      </c>
      <c r="B85" s="318"/>
      <c r="C85" s="165" t="s">
        <v>25</v>
      </c>
      <c r="D85" s="165" t="s">
        <v>1039</v>
      </c>
      <c r="F85" s="340">
        <f>419721414.9-3522216.64</f>
        <v>416199198.25999999</v>
      </c>
      <c r="H85" s="201">
        <f t="shared" si="30"/>
        <v>0</v>
      </c>
      <c r="I85" s="201">
        <f t="shared" si="30"/>
        <v>0</v>
      </c>
      <c r="J85" s="201">
        <f t="shared" si="30"/>
        <v>0</v>
      </c>
      <c r="K85" s="201">
        <f t="shared" si="30"/>
        <v>0</v>
      </c>
      <c r="L85" s="201">
        <f t="shared" si="30"/>
        <v>0</v>
      </c>
      <c r="M85" s="201">
        <f t="shared" si="30"/>
        <v>0</v>
      </c>
      <c r="N85" s="201">
        <f t="shared" si="30"/>
        <v>0</v>
      </c>
      <c r="O85" s="201">
        <f t="shared" si="30"/>
        <v>0</v>
      </c>
      <c r="P85" s="201">
        <f t="shared" si="30"/>
        <v>0</v>
      </c>
      <c r="Q85" s="201">
        <f t="shared" si="30"/>
        <v>0</v>
      </c>
      <c r="R85" s="201">
        <f t="shared" si="31"/>
        <v>45760003.668055087</v>
      </c>
      <c r="S85" s="201">
        <f t="shared" si="31"/>
        <v>0</v>
      </c>
      <c r="T85" s="201">
        <f t="shared" si="31"/>
        <v>70461037.026333123</v>
      </c>
      <c r="U85" s="201">
        <f t="shared" si="31"/>
        <v>115350858.07586052</v>
      </c>
      <c r="V85" s="201">
        <f t="shared" si="31"/>
        <v>23487012.34211104</v>
      </c>
      <c r="W85" s="201">
        <f t="shared" si="31"/>
        <v>38450286.025286838</v>
      </c>
      <c r="X85" s="201">
        <f t="shared" si="31"/>
        <v>32897169.175064117</v>
      </c>
      <c r="Y85" s="201">
        <f t="shared" si="31"/>
        <v>26164175.843004312</v>
      </c>
      <c r="Z85" s="201">
        <f t="shared" si="31"/>
        <v>11979540.960776037</v>
      </c>
      <c r="AA85" s="201">
        <f t="shared" si="31"/>
        <v>16142866.302346684</v>
      </c>
      <c r="AB85" s="201">
        <f t="shared" si="31"/>
        <v>35506248.841162242</v>
      </c>
      <c r="AC85" s="201">
        <f t="shared" si="31"/>
        <v>0</v>
      </c>
      <c r="AD85" s="201">
        <f t="shared" si="31"/>
        <v>0</v>
      </c>
      <c r="AE85" s="201">
        <f t="shared" si="31"/>
        <v>0</v>
      </c>
      <c r="AF85" s="201">
        <f>SUM(H85:AE85)</f>
        <v>416199198.26000005</v>
      </c>
      <c r="AG85" s="333" t="str">
        <f>IF(ABS(AF85-F85)&lt;1,"ok","err")</f>
        <v>ok</v>
      </c>
    </row>
    <row r="86" spans="1:33">
      <c r="A86" s="352" t="s">
        <v>639</v>
      </c>
      <c r="B86" s="318"/>
      <c r="C86" s="165" t="s">
        <v>26</v>
      </c>
      <c r="D86" s="165" t="s">
        <v>1268</v>
      </c>
      <c r="F86" s="340">
        <v>81570484.758699998</v>
      </c>
      <c r="H86" s="201">
        <f t="shared" si="30"/>
        <v>18494698.553485889</v>
      </c>
      <c r="I86" s="201">
        <f t="shared" si="30"/>
        <v>17434540.794225208</v>
      </c>
      <c r="J86" s="201">
        <f t="shared" si="30"/>
        <v>17905393.753258605</v>
      </c>
      <c r="K86" s="201">
        <f t="shared" si="30"/>
        <v>0</v>
      </c>
      <c r="L86" s="201">
        <f t="shared" si="30"/>
        <v>0</v>
      </c>
      <c r="M86" s="201">
        <f t="shared" si="30"/>
        <v>0</v>
      </c>
      <c r="N86" s="201">
        <f t="shared" si="30"/>
        <v>1985007.6522413359</v>
      </c>
      <c r="O86" s="201">
        <f t="shared" si="30"/>
        <v>1871222.5446533649</v>
      </c>
      <c r="P86" s="201">
        <f t="shared" si="30"/>
        <v>1921758.4711546164</v>
      </c>
      <c r="Q86" s="201">
        <f t="shared" si="30"/>
        <v>0</v>
      </c>
      <c r="R86" s="201">
        <f t="shared" si="31"/>
        <v>2414209.0978338649</v>
      </c>
      <c r="S86" s="201">
        <f t="shared" si="31"/>
        <v>0</v>
      </c>
      <c r="T86" s="201">
        <f t="shared" si="31"/>
        <v>3717387.7403015564</v>
      </c>
      <c r="U86" s="201">
        <f t="shared" si="31"/>
        <v>6085687.6898393296</v>
      </c>
      <c r="V86" s="201">
        <f t="shared" si="31"/>
        <v>1239129.2467671854</v>
      </c>
      <c r="W86" s="201">
        <f t="shared" si="31"/>
        <v>2028562.5632797766</v>
      </c>
      <c r="X86" s="201">
        <f t="shared" si="31"/>
        <v>1735590.8817564815</v>
      </c>
      <c r="Y86" s="201">
        <f t="shared" si="31"/>
        <v>1380371.2039822643</v>
      </c>
      <c r="Z86" s="201">
        <f t="shared" si="31"/>
        <v>632017.36138777202</v>
      </c>
      <c r="AA86" s="201">
        <f t="shared" si="31"/>
        <v>851666.33671945031</v>
      </c>
      <c r="AB86" s="201">
        <f t="shared" si="31"/>
        <v>1873240.8678132936</v>
      </c>
      <c r="AC86" s="201">
        <f t="shared" si="31"/>
        <v>0</v>
      </c>
      <c r="AD86" s="201">
        <f t="shared" si="31"/>
        <v>0</v>
      </c>
      <c r="AE86" s="201">
        <f t="shared" si="31"/>
        <v>0</v>
      </c>
      <c r="AF86" s="201">
        <f>SUM(H86:AE86)</f>
        <v>81570484.758699983</v>
      </c>
      <c r="AG86" s="333" t="str">
        <f>IF(ABS(AF86-F86)&lt;1,"ok","err")</f>
        <v>ok</v>
      </c>
    </row>
    <row r="87" spans="1:33">
      <c r="A87" s="352" t="s">
        <v>334</v>
      </c>
      <c r="B87" s="318"/>
      <c r="C87" s="165" t="s">
        <v>1073</v>
      </c>
      <c r="D87" s="165" t="s">
        <v>1268</v>
      </c>
      <c r="F87" s="340">
        <v>0</v>
      </c>
      <c r="H87" s="201">
        <f t="shared" si="30"/>
        <v>0</v>
      </c>
      <c r="I87" s="201">
        <f t="shared" si="30"/>
        <v>0</v>
      </c>
      <c r="J87" s="201">
        <f t="shared" si="30"/>
        <v>0</v>
      </c>
      <c r="K87" s="201">
        <f t="shared" si="30"/>
        <v>0</v>
      </c>
      <c r="L87" s="201">
        <f t="shared" si="30"/>
        <v>0</v>
      </c>
      <c r="M87" s="201">
        <f t="shared" si="30"/>
        <v>0</v>
      </c>
      <c r="N87" s="201">
        <f t="shared" si="30"/>
        <v>0</v>
      </c>
      <c r="O87" s="201">
        <f t="shared" si="30"/>
        <v>0</v>
      </c>
      <c r="P87" s="201">
        <f t="shared" si="30"/>
        <v>0</v>
      </c>
      <c r="Q87" s="201">
        <f t="shared" si="30"/>
        <v>0</v>
      </c>
      <c r="R87" s="201">
        <f t="shared" si="31"/>
        <v>0</v>
      </c>
      <c r="S87" s="201">
        <f t="shared" si="31"/>
        <v>0</v>
      </c>
      <c r="T87" s="201">
        <f t="shared" si="31"/>
        <v>0</v>
      </c>
      <c r="U87" s="201">
        <f t="shared" si="31"/>
        <v>0</v>
      </c>
      <c r="V87" s="201">
        <f t="shared" si="31"/>
        <v>0</v>
      </c>
      <c r="W87" s="201">
        <f t="shared" si="31"/>
        <v>0</v>
      </c>
      <c r="X87" s="201">
        <f t="shared" si="31"/>
        <v>0</v>
      </c>
      <c r="Y87" s="201">
        <f t="shared" si="31"/>
        <v>0</v>
      </c>
      <c r="Z87" s="201">
        <f t="shared" si="31"/>
        <v>0</v>
      </c>
      <c r="AA87" s="201">
        <f t="shared" si="31"/>
        <v>0</v>
      </c>
      <c r="AB87" s="201">
        <f t="shared" si="31"/>
        <v>0</v>
      </c>
      <c r="AC87" s="201">
        <f t="shared" si="31"/>
        <v>0</v>
      </c>
      <c r="AD87" s="201">
        <f t="shared" si="31"/>
        <v>0</v>
      </c>
      <c r="AE87" s="201">
        <f t="shared" si="31"/>
        <v>0</v>
      </c>
      <c r="AF87" s="201">
        <f>SUM(H87:AE87)</f>
        <v>0</v>
      </c>
      <c r="AG87" s="333" t="str">
        <f>IF(ABS(AF87-F87)&lt;1,"ok","err")</f>
        <v>ok</v>
      </c>
    </row>
    <row r="88" spans="1:33">
      <c r="A88" s="318"/>
      <c r="B88" s="318"/>
      <c r="W88" s="165"/>
      <c r="AF88" s="201"/>
      <c r="AG88" s="333"/>
    </row>
    <row r="89" spans="1:33">
      <c r="A89" s="318" t="s">
        <v>1074</v>
      </c>
      <c r="B89" s="318"/>
      <c r="C89" s="165" t="s">
        <v>1075</v>
      </c>
      <c r="F89" s="342">
        <f>SUM(F83:F87)</f>
        <v>1874143605.4086998</v>
      </c>
      <c r="G89" s="343"/>
      <c r="H89" s="343">
        <f t="shared" ref="H89:M89" si="32">SUM(H83:H87)</f>
        <v>443296219.33227801</v>
      </c>
      <c r="I89" s="343">
        <f t="shared" si="32"/>
        <v>417885482.02196592</v>
      </c>
      <c r="J89" s="343">
        <f t="shared" si="32"/>
        <v>429171274.86672562</v>
      </c>
      <c r="K89" s="343">
        <f t="shared" si="32"/>
        <v>0</v>
      </c>
      <c r="L89" s="343">
        <f t="shared" si="32"/>
        <v>0</v>
      </c>
      <c r="M89" s="343">
        <f t="shared" si="32"/>
        <v>0</v>
      </c>
      <c r="N89" s="343">
        <f>SUM(N83:N87)</f>
        <v>50031899.227976978</v>
      </c>
      <c r="O89" s="343">
        <f>SUM(O83:O87)</f>
        <v>47163958.124547042</v>
      </c>
      <c r="P89" s="343">
        <f>SUM(P83:P87)</f>
        <v>48437710.585525297</v>
      </c>
      <c r="Q89" s="343">
        <f t="shared" ref="Q89:AB89" si="33">SUM(Q83:Q87)</f>
        <v>0</v>
      </c>
      <c r="R89" s="343">
        <f t="shared" si="33"/>
        <v>48174212.765888952</v>
      </c>
      <c r="S89" s="343">
        <f t="shared" si="33"/>
        <v>0</v>
      </c>
      <c r="T89" s="343">
        <f t="shared" si="33"/>
        <v>74178424.766634673</v>
      </c>
      <c r="U89" s="343">
        <f t="shared" si="33"/>
        <v>121436545.76569985</v>
      </c>
      <c r="V89" s="343">
        <f t="shared" si="33"/>
        <v>24726141.588878226</v>
      </c>
      <c r="W89" s="343">
        <f t="shared" si="33"/>
        <v>40478848.588566616</v>
      </c>
      <c r="X89" s="343">
        <f t="shared" si="33"/>
        <v>34632760.056820601</v>
      </c>
      <c r="Y89" s="343">
        <f t="shared" si="33"/>
        <v>27544547.046986576</v>
      </c>
      <c r="Z89" s="343">
        <f t="shared" si="33"/>
        <v>12611558.322163809</v>
      </c>
      <c r="AA89" s="343">
        <f t="shared" si="33"/>
        <v>16994532.639066134</v>
      </c>
      <c r="AB89" s="343">
        <f t="shared" si="33"/>
        <v>37379489.708975539</v>
      </c>
      <c r="AC89" s="343">
        <f>SUM(AC83:AC87)</f>
        <v>0</v>
      </c>
      <c r="AD89" s="343">
        <f>SUM(AD83:AD87)</f>
        <v>0</v>
      </c>
      <c r="AE89" s="343">
        <f>SUM(AE83:AE87)</f>
        <v>0</v>
      </c>
      <c r="AF89" s="201">
        <f>SUM(H89:AE89)</f>
        <v>1874143605.4087</v>
      </c>
      <c r="AG89" s="333" t="str">
        <f>IF(ABS(AF89-F89)&lt;1,"ok","err")</f>
        <v>ok</v>
      </c>
    </row>
    <row r="90" spans="1:33">
      <c r="A90" s="318"/>
      <c r="B90" s="318"/>
      <c r="F90" s="342"/>
      <c r="H90" s="343"/>
      <c r="I90" s="343"/>
      <c r="J90" s="343"/>
      <c r="K90" s="343"/>
      <c r="L90" s="343"/>
      <c r="M90" s="343"/>
      <c r="N90" s="343"/>
      <c r="O90" s="343"/>
      <c r="P90" s="343"/>
      <c r="Q90" s="343"/>
      <c r="R90" s="343"/>
      <c r="S90" s="343"/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201"/>
      <c r="AG90" s="333"/>
    </row>
    <row r="91" spans="1:33">
      <c r="A91" s="337" t="s">
        <v>1076</v>
      </c>
      <c r="B91" s="318"/>
      <c r="C91" s="165" t="s">
        <v>1077</v>
      </c>
      <c r="F91" s="342">
        <f>F80-F89</f>
        <v>2205517586.4322004</v>
      </c>
      <c r="G91" s="343"/>
      <c r="H91" s="343">
        <f t="shared" ref="H91:M91" si="34">H80-H89</f>
        <v>486258467.1453203</v>
      </c>
      <c r="I91" s="343">
        <f t="shared" si="34"/>
        <v>458385037.06699389</v>
      </c>
      <c r="J91" s="343">
        <f t="shared" si="34"/>
        <v>470764597.48255223</v>
      </c>
      <c r="K91" s="343">
        <f t="shared" si="34"/>
        <v>0</v>
      </c>
      <c r="L91" s="343">
        <f t="shared" si="34"/>
        <v>0</v>
      </c>
      <c r="M91" s="343">
        <f t="shared" si="34"/>
        <v>0</v>
      </c>
      <c r="N91" s="343">
        <f>N80-N89</f>
        <v>49775638.85252887</v>
      </c>
      <c r="O91" s="343">
        <f>O80-O89</f>
        <v>46922387.170753278</v>
      </c>
      <c r="P91" s="343">
        <f>P80-P89</f>
        <v>48189615.548318468</v>
      </c>
      <c r="Q91" s="343">
        <f t="shared" ref="Q91:AB91" si="35">Q80-Q89</f>
        <v>0</v>
      </c>
      <c r="R91" s="343">
        <f t="shared" si="35"/>
        <v>70940439.177705228</v>
      </c>
      <c r="S91" s="343">
        <f t="shared" si="35"/>
        <v>0</v>
      </c>
      <c r="T91" s="343">
        <f t="shared" si="35"/>
        <v>109233752.42327797</v>
      </c>
      <c r="U91" s="343">
        <f t="shared" si="35"/>
        <v>178825172.10415453</v>
      </c>
      <c r="V91" s="343">
        <f t="shared" si="35"/>
        <v>36411250.8077593</v>
      </c>
      <c r="W91" s="343">
        <f t="shared" si="35"/>
        <v>59608390.701384842</v>
      </c>
      <c r="X91" s="343">
        <f t="shared" si="35"/>
        <v>50999550.741109118</v>
      </c>
      <c r="Y91" s="343">
        <f t="shared" si="35"/>
        <v>40561581.648673847</v>
      </c>
      <c r="Z91" s="343">
        <f t="shared" si="35"/>
        <v>18571543.461173866</v>
      </c>
      <c r="AA91" s="343">
        <f t="shared" si="35"/>
        <v>25025828.961523879</v>
      </c>
      <c r="AB91" s="343">
        <f t="shared" si="35"/>
        <v>55044333.138970509</v>
      </c>
      <c r="AC91" s="343">
        <f>AC80-AC89</f>
        <v>0</v>
      </c>
      <c r="AD91" s="343">
        <f>AD80-AD89</f>
        <v>0</v>
      </c>
      <c r="AE91" s="343">
        <f>AE80-AE89</f>
        <v>0</v>
      </c>
      <c r="AF91" s="201">
        <f>SUM(H91:AE91)</f>
        <v>2205517586.4322</v>
      </c>
      <c r="AG91" s="333" t="str">
        <f>IF(ABS(AF91-F91)&lt;1,"ok","err")</f>
        <v>ok</v>
      </c>
    </row>
    <row r="92" spans="1:33">
      <c r="A92" s="318"/>
      <c r="B92" s="318"/>
      <c r="W92" s="165"/>
      <c r="AG92" s="333"/>
    </row>
    <row r="93" spans="1:33">
      <c r="A93" s="337" t="s">
        <v>1078</v>
      </c>
      <c r="B93" s="318"/>
      <c r="W93" s="165"/>
      <c r="AG93" s="333"/>
    </row>
    <row r="94" spans="1:33">
      <c r="A94" s="318" t="s">
        <v>20</v>
      </c>
      <c r="B94" s="318"/>
      <c r="C94" s="165" t="s">
        <v>1080</v>
      </c>
      <c r="D94" s="165" t="s">
        <v>1081</v>
      </c>
      <c r="F94" s="203">
        <v>82477382</v>
      </c>
      <c r="G94" s="347"/>
      <c r="H94" s="201">
        <f t="shared" ref="H94:Q97" si="36">IF(VLOOKUP($D94,$C$6:$AE$598,H$2,)=0,0,((VLOOKUP($D94,$C$6:$AE$598,H$2,)/VLOOKUP($D94,$C$6:$AE$598,4,))*$F94))</f>
        <v>4322128.0568862436</v>
      </c>
      <c r="I94" s="201">
        <f t="shared" si="36"/>
        <v>4074373.946010909</v>
      </c>
      <c r="J94" s="201">
        <f t="shared" si="36"/>
        <v>4184410.1695817211</v>
      </c>
      <c r="K94" s="201">
        <f t="shared" si="36"/>
        <v>55761560.788281642</v>
      </c>
      <c r="L94" s="201">
        <f t="shared" si="36"/>
        <v>0</v>
      </c>
      <c r="M94" s="201">
        <f t="shared" si="36"/>
        <v>0</v>
      </c>
      <c r="N94" s="201">
        <f t="shared" si="36"/>
        <v>942062.23100620916</v>
      </c>
      <c r="O94" s="201">
        <f t="shared" si="36"/>
        <v>888061.10300623858</v>
      </c>
      <c r="P94" s="201">
        <f t="shared" si="36"/>
        <v>912044.88342742692</v>
      </c>
      <c r="Q94" s="201">
        <f t="shared" si="36"/>
        <v>0</v>
      </c>
      <c r="R94" s="201">
        <f t="shared" ref="R94:AE97" si="37">IF(VLOOKUP($D94,$C$6:$AE$598,R$2,)=0,0,((VLOOKUP($D94,$C$6:$AE$598,R$2,)/VLOOKUP($D94,$C$6:$AE$598,4,))*$F94))</f>
        <v>781334.83578031405</v>
      </c>
      <c r="S94" s="201">
        <f t="shared" si="37"/>
        <v>0</v>
      </c>
      <c r="T94" s="201">
        <f t="shared" si="37"/>
        <v>1643236.3678184238</v>
      </c>
      <c r="U94" s="201">
        <f t="shared" si="37"/>
        <v>2205449.150694442</v>
      </c>
      <c r="V94" s="201">
        <f t="shared" si="37"/>
        <v>547745.45593947452</v>
      </c>
      <c r="W94" s="201">
        <f t="shared" si="37"/>
        <v>735149.71689814737</v>
      </c>
      <c r="X94" s="201">
        <f t="shared" si="37"/>
        <v>121356.69634121211</v>
      </c>
      <c r="Y94" s="201">
        <f t="shared" si="37"/>
        <v>96518.880572992726</v>
      </c>
      <c r="Z94" s="201">
        <f t="shared" si="37"/>
        <v>34936.92795360164</v>
      </c>
      <c r="AA94" s="201">
        <f t="shared" si="37"/>
        <v>1410410.1146917003</v>
      </c>
      <c r="AB94" s="201">
        <f t="shared" si="37"/>
        <v>146401.10972676927</v>
      </c>
      <c r="AC94" s="201">
        <f t="shared" si="37"/>
        <v>2120281.3747839313</v>
      </c>
      <c r="AD94" s="201">
        <f t="shared" si="37"/>
        <v>1549920.1905986255</v>
      </c>
      <c r="AE94" s="201">
        <f t="shared" si="37"/>
        <v>0</v>
      </c>
      <c r="AF94" s="201">
        <f>SUM(H94:AE94)</f>
        <v>82477382.00000003</v>
      </c>
      <c r="AG94" s="333" t="str">
        <f>IF(ABS(AF94-F94)&lt;1,"ok","err")</f>
        <v>ok</v>
      </c>
    </row>
    <row r="95" spans="1:33">
      <c r="A95" s="318" t="s">
        <v>1068</v>
      </c>
      <c r="B95" s="318"/>
      <c r="C95" s="165" t="s">
        <v>4</v>
      </c>
      <c r="D95" s="165" t="s">
        <v>1064</v>
      </c>
      <c r="F95" s="340">
        <v>90578486</v>
      </c>
      <c r="G95" s="201"/>
      <c r="H95" s="201">
        <f t="shared" si="36"/>
        <v>20533834.300724264</v>
      </c>
      <c r="I95" s="201">
        <f t="shared" si="36"/>
        <v>19356788.689608704</v>
      </c>
      <c r="J95" s="201">
        <f t="shared" si="36"/>
        <v>19879555.611861411</v>
      </c>
      <c r="K95" s="201">
        <f t="shared" si="36"/>
        <v>0</v>
      </c>
      <c r="L95" s="201">
        <f t="shared" si="36"/>
        <v>0</v>
      </c>
      <c r="M95" s="201">
        <f t="shared" si="36"/>
        <v>0</v>
      </c>
      <c r="N95" s="201">
        <f t="shared" si="36"/>
        <v>2203864.9669751367</v>
      </c>
      <c r="O95" s="201">
        <f t="shared" si="36"/>
        <v>2077534.4653806076</v>
      </c>
      <c r="P95" s="201">
        <f t="shared" si="36"/>
        <v>2133642.2379949768</v>
      </c>
      <c r="Q95" s="201">
        <f t="shared" si="36"/>
        <v>0</v>
      </c>
      <c r="R95" s="201">
        <f t="shared" si="37"/>
        <v>2681975.2028134968</v>
      </c>
      <c r="S95" s="201">
        <f t="shared" si="37"/>
        <v>0</v>
      </c>
      <c r="T95" s="201">
        <f t="shared" si="37"/>
        <v>4129692.7211802597</v>
      </c>
      <c r="U95" s="201">
        <f t="shared" si="37"/>
        <v>6760666.8746551219</v>
      </c>
      <c r="V95" s="201">
        <f t="shared" si="37"/>
        <v>1376564.2403934193</v>
      </c>
      <c r="W95" s="201">
        <f t="shared" si="37"/>
        <v>2253555.6248850408</v>
      </c>
      <c r="X95" s="201">
        <f t="shared" si="37"/>
        <v>1928089.7049375707</v>
      </c>
      <c r="Y95" s="201">
        <f t="shared" si="37"/>
        <v>1533471.7042860747</v>
      </c>
      <c r="Z95" s="201">
        <f t="shared" si="37"/>
        <v>702116.02321874222</v>
      </c>
      <c r="AA95" s="201">
        <f t="shared" si="37"/>
        <v>946126.8281202378</v>
      </c>
      <c r="AB95" s="201">
        <f t="shared" si="37"/>
        <v>2081006.8029649258</v>
      </c>
      <c r="AC95" s="201">
        <f t="shared" si="37"/>
        <v>0</v>
      </c>
      <c r="AD95" s="201">
        <f t="shared" si="37"/>
        <v>0</v>
      </c>
      <c r="AE95" s="201">
        <f t="shared" si="37"/>
        <v>0</v>
      </c>
      <c r="AF95" s="201">
        <f>SUM(H95:AE95)</f>
        <v>90578485.999999985</v>
      </c>
      <c r="AG95" s="333" t="str">
        <f>IF(ABS(AF95-F95)&lt;1,"ok","err")</f>
        <v>ok</v>
      </c>
    </row>
    <row r="96" spans="1:33">
      <c r="A96" s="318" t="s">
        <v>1082</v>
      </c>
      <c r="B96" s="318"/>
      <c r="C96" s="165" t="s">
        <v>1083</v>
      </c>
      <c r="D96" s="165" t="s">
        <v>1064</v>
      </c>
      <c r="F96" s="340">
        <v>4350165</v>
      </c>
      <c r="H96" s="201">
        <f t="shared" si="36"/>
        <v>986167.59051161632</v>
      </c>
      <c r="I96" s="201">
        <f t="shared" si="36"/>
        <v>929638.2440078723</v>
      </c>
      <c r="J96" s="201">
        <f t="shared" si="36"/>
        <v>954744.89425969322</v>
      </c>
      <c r="K96" s="201">
        <f t="shared" si="36"/>
        <v>0</v>
      </c>
      <c r="L96" s="201">
        <f t="shared" si="36"/>
        <v>0</v>
      </c>
      <c r="M96" s="201">
        <f t="shared" si="36"/>
        <v>0</v>
      </c>
      <c r="N96" s="201">
        <f t="shared" si="36"/>
        <v>105843.85616758262</v>
      </c>
      <c r="O96" s="201">
        <f t="shared" si="36"/>
        <v>99776.648039716965</v>
      </c>
      <c r="P96" s="201">
        <f t="shared" si="36"/>
        <v>102471.30633478923</v>
      </c>
      <c r="Q96" s="201">
        <f t="shared" si="36"/>
        <v>0</v>
      </c>
      <c r="R96" s="201">
        <f t="shared" si="37"/>
        <v>128805.80337970293</v>
      </c>
      <c r="S96" s="201">
        <f t="shared" si="37"/>
        <v>0</v>
      </c>
      <c r="T96" s="201">
        <f t="shared" si="37"/>
        <v>198334.56629461795</v>
      </c>
      <c r="U96" s="201">
        <f t="shared" si="37"/>
        <v>324690.96927480219</v>
      </c>
      <c r="V96" s="201">
        <f t="shared" si="37"/>
        <v>66111.522098205955</v>
      </c>
      <c r="W96" s="201">
        <f t="shared" si="37"/>
        <v>108230.32309160073</v>
      </c>
      <c r="X96" s="201">
        <f t="shared" si="37"/>
        <v>92599.343637513957</v>
      </c>
      <c r="Y96" s="201">
        <f t="shared" si="37"/>
        <v>73647.23380865113</v>
      </c>
      <c r="Z96" s="201">
        <f t="shared" si="37"/>
        <v>33720.154586657147</v>
      </c>
      <c r="AA96" s="201">
        <f t="shared" si="37"/>
        <v>45439.132348156869</v>
      </c>
      <c r="AB96" s="201">
        <f t="shared" si="37"/>
        <v>99943.412158820094</v>
      </c>
      <c r="AC96" s="201">
        <f t="shared" si="37"/>
        <v>0</v>
      </c>
      <c r="AD96" s="201">
        <f t="shared" si="37"/>
        <v>0</v>
      </c>
      <c r="AE96" s="201">
        <f t="shared" si="37"/>
        <v>0</v>
      </c>
      <c r="AF96" s="201">
        <f>SUM(H96:AE96)</f>
        <v>4350164.9999999991</v>
      </c>
      <c r="AG96" s="333" t="str">
        <f>IF(ABS(AF96-F96)&lt;1,"ok","err")</f>
        <v>ok</v>
      </c>
    </row>
    <row r="97" spans="1:33">
      <c r="A97" s="318" t="s">
        <v>818</v>
      </c>
      <c r="B97" s="318"/>
      <c r="D97" s="165" t="s">
        <v>671</v>
      </c>
      <c r="F97" s="340">
        <v>0</v>
      </c>
      <c r="H97" s="201">
        <f t="shared" si="36"/>
        <v>0</v>
      </c>
      <c r="I97" s="201">
        <f t="shared" si="36"/>
        <v>0</v>
      </c>
      <c r="J97" s="201">
        <f t="shared" si="36"/>
        <v>0</v>
      </c>
      <c r="K97" s="201">
        <f t="shared" si="36"/>
        <v>0</v>
      </c>
      <c r="L97" s="201">
        <f t="shared" si="36"/>
        <v>0</v>
      </c>
      <c r="M97" s="201">
        <f t="shared" si="36"/>
        <v>0</v>
      </c>
      <c r="N97" s="201">
        <f t="shared" si="36"/>
        <v>0</v>
      </c>
      <c r="O97" s="201">
        <f t="shared" si="36"/>
        <v>0</v>
      </c>
      <c r="P97" s="201">
        <f t="shared" si="36"/>
        <v>0</v>
      </c>
      <c r="Q97" s="201">
        <f t="shared" si="36"/>
        <v>0</v>
      </c>
      <c r="R97" s="201">
        <f t="shared" si="37"/>
        <v>0</v>
      </c>
      <c r="S97" s="201">
        <f t="shared" si="37"/>
        <v>0</v>
      </c>
      <c r="T97" s="201">
        <f t="shared" si="37"/>
        <v>0</v>
      </c>
      <c r="U97" s="201">
        <f t="shared" si="37"/>
        <v>0</v>
      </c>
      <c r="V97" s="201">
        <f t="shared" si="37"/>
        <v>0</v>
      </c>
      <c r="W97" s="201">
        <f t="shared" si="37"/>
        <v>0</v>
      </c>
      <c r="X97" s="201">
        <f t="shared" si="37"/>
        <v>0</v>
      </c>
      <c r="Y97" s="201">
        <f t="shared" si="37"/>
        <v>0</v>
      </c>
      <c r="Z97" s="201">
        <f t="shared" si="37"/>
        <v>0</v>
      </c>
      <c r="AA97" s="201">
        <f t="shared" si="37"/>
        <v>0</v>
      </c>
      <c r="AB97" s="201">
        <f t="shared" si="37"/>
        <v>0</v>
      </c>
      <c r="AC97" s="201">
        <f t="shared" si="37"/>
        <v>0</v>
      </c>
      <c r="AD97" s="201">
        <f t="shared" si="37"/>
        <v>0</v>
      </c>
      <c r="AE97" s="201">
        <f t="shared" si="37"/>
        <v>0</v>
      </c>
      <c r="AF97" s="201">
        <f>SUM(H97:AE97)</f>
        <v>0</v>
      </c>
      <c r="AG97" s="333" t="str">
        <f>IF(ABS(AF97-F97)&lt;1,"ok","err")</f>
        <v>ok</v>
      </c>
    </row>
    <row r="98" spans="1:33">
      <c r="A98" s="352" t="s">
        <v>1084</v>
      </c>
      <c r="B98" s="318"/>
      <c r="C98" s="165" t="s">
        <v>1085</v>
      </c>
      <c r="F98" s="342">
        <f>SUM(F94:F97)</f>
        <v>177406033</v>
      </c>
      <c r="G98" s="343"/>
      <c r="H98" s="343">
        <f t="shared" ref="H98:M98" si="38">SUM(H94:H97)</f>
        <v>25842129.948122125</v>
      </c>
      <c r="I98" s="343">
        <f t="shared" si="38"/>
        <v>24360800.879627485</v>
      </c>
      <c r="J98" s="343">
        <f t="shared" si="38"/>
        <v>25018710.675702829</v>
      </c>
      <c r="K98" s="343">
        <f t="shared" si="38"/>
        <v>55761560.788281642</v>
      </c>
      <c r="L98" s="343">
        <f t="shared" si="38"/>
        <v>0</v>
      </c>
      <c r="M98" s="343">
        <f t="shared" si="38"/>
        <v>0</v>
      </c>
      <c r="N98" s="343">
        <f>SUM(N94:N97)</f>
        <v>3251771.0541489287</v>
      </c>
      <c r="O98" s="343">
        <f>SUM(O94:O97)</f>
        <v>3065372.216426563</v>
      </c>
      <c r="P98" s="343">
        <f>SUM(P94:P97)</f>
        <v>3148158.4277571929</v>
      </c>
      <c r="Q98" s="343">
        <f t="shared" ref="Q98:AB98" si="39">SUM(Q94:Q97)</f>
        <v>0</v>
      </c>
      <c r="R98" s="343">
        <f t="shared" si="39"/>
        <v>3592115.8419735138</v>
      </c>
      <c r="S98" s="343">
        <f t="shared" si="39"/>
        <v>0</v>
      </c>
      <c r="T98" s="343">
        <f t="shared" si="39"/>
        <v>5971263.6552933017</v>
      </c>
      <c r="U98" s="343">
        <f t="shared" si="39"/>
        <v>9290806.994624367</v>
      </c>
      <c r="V98" s="343">
        <f t="shared" si="39"/>
        <v>1990421.2184310998</v>
      </c>
      <c r="W98" s="343">
        <f t="shared" si="39"/>
        <v>3096935.6648747888</v>
      </c>
      <c r="X98" s="343">
        <f t="shared" si="39"/>
        <v>2142045.744916297</v>
      </c>
      <c r="Y98" s="343">
        <f t="shared" si="39"/>
        <v>1703637.8186677187</v>
      </c>
      <c r="Z98" s="343">
        <f t="shared" si="39"/>
        <v>770773.1057590011</v>
      </c>
      <c r="AA98" s="343">
        <f t="shared" si="39"/>
        <v>2401976.075160095</v>
      </c>
      <c r="AB98" s="343">
        <f t="shared" si="39"/>
        <v>2327351.3248505155</v>
      </c>
      <c r="AC98" s="343">
        <f>SUM(AC94:AC97)</f>
        <v>2120281.3747839313</v>
      </c>
      <c r="AD98" s="343">
        <f>SUM(AD94:AD97)</f>
        <v>1549920.1905986255</v>
      </c>
      <c r="AE98" s="343">
        <f>SUM(AE94:AE97)</f>
        <v>0</v>
      </c>
      <c r="AF98" s="201">
        <f>SUM(H98:AE98)</f>
        <v>177406033.00000003</v>
      </c>
      <c r="AG98" s="333" t="str">
        <f>IF(ABS(AF98-F98)&lt;1,"ok","err")</f>
        <v>ok</v>
      </c>
    </row>
    <row r="99" spans="1:33">
      <c r="A99" s="318"/>
      <c r="B99" s="318"/>
      <c r="W99" s="165"/>
      <c r="AG99" s="333"/>
    </row>
    <row r="100" spans="1:33">
      <c r="A100" s="337" t="s">
        <v>44</v>
      </c>
      <c r="B100" s="318"/>
      <c r="I100" s="346"/>
      <c r="W100" s="165"/>
      <c r="AG100" s="333"/>
    </row>
    <row r="101" spans="1:33">
      <c r="A101" s="318" t="s">
        <v>143</v>
      </c>
      <c r="B101" s="318"/>
      <c r="C101" s="165" t="s">
        <v>144</v>
      </c>
      <c r="D101" s="165" t="s">
        <v>99</v>
      </c>
      <c r="F101" s="203">
        <v>0</v>
      </c>
      <c r="H101" s="201">
        <f t="shared" ref="H101:Q102" si="40">IF(VLOOKUP($D101,$C$6:$AE$598,H$2,)=0,0,((VLOOKUP($D101,$C$6:$AE$598,H$2,)/VLOOKUP($D101,$C$6:$AE$598,4,))*$F101))</f>
        <v>0</v>
      </c>
      <c r="I101" s="201">
        <f t="shared" si="40"/>
        <v>0</v>
      </c>
      <c r="J101" s="201">
        <f t="shared" si="40"/>
        <v>0</v>
      </c>
      <c r="K101" s="201">
        <f t="shared" si="40"/>
        <v>0</v>
      </c>
      <c r="L101" s="201">
        <f t="shared" si="40"/>
        <v>0</v>
      </c>
      <c r="M101" s="201">
        <f t="shared" si="40"/>
        <v>0</v>
      </c>
      <c r="N101" s="201">
        <f t="shared" si="40"/>
        <v>0</v>
      </c>
      <c r="O101" s="201">
        <f t="shared" si="40"/>
        <v>0</v>
      </c>
      <c r="P101" s="201">
        <f t="shared" si="40"/>
        <v>0</v>
      </c>
      <c r="Q101" s="201">
        <f t="shared" si="40"/>
        <v>0</v>
      </c>
      <c r="R101" s="201">
        <f t="shared" ref="R101:AE102" si="41">IF(VLOOKUP($D101,$C$6:$AE$598,R$2,)=0,0,((VLOOKUP($D101,$C$6:$AE$598,R$2,)/VLOOKUP($D101,$C$6:$AE$598,4,))*$F101))</f>
        <v>0</v>
      </c>
      <c r="S101" s="201">
        <f t="shared" si="41"/>
        <v>0</v>
      </c>
      <c r="T101" s="201">
        <f t="shared" si="41"/>
        <v>0</v>
      </c>
      <c r="U101" s="201">
        <f t="shared" si="41"/>
        <v>0</v>
      </c>
      <c r="V101" s="201">
        <f t="shared" si="41"/>
        <v>0</v>
      </c>
      <c r="W101" s="201">
        <f t="shared" si="41"/>
        <v>0</v>
      </c>
      <c r="X101" s="201">
        <f t="shared" si="41"/>
        <v>0</v>
      </c>
      <c r="Y101" s="201">
        <f t="shared" si="41"/>
        <v>0</v>
      </c>
      <c r="Z101" s="201">
        <f t="shared" si="41"/>
        <v>0</v>
      </c>
      <c r="AA101" s="201">
        <f t="shared" si="41"/>
        <v>0</v>
      </c>
      <c r="AB101" s="201">
        <f t="shared" si="41"/>
        <v>0</v>
      </c>
      <c r="AC101" s="201">
        <f t="shared" si="41"/>
        <v>0</v>
      </c>
      <c r="AD101" s="201">
        <f t="shared" si="41"/>
        <v>0</v>
      </c>
      <c r="AE101" s="201">
        <f t="shared" si="41"/>
        <v>0</v>
      </c>
      <c r="AF101" s="201">
        <f>SUM(H101:AE101)</f>
        <v>0</v>
      </c>
      <c r="AG101" s="333" t="str">
        <f>IF(ABS(AF101-F101)&lt;1,"ok","err")</f>
        <v>ok</v>
      </c>
    </row>
    <row r="102" spans="1:33">
      <c r="A102" s="318" t="s">
        <v>160</v>
      </c>
      <c r="B102" s="318"/>
      <c r="C102" s="165" t="s">
        <v>5</v>
      </c>
      <c r="D102" s="165" t="s">
        <v>18</v>
      </c>
      <c r="F102" s="340">
        <v>0</v>
      </c>
      <c r="H102" s="201">
        <f t="shared" si="40"/>
        <v>0</v>
      </c>
      <c r="I102" s="201">
        <f t="shared" si="40"/>
        <v>0</v>
      </c>
      <c r="J102" s="201">
        <f t="shared" si="40"/>
        <v>0</v>
      </c>
      <c r="K102" s="201">
        <f t="shared" si="40"/>
        <v>0</v>
      </c>
      <c r="L102" s="201">
        <f t="shared" si="40"/>
        <v>0</v>
      </c>
      <c r="M102" s="201">
        <f t="shared" si="40"/>
        <v>0</v>
      </c>
      <c r="N102" s="201">
        <f t="shared" si="40"/>
        <v>0</v>
      </c>
      <c r="O102" s="201">
        <f t="shared" si="40"/>
        <v>0</v>
      </c>
      <c r="P102" s="201">
        <f t="shared" si="40"/>
        <v>0</v>
      </c>
      <c r="Q102" s="201">
        <f t="shared" si="40"/>
        <v>0</v>
      </c>
      <c r="R102" s="201">
        <f t="shared" si="41"/>
        <v>0</v>
      </c>
      <c r="S102" s="201">
        <f t="shared" si="41"/>
        <v>0</v>
      </c>
      <c r="T102" s="201">
        <f t="shared" si="41"/>
        <v>0</v>
      </c>
      <c r="U102" s="201">
        <f t="shared" si="41"/>
        <v>0</v>
      </c>
      <c r="V102" s="201">
        <f t="shared" si="41"/>
        <v>0</v>
      </c>
      <c r="W102" s="201">
        <f t="shared" si="41"/>
        <v>0</v>
      </c>
      <c r="X102" s="201">
        <f t="shared" si="41"/>
        <v>0</v>
      </c>
      <c r="Y102" s="201">
        <f t="shared" si="41"/>
        <v>0</v>
      </c>
      <c r="Z102" s="201">
        <f t="shared" si="41"/>
        <v>0</v>
      </c>
      <c r="AA102" s="201">
        <f t="shared" si="41"/>
        <v>0</v>
      </c>
      <c r="AB102" s="201">
        <f t="shared" si="41"/>
        <v>0</v>
      </c>
      <c r="AC102" s="201">
        <f t="shared" si="41"/>
        <v>0</v>
      </c>
      <c r="AD102" s="201">
        <f t="shared" si="41"/>
        <v>0</v>
      </c>
      <c r="AE102" s="201">
        <f t="shared" si="41"/>
        <v>0</v>
      </c>
      <c r="AF102" s="201">
        <f>SUM(H102:AE102)</f>
        <v>0</v>
      </c>
      <c r="AG102" s="333" t="str">
        <f>IF(ABS(AF102-F102)&lt;1,"ok","err")</f>
        <v>ok</v>
      </c>
    </row>
    <row r="103" spans="1:33">
      <c r="A103" s="318"/>
      <c r="B103" s="318"/>
      <c r="H103" s="201"/>
      <c r="I103" s="201"/>
      <c r="J103" s="201"/>
      <c r="K103" s="201"/>
      <c r="L103" s="201"/>
      <c r="M103" s="201"/>
      <c r="N103" s="201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333"/>
    </row>
    <row r="104" spans="1:33">
      <c r="A104" s="318" t="s">
        <v>1247</v>
      </c>
      <c r="B104" s="318"/>
      <c r="F104" s="342">
        <f t="shared" ref="F104:M104" si="42">SUM(F101:F102)</f>
        <v>0</v>
      </c>
      <c r="G104" s="343"/>
      <c r="H104" s="343">
        <f t="shared" si="42"/>
        <v>0</v>
      </c>
      <c r="I104" s="343">
        <f t="shared" si="42"/>
        <v>0</v>
      </c>
      <c r="J104" s="343">
        <f t="shared" si="42"/>
        <v>0</v>
      </c>
      <c r="K104" s="343">
        <f t="shared" si="42"/>
        <v>0</v>
      </c>
      <c r="L104" s="343">
        <f t="shared" si="42"/>
        <v>0</v>
      </c>
      <c r="M104" s="343">
        <f t="shared" si="42"/>
        <v>0</v>
      </c>
      <c r="N104" s="343">
        <f>SUM(N101:N102)</f>
        <v>0</v>
      </c>
      <c r="O104" s="343">
        <f>SUM(O101:O102)</f>
        <v>0</v>
      </c>
      <c r="P104" s="343">
        <f>SUM(P101:P102)</f>
        <v>0</v>
      </c>
      <c r="Q104" s="343">
        <f t="shared" ref="Q104:AB104" si="43">SUM(Q101:Q102)</f>
        <v>0</v>
      </c>
      <c r="R104" s="343">
        <f t="shared" si="43"/>
        <v>0</v>
      </c>
      <c r="S104" s="343">
        <f t="shared" si="43"/>
        <v>0</v>
      </c>
      <c r="T104" s="343">
        <f t="shared" si="43"/>
        <v>0</v>
      </c>
      <c r="U104" s="343">
        <f t="shared" si="43"/>
        <v>0</v>
      </c>
      <c r="V104" s="343">
        <f t="shared" si="43"/>
        <v>0</v>
      </c>
      <c r="W104" s="343">
        <f t="shared" si="43"/>
        <v>0</v>
      </c>
      <c r="X104" s="343">
        <f t="shared" si="43"/>
        <v>0</v>
      </c>
      <c r="Y104" s="343">
        <f t="shared" si="43"/>
        <v>0</v>
      </c>
      <c r="Z104" s="343">
        <f t="shared" si="43"/>
        <v>0</v>
      </c>
      <c r="AA104" s="343">
        <f t="shared" si="43"/>
        <v>0</v>
      </c>
      <c r="AB104" s="343">
        <f t="shared" si="43"/>
        <v>0</v>
      </c>
      <c r="AC104" s="343">
        <f>SUM(AC101:AC102)</f>
        <v>0</v>
      </c>
      <c r="AD104" s="343">
        <f>SUM(AD101:AD102)</f>
        <v>0</v>
      </c>
      <c r="AE104" s="343">
        <f>SUM(AE101:AE102)</f>
        <v>0</v>
      </c>
      <c r="AF104" s="201">
        <f>SUM(H104:AE104)</f>
        <v>0</v>
      </c>
      <c r="AG104" s="333" t="str">
        <f>IF(ABS(AF104-F104)&lt;1,"ok","err")</f>
        <v>ok</v>
      </c>
    </row>
    <row r="105" spans="1:33">
      <c r="A105" s="318" t="s">
        <v>640</v>
      </c>
      <c r="B105" s="318"/>
      <c r="C105" s="165" t="s">
        <v>1086</v>
      </c>
      <c r="D105" s="165" t="s">
        <v>973</v>
      </c>
      <c r="F105" s="203">
        <v>960947</v>
      </c>
      <c r="H105" s="201">
        <f t="shared" ref="H105:AE105" si="44">IF(VLOOKUP($D105,$C$6:$AE$598,H$2,)=0,0,((VLOOKUP($D105,$C$6:$AE$598,H$2,)/VLOOKUP($D105,$C$6:$AE$598,4,))*$F105))</f>
        <v>0</v>
      </c>
      <c r="I105" s="201">
        <f t="shared" si="44"/>
        <v>0</v>
      </c>
      <c r="J105" s="201">
        <f t="shared" si="44"/>
        <v>0</v>
      </c>
      <c r="K105" s="201">
        <f t="shared" si="44"/>
        <v>0</v>
      </c>
      <c r="L105" s="201">
        <f t="shared" si="44"/>
        <v>0</v>
      </c>
      <c r="M105" s="201">
        <f t="shared" si="44"/>
        <v>0</v>
      </c>
      <c r="N105" s="201">
        <f t="shared" si="44"/>
        <v>0</v>
      </c>
      <c r="O105" s="201">
        <f t="shared" si="44"/>
        <v>0</v>
      </c>
      <c r="P105" s="201">
        <f t="shared" si="44"/>
        <v>0</v>
      </c>
      <c r="Q105" s="201">
        <f t="shared" si="44"/>
        <v>0</v>
      </c>
      <c r="R105" s="201">
        <f t="shared" si="44"/>
        <v>0</v>
      </c>
      <c r="S105" s="201">
        <f t="shared" si="44"/>
        <v>0</v>
      </c>
      <c r="T105" s="201">
        <f t="shared" si="44"/>
        <v>273239.83905467449</v>
      </c>
      <c r="U105" s="201">
        <f t="shared" si="44"/>
        <v>447470.41094532545</v>
      </c>
      <c r="V105" s="201">
        <f t="shared" si="44"/>
        <v>91079.946351558159</v>
      </c>
      <c r="W105" s="201">
        <f t="shared" si="44"/>
        <v>149156.8036484418</v>
      </c>
      <c r="X105" s="201">
        <f t="shared" si="44"/>
        <v>0</v>
      </c>
      <c r="Y105" s="201">
        <f t="shared" si="44"/>
        <v>0</v>
      </c>
      <c r="Z105" s="201">
        <f t="shared" si="44"/>
        <v>0</v>
      </c>
      <c r="AA105" s="201">
        <f t="shared" si="44"/>
        <v>0</v>
      </c>
      <c r="AB105" s="201">
        <f t="shared" si="44"/>
        <v>0</v>
      </c>
      <c r="AC105" s="201">
        <f t="shared" si="44"/>
        <v>0</v>
      </c>
      <c r="AD105" s="201">
        <f t="shared" si="44"/>
        <v>0</v>
      </c>
      <c r="AE105" s="201">
        <f t="shared" si="44"/>
        <v>0</v>
      </c>
      <c r="AF105" s="201">
        <f>SUM(H105:AE105)</f>
        <v>960947</v>
      </c>
      <c r="AG105" s="333" t="str">
        <f>IF(ABS(AF105-F105)&lt;1,"ok","err")</f>
        <v>ok</v>
      </c>
    </row>
    <row r="106" spans="1:33">
      <c r="A106" s="318" t="s">
        <v>774</v>
      </c>
      <c r="B106" s="318"/>
      <c r="F106" s="203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333"/>
    </row>
    <row r="107" spans="1:33">
      <c r="A107" s="352" t="s">
        <v>1270</v>
      </c>
      <c r="B107" s="318"/>
      <c r="C107" s="165" t="s">
        <v>641</v>
      </c>
      <c r="D107" s="165" t="s">
        <v>1064</v>
      </c>
      <c r="F107" s="203">
        <v>406612247</v>
      </c>
      <c r="H107" s="201">
        <f t="shared" ref="H107:Q110" si="45">IF(VLOOKUP($D107,$C$6:$AE$598,H$2,)=0,0,((VLOOKUP($D107,$C$6:$AE$598,H$2,)/VLOOKUP($D107,$C$6:$AE$598,4,))*$F107))</f>
        <v>92177611.630019605</v>
      </c>
      <c r="I107" s="201">
        <f t="shared" si="45"/>
        <v>86893783.406646699</v>
      </c>
      <c r="J107" s="201">
        <f t="shared" si="45"/>
        <v>89240515.421072826</v>
      </c>
      <c r="K107" s="201">
        <f t="shared" si="45"/>
        <v>0</v>
      </c>
      <c r="L107" s="201">
        <f t="shared" si="45"/>
        <v>0</v>
      </c>
      <c r="M107" s="201">
        <f t="shared" si="45"/>
        <v>0</v>
      </c>
      <c r="N107" s="201">
        <f t="shared" si="45"/>
        <v>9893281.7921723835</v>
      </c>
      <c r="O107" s="201">
        <f t="shared" si="45"/>
        <v>9326176.606532732</v>
      </c>
      <c r="P107" s="201">
        <f t="shared" si="45"/>
        <v>9578047.7572262157</v>
      </c>
      <c r="Q107" s="201">
        <f t="shared" si="45"/>
        <v>0</v>
      </c>
      <c r="R107" s="201">
        <f t="shared" ref="R107:AE110" si="46">IF(VLOOKUP($D107,$C$6:$AE$598,R$2,)=0,0,((VLOOKUP($D107,$C$6:$AE$598,R$2,)/VLOOKUP($D107,$C$6:$AE$598,4,))*$F107))</f>
        <v>12039547.267485533</v>
      </c>
      <c r="S107" s="201">
        <f t="shared" si="46"/>
        <v>0</v>
      </c>
      <c r="T107" s="201">
        <f t="shared" si="46"/>
        <v>18538437.888867449</v>
      </c>
      <c r="U107" s="201">
        <f t="shared" si="46"/>
        <v>30349038.392207026</v>
      </c>
      <c r="V107" s="201">
        <f t="shared" si="46"/>
        <v>6179479.2962891478</v>
      </c>
      <c r="W107" s="201">
        <f t="shared" si="46"/>
        <v>10116346.130735677</v>
      </c>
      <c r="X107" s="201">
        <f t="shared" si="46"/>
        <v>8655310.1289663054</v>
      </c>
      <c r="Y107" s="201">
        <f t="shared" si="46"/>
        <v>6883846.2964669159</v>
      </c>
      <c r="Z107" s="201">
        <f t="shared" si="46"/>
        <v>3151840.8671091828</v>
      </c>
      <c r="AA107" s="201">
        <f t="shared" si="46"/>
        <v>4247219.9803488953</v>
      </c>
      <c r="AB107" s="201">
        <f t="shared" si="46"/>
        <v>9341764.1378533822</v>
      </c>
      <c r="AC107" s="201">
        <f t="shared" si="46"/>
        <v>0</v>
      </c>
      <c r="AD107" s="201">
        <f t="shared" si="46"/>
        <v>0</v>
      </c>
      <c r="AE107" s="201">
        <f t="shared" si="46"/>
        <v>0</v>
      </c>
      <c r="AF107" s="201">
        <f>SUM(H107:AE107)</f>
        <v>406612247</v>
      </c>
      <c r="AG107" s="333" t="str">
        <f>IF(ABS(AF107-F107)&lt;1,"ok","err")</f>
        <v>ok</v>
      </c>
    </row>
    <row r="108" spans="1:33" s="318" customFormat="1">
      <c r="A108" s="352" t="s">
        <v>1271</v>
      </c>
      <c r="C108" s="318" t="s">
        <v>641</v>
      </c>
      <c r="D108" s="318" t="s">
        <v>1064</v>
      </c>
      <c r="F108" s="203">
        <v>27127029</v>
      </c>
      <c r="H108" s="340">
        <f t="shared" si="45"/>
        <v>6149605.0900756046</v>
      </c>
      <c r="I108" s="340">
        <f t="shared" si="45"/>
        <v>5797095.8813540703</v>
      </c>
      <c r="J108" s="340">
        <f t="shared" si="45"/>
        <v>5953657.4898158191</v>
      </c>
      <c r="K108" s="340">
        <f t="shared" si="45"/>
        <v>0</v>
      </c>
      <c r="L108" s="340">
        <f t="shared" si="45"/>
        <v>0</v>
      </c>
      <c r="M108" s="340">
        <f t="shared" si="45"/>
        <v>0</v>
      </c>
      <c r="N108" s="340">
        <f t="shared" si="45"/>
        <v>660027.68992207013</v>
      </c>
      <c r="O108" s="340">
        <f t="shared" si="45"/>
        <v>622193.41677756945</v>
      </c>
      <c r="P108" s="340">
        <f t="shared" si="45"/>
        <v>638996.93427989772</v>
      </c>
      <c r="Q108" s="340">
        <f t="shared" si="45"/>
        <v>0</v>
      </c>
      <c r="R108" s="340">
        <f t="shared" si="46"/>
        <v>803215.22600855364</v>
      </c>
      <c r="S108" s="340">
        <f t="shared" si="46"/>
        <v>0</v>
      </c>
      <c r="T108" s="340">
        <f t="shared" si="46"/>
        <v>1236787.0026945008</v>
      </c>
      <c r="U108" s="340">
        <f t="shared" si="46"/>
        <v>2024728.1056133888</v>
      </c>
      <c r="V108" s="340">
        <f t="shared" si="46"/>
        <v>412262.33423150016</v>
      </c>
      <c r="W108" s="340">
        <f t="shared" si="46"/>
        <v>674909.36853779631</v>
      </c>
      <c r="X108" s="340">
        <f t="shared" si="46"/>
        <v>577436.73636190966</v>
      </c>
      <c r="Y108" s="340">
        <f t="shared" si="46"/>
        <v>459253.99319268571</v>
      </c>
      <c r="Z108" s="340">
        <f t="shared" si="46"/>
        <v>210274.2335880895</v>
      </c>
      <c r="AA108" s="340">
        <f t="shared" si="46"/>
        <v>283352.16272102081</v>
      </c>
      <c r="AB108" s="340">
        <f t="shared" si="46"/>
        <v>623233.33482552168</v>
      </c>
      <c r="AC108" s="340">
        <f t="shared" si="46"/>
        <v>0</v>
      </c>
      <c r="AD108" s="340">
        <f t="shared" si="46"/>
        <v>0</v>
      </c>
      <c r="AE108" s="340">
        <f t="shared" si="46"/>
        <v>0</v>
      </c>
      <c r="AF108" s="340">
        <f>SUM(H108:AE108)</f>
        <v>27127028.999999993</v>
      </c>
      <c r="AG108" s="348" t="str">
        <f>IF(ABS(AF108-F108)&lt;1,"ok","err")</f>
        <v>ok</v>
      </c>
    </row>
    <row r="109" spans="1:33" s="318" customFormat="1">
      <c r="A109" s="352" t="s">
        <v>1272</v>
      </c>
      <c r="C109" s="318" t="s">
        <v>641</v>
      </c>
      <c r="D109" s="318" t="s">
        <v>1064</v>
      </c>
      <c r="F109" s="203">
        <v>27021377.656799998</v>
      </c>
      <c r="H109" s="340">
        <f t="shared" si="45"/>
        <v>6125654.2903799927</v>
      </c>
      <c r="I109" s="340">
        <f t="shared" si="45"/>
        <v>5774517.9954188187</v>
      </c>
      <c r="J109" s="340">
        <f t="shared" si="45"/>
        <v>5930469.8450961635</v>
      </c>
      <c r="K109" s="340">
        <f t="shared" si="45"/>
        <v>0</v>
      </c>
      <c r="L109" s="340">
        <f t="shared" si="45"/>
        <v>0</v>
      </c>
      <c r="M109" s="340">
        <f t="shared" si="45"/>
        <v>0</v>
      </c>
      <c r="N109" s="340">
        <f t="shared" si="45"/>
        <v>657457.08729583118</v>
      </c>
      <c r="O109" s="340">
        <f t="shared" si="45"/>
        <v>619770.16688121157</v>
      </c>
      <c r="P109" s="340">
        <f t="shared" si="45"/>
        <v>636508.23990767752</v>
      </c>
      <c r="Q109" s="340">
        <f t="shared" si="45"/>
        <v>0</v>
      </c>
      <c r="R109" s="340">
        <f t="shared" si="46"/>
        <v>800086.95245133888</v>
      </c>
      <c r="S109" s="340">
        <f t="shared" si="46"/>
        <v>0</v>
      </c>
      <c r="T109" s="340">
        <f t="shared" si="46"/>
        <v>1231970.1018799304</v>
      </c>
      <c r="U109" s="340">
        <f t="shared" si="46"/>
        <v>2016842.4192017715</v>
      </c>
      <c r="V109" s="340">
        <f t="shared" si="46"/>
        <v>410656.70062664332</v>
      </c>
      <c r="W109" s="340">
        <f t="shared" si="46"/>
        <v>672280.80640059058</v>
      </c>
      <c r="X109" s="340">
        <f t="shared" si="46"/>
        <v>575187.79981933208</v>
      </c>
      <c r="Y109" s="340">
        <f t="shared" si="46"/>
        <v>457465.34168754768</v>
      </c>
      <c r="Z109" s="340">
        <f t="shared" si="46"/>
        <v>209455.28082997756</v>
      </c>
      <c r="AA109" s="340">
        <f t="shared" si="46"/>
        <v>282248.59415145498</v>
      </c>
      <c r="AB109" s="340">
        <f t="shared" si="46"/>
        <v>620806.03477171436</v>
      </c>
      <c r="AC109" s="340">
        <f t="shared" si="46"/>
        <v>0</v>
      </c>
      <c r="AD109" s="340">
        <f t="shared" si="46"/>
        <v>0</v>
      </c>
      <c r="AE109" s="340">
        <f t="shared" si="46"/>
        <v>0</v>
      </c>
      <c r="AF109" s="340">
        <f>SUM(H109:AE109)</f>
        <v>27021377.656799994</v>
      </c>
      <c r="AG109" s="348" t="str">
        <f>IF(ABS(AF109-F109)&lt;1,"ok","err")</f>
        <v>ok</v>
      </c>
    </row>
    <row r="110" spans="1:33" s="318" customFormat="1">
      <c r="A110" s="352" t="s">
        <v>1273</v>
      </c>
      <c r="C110" s="318" t="s">
        <v>641</v>
      </c>
      <c r="D110" s="318" t="s">
        <v>1064</v>
      </c>
      <c r="F110" s="203">
        <v>204350.68</v>
      </c>
      <c r="H110" s="340">
        <f t="shared" si="45"/>
        <v>46325.603216202224</v>
      </c>
      <c r="I110" s="340">
        <f t="shared" si="45"/>
        <v>43670.115344363861</v>
      </c>
      <c r="J110" s="340">
        <f t="shared" si="45"/>
        <v>44849.509930886852</v>
      </c>
      <c r="K110" s="340">
        <f t="shared" si="45"/>
        <v>0</v>
      </c>
      <c r="L110" s="340">
        <f t="shared" si="45"/>
        <v>0</v>
      </c>
      <c r="M110" s="340">
        <f t="shared" si="45"/>
        <v>0</v>
      </c>
      <c r="N110" s="340">
        <f t="shared" si="45"/>
        <v>4972.0559982593077</v>
      </c>
      <c r="O110" s="340">
        <f t="shared" si="45"/>
        <v>4687.0465545644429</v>
      </c>
      <c r="P110" s="340">
        <f t="shared" si="45"/>
        <v>4813.6291680895984</v>
      </c>
      <c r="Q110" s="340">
        <f t="shared" si="45"/>
        <v>0</v>
      </c>
      <c r="R110" s="340">
        <f t="shared" si="46"/>
        <v>6050.7023316560617</v>
      </c>
      <c r="S110" s="340">
        <f t="shared" si="46"/>
        <v>0</v>
      </c>
      <c r="T110" s="340">
        <f t="shared" si="46"/>
        <v>9316.8428070682967</v>
      </c>
      <c r="U110" s="340">
        <f t="shared" si="46"/>
        <v>15252.483609510198</v>
      </c>
      <c r="V110" s="340">
        <f t="shared" si="46"/>
        <v>3105.6142690227643</v>
      </c>
      <c r="W110" s="340">
        <f t="shared" si="46"/>
        <v>5084.1612031700661</v>
      </c>
      <c r="X110" s="340">
        <f t="shared" si="46"/>
        <v>4349.8899098952916</v>
      </c>
      <c r="Y110" s="340">
        <f t="shared" si="46"/>
        <v>3459.6072353386244</v>
      </c>
      <c r="Z110" s="340">
        <f t="shared" si="46"/>
        <v>1584.0172773879856</v>
      </c>
      <c r="AA110" s="340">
        <f t="shared" si="46"/>
        <v>2134.5207811556234</v>
      </c>
      <c r="AB110" s="340">
        <f t="shared" si="46"/>
        <v>4694.8803634287788</v>
      </c>
      <c r="AC110" s="340">
        <f t="shared" si="46"/>
        <v>0</v>
      </c>
      <c r="AD110" s="340">
        <f t="shared" si="46"/>
        <v>0</v>
      </c>
      <c r="AE110" s="340">
        <f t="shared" si="46"/>
        <v>0</v>
      </c>
      <c r="AF110" s="340">
        <f>SUM(H110:AE110)</f>
        <v>204350.68</v>
      </c>
      <c r="AG110" s="348" t="str">
        <f>IF(ABS(AF110-F110)&lt;1,"ok","err")</f>
        <v>ok</v>
      </c>
    </row>
    <row r="111" spans="1:33" s="318" customFormat="1">
      <c r="A111" s="352"/>
      <c r="F111" s="203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8"/>
    </row>
    <row r="112" spans="1:33">
      <c r="A112" s="318" t="s">
        <v>779</v>
      </c>
      <c r="B112" s="318"/>
      <c r="F112" s="203">
        <f>SUM(F107:F110)</f>
        <v>460965004.33679998</v>
      </c>
      <c r="G112" s="203"/>
      <c r="H112" s="203">
        <f t="shared" ref="H112:AE112" si="47">SUM(H107:H110)</f>
        <v>104499196.6136914</v>
      </c>
      <c r="I112" s="203">
        <f t="shared" si="47"/>
        <v>98509067.39876394</v>
      </c>
      <c r="J112" s="203">
        <f t="shared" si="47"/>
        <v>101169492.26591571</v>
      </c>
      <c r="K112" s="203">
        <f t="shared" si="47"/>
        <v>0</v>
      </c>
      <c r="L112" s="203">
        <f t="shared" si="47"/>
        <v>0</v>
      </c>
      <c r="M112" s="203">
        <f t="shared" si="47"/>
        <v>0</v>
      </c>
      <c r="N112" s="203">
        <f t="shared" si="47"/>
        <v>11215738.625388546</v>
      </c>
      <c r="O112" s="203">
        <f t="shared" si="47"/>
        <v>10572827.236746076</v>
      </c>
      <c r="P112" s="203">
        <f t="shared" si="47"/>
        <v>10858366.560581882</v>
      </c>
      <c r="Q112" s="203">
        <f t="shared" si="47"/>
        <v>0</v>
      </c>
      <c r="R112" s="203">
        <f t="shared" si="47"/>
        <v>13648900.148277082</v>
      </c>
      <c r="S112" s="203">
        <f t="shared" si="47"/>
        <v>0</v>
      </c>
      <c r="T112" s="203">
        <f t="shared" si="47"/>
        <v>21016511.836248953</v>
      </c>
      <c r="U112" s="203">
        <f t="shared" si="47"/>
        <v>34405861.400631696</v>
      </c>
      <c r="V112" s="203">
        <f t="shared" si="47"/>
        <v>7005503.9454163145</v>
      </c>
      <c r="W112" s="203">
        <f t="shared" si="47"/>
        <v>11468620.466877235</v>
      </c>
      <c r="X112" s="203">
        <f t="shared" si="47"/>
        <v>9812284.5550574418</v>
      </c>
      <c r="Y112" s="203">
        <f t="shared" si="47"/>
        <v>7804025.2385824881</v>
      </c>
      <c r="Z112" s="203">
        <f t="shared" si="47"/>
        <v>3573154.3988046381</v>
      </c>
      <c r="AA112" s="203">
        <f t="shared" si="47"/>
        <v>4814955.2580025271</v>
      </c>
      <c r="AB112" s="203">
        <f t="shared" si="47"/>
        <v>10590498.387814047</v>
      </c>
      <c r="AC112" s="203">
        <f t="shared" si="47"/>
        <v>0</v>
      </c>
      <c r="AD112" s="203">
        <f t="shared" si="47"/>
        <v>0</v>
      </c>
      <c r="AE112" s="203">
        <f t="shared" si="47"/>
        <v>0</v>
      </c>
      <c r="AF112" s="201">
        <f>SUM(H112:AE112)</f>
        <v>460965004.33680004</v>
      </c>
      <c r="AG112" s="333" t="str">
        <f>IF(ABS(AF112-F112)&lt;1,"ok","err")</f>
        <v>ok</v>
      </c>
    </row>
    <row r="113" spans="1:33">
      <c r="A113" s="318"/>
      <c r="B113" s="318"/>
      <c r="F113" s="203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7"/>
      <c r="X113" s="347"/>
      <c r="Y113" s="347"/>
      <c r="Z113" s="347"/>
      <c r="AA113" s="347"/>
      <c r="AB113" s="347"/>
      <c r="AC113" s="347"/>
      <c r="AD113" s="347"/>
      <c r="AE113" s="347"/>
      <c r="AF113" s="201"/>
      <c r="AG113" s="333"/>
    </row>
    <row r="114" spans="1:33">
      <c r="A114" s="318" t="s">
        <v>780</v>
      </c>
      <c r="B114" s="318"/>
      <c r="F114" s="203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  <c r="AB114" s="347"/>
      <c r="AC114" s="347"/>
      <c r="AD114" s="347"/>
      <c r="AE114" s="347"/>
      <c r="AF114" s="201"/>
      <c r="AG114" s="333"/>
    </row>
    <row r="115" spans="1:33">
      <c r="A115" s="352" t="s">
        <v>776</v>
      </c>
      <c r="B115" s="318"/>
      <c r="C115" s="165" t="s">
        <v>641</v>
      </c>
      <c r="D115" s="165" t="s">
        <v>671</v>
      </c>
      <c r="F115" s="203">
        <v>0</v>
      </c>
      <c r="H115" s="201">
        <f t="shared" ref="H115:Q118" si="48">IF(VLOOKUP($D115,$C$6:$AE$598,H$2,)=0,0,((VLOOKUP($D115,$C$6:$AE$598,H$2,)/VLOOKUP($D115,$C$6:$AE$598,4,))*$F115))</f>
        <v>0</v>
      </c>
      <c r="I115" s="201">
        <f t="shared" si="48"/>
        <v>0</v>
      </c>
      <c r="J115" s="201">
        <f t="shared" si="48"/>
        <v>0</v>
      </c>
      <c r="K115" s="201">
        <f t="shared" si="48"/>
        <v>0</v>
      </c>
      <c r="L115" s="201">
        <f t="shared" si="48"/>
        <v>0</v>
      </c>
      <c r="M115" s="201">
        <f t="shared" si="48"/>
        <v>0</v>
      </c>
      <c r="N115" s="201">
        <f t="shared" si="48"/>
        <v>0</v>
      </c>
      <c r="O115" s="201">
        <f t="shared" si="48"/>
        <v>0</v>
      </c>
      <c r="P115" s="201">
        <f t="shared" si="48"/>
        <v>0</v>
      </c>
      <c r="Q115" s="201">
        <f t="shared" si="48"/>
        <v>0</v>
      </c>
      <c r="R115" s="201">
        <f t="shared" ref="R115:AE118" si="49">IF(VLOOKUP($D115,$C$6:$AE$598,R$2,)=0,0,((VLOOKUP($D115,$C$6:$AE$598,R$2,)/VLOOKUP($D115,$C$6:$AE$598,4,))*$F115))</f>
        <v>0</v>
      </c>
      <c r="S115" s="201">
        <f t="shared" si="49"/>
        <v>0</v>
      </c>
      <c r="T115" s="201">
        <f t="shared" si="49"/>
        <v>0</v>
      </c>
      <c r="U115" s="201">
        <f t="shared" si="49"/>
        <v>0</v>
      </c>
      <c r="V115" s="201">
        <f t="shared" si="49"/>
        <v>0</v>
      </c>
      <c r="W115" s="201">
        <f t="shared" si="49"/>
        <v>0</v>
      </c>
      <c r="X115" s="201">
        <f t="shared" si="49"/>
        <v>0</v>
      </c>
      <c r="Y115" s="201">
        <f t="shared" si="49"/>
        <v>0</v>
      </c>
      <c r="Z115" s="201">
        <f t="shared" si="49"/>
        <v>0</v>
      </c>
      <c r="AA115" s="201">
        <f t="shared" si="49"/>
        <v>0</v>
      </c>
      <c r="AB115" s="201">
        <f t="shared" si="49"/>
        <v>0</v>
      </c>
      <c r="AC115" s="201">
        <f t="shared" si="49"/>
        <v>0</v>
      </c>
      <c r="AD115" s="201">
        <f t="shared" si="49"/>
        <v>0</v>
      </c>
      <c r="AE115" s="201">
        <f t="shared" si="49"/>
        <v>0</v>
      </c>
      <c r="AF115" s="201">
        <f>SUM(H115:AE115)</f>
        <v>0</v>
      </c>
      <c r="AG115" s="333" t="str">
        <f>IF(ABS(AF115-F115)&lt;1,"ok","err")</f>
        <v>ok</v>
      </c>
    </row>
    <row r="116" spans="1:33">
      <c r="A116" s="352" t="s">
        <v>775</v>
      </c>
      <c r="B116" s="318"/>
      <c r="C116" s="165" t="s">
        <v>641</v>
      </c>
      <c r="D116" s="165" t="s">
        <v>1266</v>
      </c>
      <c r="F116" s="340">
        <v>0</v>
      </c>
      <c r="H116" s="201">
        <f t="shared" si="48"/>
        <v>0</v>
      </c>
      <c r="I116" s="201">
        <f t="shared" si="48"/>
        <v>0</v>
      </c>
      <c r="J116" s="201">
        <f t="shared" si="48"/>
        <v>0</v>
      </c>
      <c r="K116" s="201">
        <f t="shared" si="48"/>
        <v>0</v>
      </c>
      <c r="L116" s="201">
        <f t="shared" si="48"/>
        <v>0</v>
      </c>
      <c r="M116" s="201">
        <f t="shared" si="48"/>
        <v>0</v>
      </c>
      <c r="N116" s="201">
        <f t="shared" si="48"/>
        <v>0</v>
      </c>
      <c r="O116" s="201">
        <f t="shared" si="48"/>
        <v>0</v>
      </c>
      <c r="P116" s="201">
        <f t="shared" si="48"/>
        <v>0</v>
      </c>
      <c r="Q116" s="201">
        <f t="shared" si="48"/>
        <v>0</v>
      </c>
      <c r="R116" s="201">
        <f t="shared" si="49"/>
        <v>0</v>
      </c>
      <c r="S116" s="201">
        <f t="shared" si="49"/>
        <v>0</v>
      </c>
      <c r="T116" s="201">
        <f t="shared" si="49"/>
        <v>0</v>
      </c>
      <c r="U116" s="201">
        <f t="shared" si="49"/>
        <v>0</v>
      </c>
      <c r="V116" s="201">
        <f t="shared" si="49"/>
        <v>0</v>
      </c>
      <c r="W116" s="201">
        <f t="shared" si="49"/>
        <v>0</v>
      </c>
      <c r="X116" s="201">
        <f t="shared" si="49"/>
        <v>0</v>
      </c>
      <c r="Y116" s="201">
        <f t="shared" si="49"/>
        <v>0</v>
      </c>
      <c r="Z116" s="201">
        <f t="shared" si="49"/>
        <v>0</v>
      </c>
      <c r="AA116" s="201">
        <f t="shared" si="49"/>
        <v>0</v>
      </c>
      <c r="AB116" s="201">
        <f t="shared" si="49"/>
        <v>0</v>
      </c>
      <c r="AC116" s="201">
        <f t="shared" si="49"/>
        <v>0</v>
      </c>
      <c r="AD116" s="201">
        <f t="shared" si="49"/>
        <v>0</v>
      </c>
      <c r="AE116" s="201">
        <f t="shared" si="49"/>
        <v>0</v>
      </c>
      <c r="AF116" s="201">
        <f>SUM(H116:AE116)</f>
        <v>0</v>
      </c>
      <c r="AG116" s="333" t="str">
        <f>IF(ABS(AF116-F116)&lt;1,"ok","err")</f>
        <v>ok</v>
      </c>
    </row>
    <row r="117" spans="1:33">
      <c r="A117" s="352" t="s">
        <v>777</v>
      </c>
      <c r="B117" s="318"/>
      <c r="C117" s="165" t="s">
        <v>641</v>
      </c>
      <c r="D117" s="165" t="s">
        <v>1039</v>
      </c>
      <c r="F117" s="340">
        <v>0</v>
      </c>
      <c r="H117" s="201">
        <f t="shared" si="48"/>
        <v>0</v>
      </c>
      <c r="I117" s="201">
        <f t="shared" si="48"/>
        <v>0</v>
      </c>
      <c r="J117" s="201">
        <f t="shared" si="48"/>
        <v>0</v>
      </c>
      <c r="K117" s="201">
        <f t="shared" si="48"/>
        <v>0</v>
      </c>
      <c r="L117" s="201">
        <f t="shared" si="48"/>
        <v>0</v>
      </c>
      <c r="M117" s="201">
        <f t="shared" si="48"/>
        <v>0</v>
      </c>
      <c r="N117" s="201">
        <f t="shared" si="48"/>
        <v>0</v>
      </c>
      <c r="O117" s="201">
        <f t="shared" si="48"/>
        <v>0</v>
      </c>
      <c r="P117" s="201">
        <f t="shared" si="48"/>
        <v>0</v>
      </c>
      <c r="Q117" s="201">
        <f t="shared" si="48"/>
        <v>0</v>
      </c>
      <c r="R117" s="201">
        <f t="shared" si="49"/>
        <v>0</v>
      </c>
      <c r="S117" s="201">
        <f t="shared" si="49"/>
        <v>0</v>
      </c>
      <c r="T117" s="201">
        <f t="shared" si="49"/>
        <v>0</v>
      </c>
      <c r="U117" s="201">
        <f t="shared" si="49"/>
        <v>0</v>
      </c>
      <c r="V117" s="201">
        <f t="shared" si="49"/>
        <v>0</v>
      </c>
      <c r="W117" s="201">
        <f t="shared" si="49"/>
        <v>0</v>
      </c>
      <c r="X117" s="201">
        <f t="shared" si="49"/>
        <v>0</v>
      </c>
      <c r="Y117" s="201">
        <f t="shared" si="49"/>
        <v>0</v>
      </c>
      <c r="Z117" s="201">
        <f t="shared" si="49"/>
        <v>0</v>
      </c>
      <c r="AA117" s="201">
        <f t="shared" si="49"/>
        <v>0</v>
      </c>
      <c r="AB117" s="201">
        <f t="shared" si="49"/>
        <v>0</v>
      </c>
      <c r="AC117" s="201">
        <f t="shared" si="49"/>
        <v>0</v>
      </c>
      <c r="AD117" s="201">
        <f t="shared" si="49"/>
        <v>0</v>
      </c>
      <c r="AE117" s="201">
        <f t="shared" si="49"/>
        <v>0</v>
      </c>
      <c r="AF117" s="201">
        <f>SUM(H117:AE117)</f>
        <v>0</v>
      </c>
      <c r="AG117" s="333" t="str">
        <f>IF(ABS(AF117-F117)&lt;1,"ok","err")</f>
        <v>ok</v>
      </c>
    </row>
    <row r="118" spans="1:33">
      <c r="A118" s="352" t="s">
        <v>778</v>
      </c>
      <c r="B118" s="318"/>
      <c r="C118" s="165" t="s">
        <v>641</v>
      </c>
      <c r="D118" s="165" t="s">
        <v>1268</v>
      </c>
      <c r="F118" s="340">
        <v>0</v>
      </c>
      <c r="H118" s="201">
        <f t="shared" si="48"/>
        <v>0</v>
      </c>
      <c r="I118" s="201">
        <f t="shared" si="48"/>
        <v>0</v>
      </c>
      <c r="J118" s="201">
        <f t="shared" si="48"/>
        <v>0</v>
      </c>
      <c r="K118" s="201">
        <f t="shared" si="48"/>
        <v>0</v>
      </c>
      <c r="L118" s="201">
        <f t="shared" si="48"/>
        <v>0</v>
      </c>
      <c r="M118" s="201">
        <f t="shared" si="48"/>
        <v>0</v>
      </c>
      <c r="N118" s="201">
        <f t="shared" si="48"/>
        <v>0</v>
      </c>
      <c r="O118" s="201">
        <f t="shared" si="48"/>
        <v>0</v>
      </c>
      <c r="P118" s="201">
        <f t="shared" si="48"/>
        <v>0</v>
      </c>
      <c r="Q118" s="201">
        <f t="shared" si="48"/>
        <v>0</v>
      </c>
      <c r="R118" s="201">
        <f t="shared" si="49"/>
        <v>0</v>
      </c>
      <c r="S118" s="201">
        <f t="shared" si="49"/>
        <v>0</v>
      </c>
      <c r="T118" s="201">
        <f t="shared" si="49"/>
        <v>0</v>
      </c>
      <c r="U118" s="201">
        <f t="shared" si="49"/>
        <v>0</v>
      </c>
      <c r="V118" s="201">
        <f t="shared" si="49"/>
        <v>0</v>
      </c>
      <c r="W118" s="201">
        <f t="shared" si="49"/>
        <v>0</v>
      </c>
      <c r="X118" s="201">
        <f t="shared" si="49"/>
        <v>0</v>
      </c>
      <c r="Y118" s="201">
        <f t="shared" si="49"/>
        <v>0</v>
      </c>
      <c r="Z118" s="201">
        <f t="shared" si="49"/>
        <v>0</v>
      </c>
      <c r="AA118" s="201">
        <f t="shared" si="49"/>
        <v>0</v>
      </c>
      <c r="AB118" s="201">
        <f t="shared" si="49"/>
        <v>0</v>
      </c>
      <c r="AC118" s="201">
        <f t="shared" si="49"/>
        <v>0</v>
      </c>
      <c r="AD118" s="201">
        <f t="shared" si="49"/>
        <v>0</v>
      </c>
      <c r="AE118" s="201">
        <f t="shared" si="49"/>
        <v>0</v>
      </c>
      <c r="AF118" s="201">
        <f>SUM(H118:AE118)</f>
        <v>0</v>
      </c>
      <c r="AG118" s="333" t="str">
        <f>IF(ABS(AF118-F118)&lt;1,"ok","err")</f>
        <v>ok</v>
      </c>
    </row>
    <row r="119" spans="1:33">
      <c r="A119" s="352"/>
      <c r="B119" s="318"/>
      <c r="F119" s="203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1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333"/>
    </row>
    <row r="120" spans="1:33">
      <c r="A120" s="318" t="s">
        <v>781</v>
      </c>
      <c r="B120" s="318"/>
      <c r="F120" s="203">
        <f>SUM(F115:F118)</f>
        <v>0</v>
      </c>
      <c r="H120" s="347">
        <f t="shared" ref="H120:M120" si="50">SUM(H115:H118)</f>
        <v>0</v>
      </c>
      <c r="I120" s="347">
        <f t="shared" si="50"/>
        <v>0</v>
      </c>
      <c r="J120" s="347">
        <f t="shared" si="50"/>
        <v>0</v>
      </c>
      <c r="K120" s="347">
        <f t="shared" si="50"/>
        <v>0</v>
      </c>
      <c r="L120" s="347">
        <f t="shared" si="50"/>
        <v>0</v>
      </c>
      <c r="M120" s="347">
        <f t="shared" si="50"/>
        <v>0</v>
      </c>
      <c r="N120" s="347">
        <f>SUM(N115:N118)</f>
        <v>0</v>
      </c>
      <c r="O120" s="347">
        <f>SUM(O115:O118)</f>
        <v>0</v>
      </c>
      <c r="P120" s="347">
        <f>SUM(P115:P118)</f>
        <v>0</v>
      </c>
      <c r="Q120" s="347">
        <f t="shared" ref="Q120:AB120" si="51">SUM(Q115:Q118)</f>
        <v>0</v>
      </c>
      <c r="R120" s="347">
        <f t="shared" si="51"/>
        <v>0</v>
      </c>
      <c r="S120" s="347">
        <f t="shared" si="51"/>
        <v>0</v>
      </c>
      <c r="T120" s="347">
        <f t="shared" si="51"/>
        <v>0</v>
      </c>
      <c r="U120" s="347">
        <f t="shared" si="51"/>
        <v>0</v>
      </c>
      <c r="V120" s="347">
        <f t="shared" si="51"/>
        <v>0</v>
      </c>
      <c r="W120" s="347">
        <f t="shared" si="51"/>
        <v>0</v>
      </c>
      <c r="X120" s="347">
        <f t="shared" si="51"/>
        <v>0</v>
      </c>
      <c r="Y120" s="347">
        <f t="shared" si="51"/>
        <v>0</v>
      </c>
      <c r="Z120" s="347">
        <f t="shared" si="51"/>
        <v>0</v>
      </c>
      <c r="AA120" s="347">
        <f t="shared" si="51"/>
        <v>0</v>
      </c>
      <c r="AB120" s="347">
        <f t="shared" si="51"/>
        <v>0</v>
      </c>
      <c r="AC120" s="347">
        <f>SUM(AC115:AC118)</f>
        <v>0</v>
      </c>
      <c r="AD120" s="347">
        <f>SUM(AD115:AD118)</f>
        <v>0</v>
      </c>
      <c r="AE120" s="347">
        <f>SUM(AE115:AE118)</f>
        <v>0</v>
      </c>
      <c r="AF120" s="201">
        <f>SUM(H120:AE120)</f>
        <v>0</v>
      </c>
      <c r="AG120" s="333" t="str">
        <f>IF(ABS(AF120-F120)&lt;1,"ok","err")</f>
        <v>ok</v>
      </c>
    </row>
    <row r="121" spans="1:33">
      <c r="A121" s="352"/>
      <c r="B121" s="318"/>
      <c r="F121" s="203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333"/>
    </row>
    <row r="122" spans="1:33">
      <c r="A122" s="87" t="s">
        <v>1087</v>
      </c>
      <c r="B122" s="318"/>
      <c r="C122" s="165" t="s">
        <v>1088</v>
      </c>
      <c r="F122" s="342">
        <f>F91+F98+F104-F105-F112-F120</f>
        <v>1920997668.0954003</v>
      </c>
      <c r="G122" s="343"/>
      <c r="H122" s="343">
        <f t="shared" ref="H122:M122" si="52">H80-H89+H98+H104-H105-H112-H120</f>
        <v>407601400.47975105</v>
      </c>
      <c r="I122" s="343">
        <f t="shared" si="52"/>
        <v>384236770.5478574</v>
      </c>
      <c r="J122" s="343">
        <f t="shared" si="52"/>
        <v>394613815.89233935</v>
      </c>
      <c r="K122" s="343">
        <f t="shared" si="52"/>
        <v>55761560.788281642</v>
      </c>
      <c r="L122" s="343">
        <f t="shared" si="52"/>
        <v>0</v>
      </c>
      <c r="M122" s="343">
        <f t="shared" si="52"/>
        <v>0</v>
      </c>
      <c r="N122" s="343">
        <f>N80-N89+N98+N104-N105-N112-N120</f>
        <v>41811671.28128925</v>
      </c>
      <c r="O122" s="343">
        <f>O80-O89+O98+O104-O105-O112-O120</f>
        <v>39414932.150433764</v>
      </c>
      <c r="P122" s="343">
        <f>P80-P89+P98+P104-P105-P112-P120</f>
        <v>40479407.415493786</v>
      </c>
      <c r="Q122" s="343">
        <f t="shared" ref="Q122:AB122" si="53">Q80-Q89+Q98+Q104-Q105-Q112-Q120</f>
        <v>0</v>
      </c>
      <c r="R122" s="343">
        <f t="shared" si="53"/>
        <v>60883654.87140166</v>
      </c>
      <c r="S122" s="343">
        <f t="shared" si="53"/>
        <v>0</v>
      </c>
      <c r="T122" s="343">
        <f t="shared" si="53"/>
        <v>93915264.403267652</v>
      </c>
      <c r="U122" s="343">
        <f t="shared" si="53"/>
        <v>153262647.28720188</v>
      </c>
      <c r="V122" s="343">
        <f t="shared" si="53"/>
        <v>31305088.134422526</v>
      </c>
      <c r="W122" s="343">
        <f t="shared" si="53"/>
        <v>51087549.095733956</v>
      </c>
      <c r="X122" s="343">
        <f t="shared" si="53"/>
        <v>43329311.930967972</v>
      </c>
      <c r="Y122" s="343">
        <f t="shared" si="53"/>
        <v>34461194.22875908</v>
      </c>
      <c r="Z122" s="343">
        <f t="shared" si="53"/>
        <v>15769162.16812823</v>
      </c>
      <c r="AA122" s="343">
        <f t="shared" si="53"/>
        <v>22612849.778681446</v>
      </c>
      <c r="AB122" s="343">
        <f t="shared" si="53"/>
        <v>46781186.076006979</v>
      </c>
      <c r="AC122" s="343">
        <f>AC80-AC89+AC98+AC104-AC105-AC112-AC120</f>
        <v>2120281.3747839313</v>
      </c>
      <c r="AD122" s="343">
        <f>AD80-AD89+AD98+AD104-AD105-AD112-AD120</f>
        <v>1549920.1905986255</v>
      </c>
      <c r="AE122" s="343">
        <f>AE80-AE89+AE98+AE104-AE105-AE112-AE120</f>
        <v>0</v>
      </c>
      <c r="AF122" s="201">
        <f>SUM(H122:AE122)</f>
        <v>1920997668.0954001</v>
      </c>
      <c r="AG122" s="333" t="str">
        <f>IF(ABS(AF122-F122)&lt;1,"ok","err")</f>
        <v>ok</v>
      </c>
    </row>
    <row r="123" spans="1:33">
      <c r="W123" s="165"/>
      <c r="AG123" s="333"/>
    </row>
    <row r="124" spans="1:33">
      <c r="W124" s="165"/>
      <c r="AG124" s="333"/>
    </row>
    <row r="125" spans="1:33">
      <c r="A125" s="6" t="s">
        <v>1079</v>
      </c>
      <c r="W125" s="165"/>
      <c r="AG125" s="333"/>
    </row>
    <row r="126" spans="1:33">
      <c r="A126" s="6"/>
      <c r="W126" s="165"/>
      <c r="AG126" s="333"/>
    </row>
    <row r="127" spans="1:33">
      <c r="A127" s="5" t="s">
        <v>233</v>
      </c>
      <c r="W127" s="165"/>
      <c r="AG127" s="333"/>
    </row>
    <row r="128" spans="1:33">
      <c r="A128" s="165">
        <v>500</v>
      </c>
      <c r="B128" s="165" t="s">
        <v>225</v>
      </c>
      <c r="C128" s="165" t="s">
        <v>226</v>
      </c>
      <c r="D128" s="165" t="s">
        <v>684</v>
      </c>
      <c r="F128" s="203">
        <v>2338675.27</v>
      </c>
      <c r="H128" s="201">
        <f t="shared" ref="H128:Q135" si="54">IF(VLOOKUP($D128,$C$6:$AE$598,H$2,)=0,0,((VLOOKUP($D128,$C$6:$AE$598,H$2,)/VLOOKUP($D128,$C$6:$AE$598,4,))*$F128))</f>
        <v>701275.88908823067</v>
      </c>
      <c r="I128" s="201">
        <f t="shared" si="54"/>
        <v>661077.17630309076</v>
      </c>
      <c r="J128" s="201">
        <f t="shared" si="54"/>
        <v>678930.8237427097</v>
      </c>
      <c r="K128" s="201">
        <f t="shared" si="54"/>
        <v>297391.38086596882</v>
      </c>
      <c r="L128" s="201">
        <f t="shared" si="54"/>
        <v>0</v>
      </c>
      <c r="M128" s="201">
        <f t="shared" si="54"/>
        <v>0</v>
      </c>
      <c r="N128" s="201">
        <f t="shared" si="54"/>
        <v>0</v>
      </c>
      <c r="O128" s="201">
        <f t="shared" si="54"/>
        <v>0</v>
      </c>
      <c r="P128" s="201">
        <f t="shared" si="54"/>
        <v>0</v>
      </c>
      <c r="Q128" s="201">
        <f t="shared" si="54"/>
        <v>0</v>
      </c>
      <c r="R128" s="201">
        <f t="shared" ref="R128:AE135" si="55">IF(VLOOKUP($D128,$C$6:$AE$598,R$2,)=0,0,((VLOOKUP($D128,$C$6:$AE$598,R$2,)/VLOOKUP($D128,$C$6:$AE$598,4,))*$F128))</f>
        <v>0</v>
      </c>
      <c r="S128" s="201">
        <f t="shared" si="55"/>
        <v>0</v>
      </c>
      <c r="T128" s="201">
        <f t="shared" si="55"/>
        <v>0</v>
      </c>
      <c r="U128" s="201">
        <f t="shared" si="55"/>
        <v>0</v>
      </c>
      <c r="V128" s="201">
        <f t="shared" si="55"/>
        <v>0</v>
      </c>
      <c r="W128" s="201">
        <f t="shared" si="55"/>
        <v>0</v>
      </c>
      <c r="X128" s="201">
        <f t="shared" si="55"/>
        <v>0</v>
      </c>
      <c r="Y128" s="201">
        <f t="shared" si="55"/>
        <v>0</v>
      </c>
      <c r="Z128" s="201">
        <f t="shared" si="55"/>
        <v>0</v>
      </c>
      <c r="AA128" s="201">
        <f t="shared" si="55"/>
        <v>0</v>
      </c>
      <c r="AB128" s="201">
        <f t="shared" si="55"/>
        <v>0</v>
      </c>
      <c r="AC128" s="201">
        <f t="shared" si="55"/>
        <v>0</v>
      </c>
      <c r="AD128" s="201">
        <f t="shared" si="55"/>
        <v>0</v>
      </c>
      <c r="AE128" s="201">
        <f t="shared" si="55"/>
        <v>0</v>
      </c>
      <c r="AF128" s="201">
        <f t="shared" ref="AF128:AF135" si="56">SUM(H128:AE128)</f>
        <v>2338675.27</v>
      </c>
      <c r="AG128" s="333" t="str">
        <f t="shared" ref="AG128:AG135" si="57">IF(ABS(AF128-F128)&lt;1,"ok","err")</f>
        <v>ok</v>
      </c>
    </row>
    <row r="129" spans="1:33">
      <c r="A129" s="353">
        <v>501</v>
      </c>
      <c r="B129" s="165" t="s">
        <v>227</v>
      </c>
      <c r="C129" s="165" t="s">
        <v>228</v>
      </c>
      <c r="D129" s="165" t="s">
        <v>1034</v>
      </c>
      <c r="F129" s="340">
        <v>347138171.33999997</v>
      </c>
      <c r="H129" s="201">
        <f t="shared" si="54"/>
        <v>0</v>
      </c>
      <c r="I129" s="201">
        <f t="shared" si="54"/>
        <v>0</v>
      </c>
      <c r="J129" s="201">
        <f t="shared" si="54"/>
        <v>0</v>
      </c>
      <c r="K129" s="201">
        <f t="shared" si="54"/>
        <v>347138171.33999997</v>
      </c>
      <c r="L129" s="201">
        <f t="shared" si="54"/>
        <v>0</v>
      </c>
      <c r="M129" s="201">
        <f t="shared" si="54"/>
        <v>0</v>
      </c>
      <c r="N129" s="201">
        <f t="shared" si="54"/>
        <v>0</v>
      </c>
      <c r="O129" s="201">
        <f t="shared" si="54"/>
        <v>0</v>
      </c>
      <c r="P129" s="201">
        <f t="shared" si="54"/>
        <v>0</v>
      </c>
      <c r="Q129" s="201">
        <f t="shared" si="54"/>
        <v>0</v>
      </c>
      <c r="R129" s="201">
        <f t="shared" si="55"/>
        <v>0</v>
      </c>
      <c r="S129" s="201">
        <f t="shared" si="55"/>
        <v>0</v>
      </c>
      <c r="T129" s="201">
        <f t="shared" si="55"/>
        <v>0</v>
      </c>
      <c r="U129" s="201">
        <f t="shared" si="55"/>
        <v>0</v>
      </c>
      <c r="V129" s="201">
        <f t="shared" si="55"/>
        <v>0</v>
      </c>
      <c r="W129" s="201">
        <f t="shared" si="55"/>
        <v>0</v>
      </c>
      <c r="X129" s="201">
        <f t="shared" si="55"/>
        <v>0</v>
      </c>
      <c r="Y129" s="201">
        <f t="shared" si="55"/>
        <v>0</v>
      </c>
      <c r="Z129" s="201">
        <f t="shared" si="55"/>
        <v>0</v>
      </c>
      <c r="AA129" s="201">
        <f t="shared" si="55"/>
        <v>0</v>
      </c>
      <c r="AB129" s="201">
        <f t="shared" si="55"/>
        <v>0</v>
      </c>
      <c r="AC129" s="201">
        <f t="shared" si="55"/>
        <v>0</v>
      </c>
      <c r="AD129" s="201">
        <f t="shared" si="55"/>
        <v>0</v>
      </c>
      <c r="AE129" s="201">
        <f t="shared" si="55"/>
        <v>0</v>
      </c>
      <c r="AF129" s="201">
        <f t="shared" si="56"/>
        <v>347138171.33999997</v>
      </c>
      <c r="AG129" s="333" t="str">
        <f t="shared" si="57"/>
        <v>ok</v>
      </c>
    </row>
    <row r="130" spans="1:33">
      <c r="A130" s="165">
        <v>502</v>
      </c>
      <c r="B130" s="165" t="s">
        <v>229</v>
      </c>
      <c r="C130" s="165" t="s">
        <v>230</v>
      </c>
      <c r="D130" s="165" t="s">
        <v>679</v>
      </c>
      <c r="F130" s="340">
        <v>34888635.859999999</v>
      </c>
      <c r="H130" s="201">
        <f t="shared" si="54"/>
        <v>11985867.944206631</v>
      </c>
      <c r="I130" s="201">
        <f t="shared" si="54"/>
        <v>11298811.009173237</v>
      </c>
      <c r="J130" s="201">
        <f t="shared" si="54"/>
        <v>11603956.90662013</v>
      </c>
      <c r="K130" s="201">
        <f t="shared" si="54"/>
        <v>0</v>
      </c>
      <c r="L130" s="201">
        <f t="shared" si="54"/>
        <v>0</v>
      </c>
      <c r="M130" s="201">
        <f t="shared" si="54"/>
        <v>0</v>
      </c>
      <c r="N130" s="201">
        <f t="shared" si="54"/>
        <v>0</v>
      </c>
      <c r="O130" s="201">
        <f t="shared" si="54"/>
        <v>0</v>
      </c>
      <c r="P130" s="201">
        <f t="shared" si="54"/>
        <v>0</v>
      </c>
      <c r="Q130" s="201">
        <f t="shared" si="54"/>
        <v>0</v>
      </c>
      <c r="R130" s="201">
        <f t="shared" si="55"/>
        <v>0</v>
      </c>
      <c r="S130" s="201">
        <f t="shared" si="55"/>
        <v>0</v>
      </c>
      <c r="T130" s="201">
        <f t="shared" si="55"/>
        <v>0</v>
      </c>
      <c r="U130" s="201">
        <f t="shared" si="55"/>
        <v>0</v>
      </c>
      <c r="V130" s="201">
        <f t="shared" si="55"/>
        <v>0</v>
      </c>
      <c r="W130" s="201">
        <f t="shared" si="55"/>
        <v>0</v>
      </c>
      <c r="X130" s="201">
        <f t="shared" si="55"/>
        <v>0</v>
      </c>
      <c r="Y130" s="201">
        <f t="shared" si="55"/>
        <v>0</v>
      </c>
      <c r="Z130" s="201">
        <f t="shared" si="55"/>
        <v>0</v>
      </c>
      <c r="AA130" s="201">
        <f t="shared" si="55"/>
        <v>0</v>
      </c>
      <c r="AB130" s="201">
        <f t="shared" si="55"/>
        <v>0</v>
      </c>
      <c r="AC130" s="201">
        <f t="shared" si="55"/>
        <v>0</v>
      </c>
      <c r="AD130" s="201">
        <f t="shared" si="55"/>
        <v>0</v>
      </c>
      <c r="AE130" s="201">
        <f t="shared" si="55"/>
        <v>0</v>
      </c>
      <c r="AF130" s="201">
        <f t="shared" si="56"/>
        <v>34888635.859999999</v>
      </c>
      <c r="AG130" s="333" t="str">
        <f t="shared" si="57"/>
        <v>ok</v>
      </c>
    </row>
    <row r="131" spans="1:33">
      <c r="A131" s="165">
        <v>504</v>
      </c>
      <c r="B131" s="318" t="s">
        <v>1441</v>
      </c>
      <c r="C131" s="165" t="s">
        <v>1439</v>
      </c>
      <c r="D131" s="165" t="s">
        <v>679</v>
      </c>
      <c r="F131" s="340">
        <v>37602.89</v>
      </c>
      <c r="H131" s="201">
        <f t="shared" si="54"/>
        <v>12918.340392243932</v>
      </c>
      <c r="I131" s="201">
        <f t="shared" si="54"/>
        <v>12177.832037160373</v>
      </c>
      <c r="J131" s="201">
        <f t="shared" si="54"/>
        <v>12506.717570595696</v>
      </c>
      <c r="K131" s="201">
        <f t="shared" si="54"/>
        <v>0</v>
      </c>
      <c r="L131" s="201">
        <f t="shared" si="54"/>
        <v>0</v>
      </c>
      <c r="M131" s="201">
        <f t="shared" si="54"/>
        <v>0</v>
      </c>
      <c r="N131" s="201">
        <f t="shared" si="54"/>
        <v>0</v>
      </c>
      <c r="O131" s="201">
        <f t="shared" si="54"/>
        <v>0</v>
      </c>
      <c r="P131" s="201">
        <f t="shared" si="54"/>
        <v>0</v>
      </c>
      <c r="Q131" s="201">
        <f t="shared" si="54"/>
        <v>0</v>
      </c>
      <c r="R131" s="201">
        <f t="shared" si="55"/>
        <v>0</v>
      </c>
      <c r="S131" s="201">
        <f t="shared" si="55"/>
        <v>0</v>
      </c>
      <c r="T131" s="201">
        <f t="shared" si="55"/>
        <v>0</v>
      </c>
      <c r="U131" s="201">
        <f t="shared" si="55"/>
        <v>0</v>
      </c>
      <c r="V131" s="201">
        <f t="shared" si="55"/>
        <v>0</v>
      </c>
      <c r="W131" s="201">
        <f t="shared" si="55"/>
        <v>0</v>
      </c>
      <c r="X131" s="201">
        <f t="shared" si="55"/>
        <v>0</v>
      </c>
      <c r="Y131" s="201">
        <f t="shared" si="55"/>
        <v>0</v>
      </c>
      <c r="Z131" s="201">
        <f t="shared" si="55"/>
        <v>0</v>
      </c>
      <c r="AA131" s="201">
        <f t="shared" si="55"/>
        <v>0</v>
      </c>
      <c r="AB131" s="201">
        <f t="shared" si="55"/>
        <v>0</v>
      </c>
      <c r="AC131" s="201">
        <f t="shared" si="55"/>
        <v>0</v>
      </c>
      <c r="AD131" s="201">
        <f t="shared" si="55"/>
        <v>0</v>
      </c>
      <c r="AE131" s="201">
        <f t="shared" si="55"/>
        <v>0</v>
      </c>
      <c r="AF131" s="201">
        <f>SUM(H131:AE131)</f>
        <v>37602.89</v>
      </c>
      <c r="AG131" s="333" t="str">
        <f>IF(ABS(AF131-F131)&lt;1,"ok","err")</f>
        <v>ok</v>
      </c>
    </row>
    <row r="132" spans="1:33">
      <c r="A132" s="165">
        <v>505</v>
      </c>
      <c r="B132" s="165" t="s">
        <v>231</v>
      </c>
      <c r="C132" s="165" t="s">
        <v>232</v>
      </c>
      <c r="D132" s="165" t="s">
        <v>679</v>
      </c>
      <c r="F132" s="340">
        <v>736005.13</v>
      </c>
      <c r="H132" s="201">
        <f t="shared" si="54"/>
        <v>252851.96961663707</v>
      </c>
      <c r="I132" s="201">
        <f t="shared" si="54"/>
        <v>238357.92545808011</v>
      </c>
      <c r="J132" s="201">
        <f t="shared" si="54"/>
        <v>244795.23492528286</v>
      </c>
      <c r="K132" s="201">
        <f t="shared" si="54"/>
        <v>0</v>
      </c>
      <c r="L132" s="201">
        <f t="shared" si="54"/>
        <v>0</v>
      </c>
      <c r="M132" s="201">
        <f t="shared" si="54"/>
        <v>0</v>
      </c>
      <c r="N132" s="201">
        <f t="shared" si="54"/>
        <v>0</v>
      </c>
      <c r="O132" s="201">
        <f t="shared" si="54"/>
        <v>0</v>
      </c>
      <c r="P132" s="201">
        <f t="shared" si="54"/>
        <v>0</v>
      </c>
      <c r="Q132" s="201">
        <f t="shared" si="54"/>
        <v>0</v>
      </c>
      <c r="R132" s="201">
        <f t="shared" si="55"/>
        <v>0</v>
      </c>
      <c r="S132" s="201">
        <f t="shared" si="55"/>
        <v>0</v>
      </c>
      <c r="T132" s="201">
        <f t="shared" si="55"/>
        <v>0</v>
      </c>
      <c r="U132" s="201">
        <f t="shared" si="55"/>
        <v>0</v>
      </c>
      <c r="V132" s="201">
        <f t="shared" si="55"/>
        <v>0</v>
      </c>
      <c r="W132" s="201">
        <f t="shared" si="55"/>
        <v>0</v>
      </c>
      <c r="X132" s="201">
        <f t="shared" si="55"/>
        <v>0</v>
      </c>
      <c r="Y132" s="201">
        <f t="shared" si="55"/>
        <v>0</v>
      </c>
      <c r="Z132" s="201">
        <f t="shared" si="55"/>
        <v>0</v>
      </c>
      <c r="AA132" s="201">
        <f t="shared" si="55"/>
        <v>0</v>
      </c>
      <c r="AB132" s="201">
        <f t="shared" si="55"/>
        <v>0</v>
      </c>
      <c r="AC132" s="201">
        <f t="shared" si="55"/>
        <v>0</v>
      </c>
      <c r="AD132" s="201">
        <f t="shared" si="55"/>
        <v>0</v>
      </c>
      <c r="AE132" s="201">
        <f t="shared" si="55"/>
        <v>0</v>
      </c>
      <c r="AF132" s="201">
        <f t="shared" si="56"/>
        <v>736005.13</v>
      </c>
      <c r="AG132" s="333" t="str">
        <f t="shared" si="57"/>
        <v>ok</v>
      </c>
    </row>
    <row r="133" spans="1:33">
      <c r="A133" s="165">
        <v>506</v>
      </c>
      <c r="B133" s="165" t="s">
        <v>234</v>
      </c>
      <c r="C133" s="165" t="s">
        <v>235</v>
      </c>
      <c r="D133" s="165" t="s">
        <v>679</v>
      </c>
      <c r="F133" s="340">
        <v>17654961.02</v>
      </c>
      <c r="H133" s="201">
        <f t="shared" si="54"/>
        <v>6065299.663620485</v>
      </c>
      <c r="I133" s="201">
        <f t="shared" si="54"/>
        <v>5717623.0317449952</v>
      </c>
      <c r="J133" s="201">
        <f t="shared" si="54"/>
        <v>5872038.3246345185</v>
      </c>
      <c r="K133" s="201">
        <f t="shared" si="54"/>
        <v>0</v>
      </c>
      <c r="L133" s="201">
        <f t="shared" si="54"/>
        <v>0</v>
      </c>
      <c r="M133" s="201">
        <f t="shared" si="54"/>
        <v>0</v>
      </c>
      <c r="N133" s="201">
        <f t="shared" si="54"/>
        <v>0</v>
      </c>
      <c r="O133" s="201">
        <f t="shared" si="54"/>
        <v>0</v>
      </c>
      <c r="P133" s="201">
        <f t="shared" si="54"/>
        <v>0</v>
      </c>
      <c r="Q133" s="201">
        <f t="shared" si="54"/>
        <v>0</v>
      </c>
      <c r="R133" s="201">
        <f t="shared" si="55"/>
        <v>0</v>
      </c>
      <c r="S133" s="201">
        <f t="shared" si="55"/>
        <v>0</v>
      </c>
      <c r="T133" s="201">
        <f t="shared" si="55"/>
        <v>0</v>
      </c>
      <c r="U133" s="201">
        <f t="shared" si="55"/>
        <v>0</v>
      </c>
      <c r="V133" s="201">
        <f t="shared" si="55"/>
        <v>0</v>
      </c>
      <c r="W133" s="201">
        <f t="shared" si="55"/>
        <v>0</v>
      </c>
      <c r="X133" s="201">
        <f t="shared" si="55"/>
        <v>0</v>
      </c>
      <c r="Y133" s="201">
        <f t="shared" si="55"/>
        <v>0</v>
      </c>
      <c r="Z133" s="201">
        <f t="shared" si="55"/>
        <v>0</v>
      </c>
      <c r="AA133" s="201">
        <f t="shared" si="55"/>
        <v>0</v>
      </c>
      <c r="AB133" s="201">
        <f t="shared" si="55"/>
        <v>0</v>
      </c>
      <c r="AC133" s="201">
        <f t="shared" si="55"/>
        <v>0</v>
      </c>
      <c r="AD133" s="201">
        <f t="shared" si="55"/>
        <v>0</v>
      </c>
      <c r="AE133" s="201">
        <f t="shared" si="55"/>
        <v>0</v>
      </c>
      <c r="AF133" s="201">
        <f t="shared" si="56"/>
        <v>17654961.02</v>
      </c>
      <c r="AG133" s="333" t="str">
        <f t="shared" si="57"/>
        <v>ok</v>
      </c>
    </row>
    <row r="134" spans="1:33">
      <c r="A134" s="165">
        <v>507</v>
      </c>
      <c r="B134" s="165" t="s">
        <v>1108</v>
      </c>
      <c r="C134" s="165" t="s">
        <v>360</v>
      </c>
      <c r="D134" s="165" t="s">
        <v>679</v>
      </c>
      <c r="F134" s="340">
        <v>88735.84</v>
      </c>
      <c r="H134" s="201">
        <f t="shared" si="54"/>
        <v>30484.885233866193</v>
      </c>
      <c r="I134" s="201">
        <f t="shared" si="54"/>
        <v>28737.422979891624</v>
      </c>
      <c r="J134" s="201">
        <f t="shared" si="54"/>
        <v>29513.531786242183</v>
      </c>
      <c r="K134" s="201">
        <f t="shared" si="54"/>
        <v>0</v>
      </c>
      <c r="L134" s="201">
        <f t="shared" si="54"/>
        <v>0</v>
      </c>
      <c r="M134" s="201">
        <f t="shared" si="54"/>
        <v>0</v>
      </c>
      <c r="N134" s="201">
        <f t="shared" si="54"/>
        <v>0</v>
      </c>
      <c r="O134" s="201">
        <f t="shared" si="54"/>
        <v>0</v>
      </c>
      <c r="P134" s="201">
        <f t="shared" si="54"/>
        <v>0</v>
      </c>
      <c r="Q134" s="201">
        <f t="shared" si="54"/>
        <v>0</v>
      </c>
      <c r="R134" s="201">
        <f t="shared" si="55"/>
        <v>0</v>
      </c>
      <c r="S134" s="201">
        <f t="shared" si="55"/>
        <v>0</v>
      </c>
      <c r="T134" s="201">
        <f t="shared" si="55"/>
        <v>0</v>
      </c>
      <c r="U134" s="201">
        <f t="shared" si="55"/>
        <v>0</v>
      </c>
      <c r="V134" s="201">
        <f t="shared" si="55"/>
        <v>0</v>
      </c>
      <c r="W134" s="201">
        <f t="shared" si="55"/>
        <v>0</v>
      </c>
      <c r="X134" s="201">
        <f t="shared" si="55"/>
        <v>0</v>
      </c>
      <c r="Y134" s="201">
        <f t="shared" si="55"/>
        <v>0</v>
      </c>
      <c r="Z134" s="201">
        <f t="shared" si="55"/>
        <v>0</v>
      </c>
      <c r="AA134" s="201">
        <f t="shared" si="55"/>
        <v>0</v>
      </c>
      <c r="AB134" s="201">
        <f t="shared" si="55"/>
        <v>0</v>
      </c>
      <c r="AC134" s="201">
        <f t="shared" si="55"/>
        <v>0</v>
      </c>
      <c r="AD134" s="201">
        <f t="shared" si="55"/>
        <v>0</v>
      </c>
      <c r="AE134" s="201">
        <f t="shared" si="55"/>
        <v>0</v>
      </c>
      <c r="AF134" s="201">
        <f>SUM(H134:AE134)</f>
        <v>88735.84</v>
      </c>
      <c r="AG134" s="333" t="str">
        <f t="shared" si="57"/>
        <v>ok</v>
      </c>
    </row>
    <row r="135" spans="1:33">
      <c r="A135" s="165">
        <v>509</v>
      </c>
      <c r="B135" s="165" t="s">
        <v>615</v>
      </c>
      <c r="C135" s="165" t="s">
        <v>614</v>
      </c>
      <c r="D135" s="165" t="s">
        <v>679</v>
      </c>
      <c r="F135" s="340">
        <v>81359.03</v>
      </c>
      <c r="H135" s="201">
        <f t="shared" si="54"/>
        <v>27950.608145352278</v>
      </c>
      <c r="I135" s="201">
        <f t="shared" si="54"/>
        <v>26348.416359654588</v>
      </c>
      <c r="J135" s="201">
        <f t="shared" si="54"/>
        <v>27060.005494993133</v>
      </c>
      <c r="K135" s="201">
        <f t="shared" si="54"/>
        <v>0</v>
      </c>
      <c r="L135" s="201">
        <f t="shared" si="54"/>
        <v>0</v>
      </c>
      <c r="M135" s="201">
        <f t="shared" si="54"/>
        <v>0</v>
      </c>
      <c r="N135" s="201">
        <f t="shared" si="54"/>
        <v>0</v>
      </c>
      <c r="O135" s="201">
        <f t="shared" si="54"/>
        <v>0</v>
      </c>
      <c r="P135" s="201">
        <f t="shared" si="54"/>
        <v>0</v>
      </c>
      <c r="Q135" s="201">
        <f t="shared" si="54"/>
        <v>0</v>
      </c>
      <c r="R135" s="201">
        <f t="shared" si="55"/>
        <v>0</v>
      </c>
      <c r="S135" s="201">
        <f t="shared" si="55"/>
        <v>0</v>
      </c>
      <c r="T135" s="201">
        <f t="shared" si="55"/>
        <v>0</v>
      </c>
      <c r="U135" s="201">
        <f t="shared" si="55"/>
        <v>0</v>
      </c>
      <c r="V135" s="201">
        <f t="shared" si="55"/>
        <v>0</v>
      </c>
      <c r="W135" s="201">
        <f t="shared" si="55"/>
        <v>0</v>
      </c>
      <c r="X135" s="201">
        <f t="shared" si="55"/>
        <v>0</v>
      </c>
      <c r="Y135" s="201">
        <f t="shared" si="55"/>
        <v>0</v>
      </c>
      <c r="Z135" s="201">
        <f t="shared" si="55"/>
        <v>0</v>
      </c>
      <c r="AA135" s="201">
        <f t="shared" si="55"/>
        <v>0</v>
      </c>
      <c r="AB135" s="201">
        <f t="shared" si="55"/>
        <v>0</v>
      </c>
      <c r="AC135" s="201">
        <f t="shared" si="55"/>
        <v>0</v>
      </c>
      <c r="AD135" s="201">
        <f t="shared" si="55"/>
        <v>0</v>
      </c>
      <c r="AE135" s="201">
        <f t="shared" si="55"/>
        <v>0</v>
      </c>
      <c r="AF135" s="201">
        <f t="shared" si="56"/>
        <v>81359.03</v>
      </c>
      <c r="AG135" s="333" t="str">
        <f t="shared" si="57"/>
        <v>ok</v>
      </c>
    </row>
    <row r="136" spans="1:33">
      <c r="F136" s="203"/>
      <c r="W136" s="165"/>
      <c r="AG136" s="333"/>
    </row>
    <row r="137" spans="1:33">
      <c r="B137" s="165" t="s">
        <v>236</v>
      </c>
      <c r="F137" s="203">
        <f>SUM(F128:F136)</f>
        <v>402964146.37999988</v>
      </c>
      <c r="H137" s="347">
        <f>SUM(H128:H136)</f>
        <v>19076649.300303444</v>
      </c>
      <c r="I137" s="347">
        <f t="shared" ref="I137:AF137" si="58">SUM(I128:I136)</f>
        <v>17983132.81405611</v>
      </c>
      <c r="J137" s="347">
        <f t="shared" si="58"/>
        <v>18468801.544774469</v>
      </c>
      <c r="K137" s="347">
        <f t="shared" si="58"/>
        <v>347435562.72086596</v>
      </c>
      <c r="L137" s="347">
        <f t="shared" si="58"/>
        <v>0</v>
      </c>
      <c r="M137" s="347">
        <f t="shared" si="58"/>
        <v>0</v>
      </c>
      <c r="N137" s="347">
        <f t="shared" si="58"/>
        <v>0</v>
      </c>
      <c r="O137" s="347">
        <f>SUM(O128:O136)</f>
        <v>0</v>
      </c>
      <c r="P137" s="347">
        <f>SUM(P128:P136)</f>
        <v>0</v>
      </c>
      <c r="Q137" s="347">
        <f t="shared" si="58"/>
        <v>0</v>
      </c>
      <c r="R137" s="347">
        <f t="shared" si="58"/>
        <v>0</v>
      </c>
      <c r="S137" s="347">
        <f t="shared" si="58"/>
        <v>0</v>
      </c>
      <c r="T137" s="347">
        <f t="shared" si="58"/>
        <v>0</v>
      </c>
      <c r="U137" s="347">
        <f>SUM(U128:U136)</f>
        <v>0</v>
      </c>
      <c r="V137" s="347">
        <f>SUM(V128:V136)</f>
        <v>0</v>
      </c>
      <c r="W137" s="347">
        <f>SUM(W128:W136)</f>
        <v>0</v>
      </c>
      <c r="X137" s="347">
        <f t="shared" si="58"/>
        <v>0</v>
      </c>
      <c r="Y137" s="347">
        <f t="shared" si="58"/>
        <v>0</v>
      </c>
      <c r="Z137" s="347">
        <f>SUM(Z128:Z136)</f>
        <v>0</v>
      </c>
      <c r="AA137" s="347">
        <f>SUM(AA128:AA136)</f>
        <v>0</v>
      </c>
      <c r="AB137" s="347">
        <f t="shared" si="58"/>
        <v>0</v>
      </c>
      <c r="AC137" s="347">
        <f t="shared" si="58"/>
        <v>0</v>
      </c>
      <c r="AD137" s="347">
        <f t="shared" si="58"/>
        <v>0</v>
      </c>
      <c r="AE137" s="347">
        <f t="shared" si="58"/>
        <v>0</v>
      </c>
      <c r="AF137" s="347">
        <f t="shared" si="58"/>
        <v>402964146.37999988</v>
      </c>
      <c r="AG137" s="333" t="str">
        <f>IF(ABS(AF137-F137)&lt;1,"ok","err")</f>
        <v>ok</v>
      </c>
    </row>
    <row r="138" spans="1:33">
      <c r="F138" s="203"/>
      <c r="W138" s="165"/>
      <c r="AG138" s="333"/>
    </row>
    <row r="139" spans="1:33">
      <c r="A139" s="5" t="s">
        <v>237</v>
      </c>
      <c r="F139" s="203"/>
      <c r="W139" s="165"/>
      <c r="AG139" s="333"/>
    </row>
    <row r="140" spans="1:33">
      <c r="A140" s="165">
        <v>510</v>
      </c>
      <c r="B140" s="165" t="s">
        <v>240</v>
      </c>
      <c r="C140" s="165" t="s">
        <v>238</v>
      </c>
      <c r="D140" s="165" t="s">
        <v>87</v>
      </c>
      <c r="F140" s="203">
        <v>3628671.56</v>
      </c>
      <c r="H140" s="201">
        <f t="shared" ref="H140:Q144" si="59">IF(VLOOKUP($D140,$C$6:$AE$598,H$2,)=0,0,((VLOOKUP($D140,$C$6:$AE$598,H$2,)/VLOOKUP($D140,$C$6:$AE$598,4,))*$F140))</f>
        <v>41296.791996448432</v>
      </c>
      <c r="I140" s="201">
        <f t="shared" si="59"/>
        <v>38929.566905377273</v>
      </c>
      <c r="J140" s="201">
        <f t="shared" si="59"/>
        <v>39980.933958150861</v>
      </c>
      <c r="K140" s="201">
        <f t="shared" si="59"/>
        <v>3508464.2671400234</v>
      </c>
      <c r="L140" s="201">
        <f t="shared" si="59"/>
        <v>0</v>
      </c>
      <c r="M140" s="201">
        <f t="shared" si="59"/>
        <v>0</v>
      </c>
      <c r="N140" s="201">
        <f t="shared" si="59"/>
        <v>0</v>
      </c>
      <c r="O140" s="201">
        <f t="shared" si="59"/>
        <v>0</v>
      </c>
      <c r="P140" s="201">
        <f t="shared" si="59"/>
        <v>0</v>
      </c>
      <c r="Q140" s="201">
        <f t="shared" si="59"/>
        <v>0</v>
      </c>
      <c r="R140" s="201">
        <f t="shared" ref="R140:AE144" si="60">IF(VLOOKUP($D140,$C$6:$AE$598,R$2,)=0,0,((VLOOKUP($D140,$C$6:$AE$598,R$2,)/VLOOKUP($D140,$C$6:$AE$598,4,))*$F140))</f>
        <v>0</v>
      </c>
      <c r="S140" s="201">
        <f t="shared" si="60"/>
        <v>0</v>
      </c>
      <c r="T140" s="201">
        <f t="shared" si="60"/>
        <v>0</v>
      </c>
      <c r="U140" s="201">
        <f t="shared" si="60"/>
        <v>0</v>
      </c>
      <c r="V140" s="201">
        <f t="shared" si="60"/>
        <v>0</v>
      </c>
      <c r="W140" s="201">
        <f t="shared" si="60"/>
        <v>0</v>
      </c>
      <c r="X140" s="201">
        <f t="shared" si="60"/>
        <v>0</v>
      </c>
      <c r="Y140" s="201">
        <f t="shared" si="60"/>
        <v>0</v>
      </c>
      <c r="Z140" s="201">
        <f t="shared" si="60"/>
        <v>0</v>
      </c>
      <c r="AA140" s="201">
        <f t="shared" si="60"/>
        <v>0</v>
      </c>
      <c r="AB140" s="201">
        <f t="shared" si="60"/>
        <v>0</v>
      </c>
      <c r="AC140" s="201">
        <f t="shared" si="60"/>
        <v>0</v>
      </c>
      <c r="AD140" s="201">
        <f t="shared" si="60"/>
        <v>0</v>
      </c>
      <c r="AE140" s="201">
        <f t="shared" si="60"/>
        <v>0</v>
      </c>
      <c r="AF140" s="201">
        <f>SUM(H140:AE140)</f>
        <v>3628671.56</v>
      </c>
      <c r="AG140" s="333" t="str">
        <f>IF(ABS(AF140-F140)&lt;1,"ok","err")</f>
        <v>ok</v>
      </c>
    </row>
    <row r="141" spans="1:33">
      <c r="A141" s="165">
        <v>511</v>
      </c>
      <c r="B141" s="165" t="s">
        <v>239</v>
      </c>
      <c r="C141" s="165" t="s">
        <v>241</v>
      </c>
      <c r="D141" s="165" t="s">
        <v>679</v>
      </c>
      <c r="F141" s="340">
        <v>2040567.95</v>
      </c>
      <c r="H141" s="201">
        <f t="shared" si="59"/>
        <v>701029.9307208407</v>
      </c>
      <c r="I141" s="201">
        <f t="shared" si="59"/>
        <v>660845.31682305981</v>
      </c>
      <c r="J141" s="201">
        <f t="shared" si="59"/>
        <v>678692.70245609945</v>
      </c>
      <c r="K141" s="201">
        <f t="shared" si="59"/>
        <v>0</v>
      </c>
      <c r="L141" s="201">
        <f t="shared" si="59"/>
        <v>0</v>
      </c>
      <c r="M141" s="201">
        <f t="shared" si="59"/>
        <v>0</v>
      </c>
      <c r="N141" s="201">
        <f t="shared" si="59"/>
        <v>0</v>
      </c>
      <c r="O141" s="201">
        <f t="shared" si="59"/>
        <v>0</v>
      </c>
      <c r="P141" s="201">
        <f t="shared" si="59"/>
        <v>0</v>
      </c>
      <c r="Q141" s="201">
        <f t="shared" si="59"/>
        <v>0</v>
      </c>
      <c r="R141" s="201">
        <f t="shared" si="60"/>
        <v>0</v>
      </c>
      <c r="S141" s="201">
        <f t="shared" si="60"/>
        <v>0</v>
      </c>
      <c r="T141" s="201">
        <f t="shared" si="60"/>
        <v>0</v>
      </c>
      <c r="U141" s="201">
        <f t="shared" si="60"/>
        <v>0</v>
      </c>
      <c r="V141" s="201">
        <f t="shared" si="60"/>
        <v>0</v>
      </c>
      <c r="W141" s="201">
        <f t="shared" si="60"/>
        <v>0</v>
      </c>
      <c r="X141" s="201">
        <f t="shared" si="60"/>
        <v>0</v>
      </c>
      <c r="Y141" s="201">
        <f t="shared" si="60"/>
        <v>0</v>
      </c>
      <c r="Z141" s="201">
        <f t="shared" si="60"/>
        <v>0</v>
      </c>
      <c r="AA141" s="201">
        <f t="shared" si="60"/>
        <v>0</v>
      </c>
      <c r="AB141" s="201">
        <f t="shared" si="60"/>
        <v>0</v>
      </c>
      <c r="AC141" s="201">
        <f t="shared" si="60"/>
        <v>0</v>
      </c>
      <c r="AD141" s="201">
        <f t="shared" si="60"/>
        <v>0</v>
      </c>
      <c r="AE141" s="201">
        <f t="shared" si="60"/>
        <v>0</v>
      </c>
      <c r="AF141" s="201">
        <f>SUM(H141:AE141)</f>
        <v>2040567.95</v>
      </c>
      <c r="AG141" s="333" t="str">
        <f>IF(ABS(AF141-F141)&lt;1,"ok","err")</f>
        <v>ok</v>
      </c>
    </row>
    <row r="142" spans="1:33">
      <c r="A142" s="165">
        <v>512</v>
      </c>
      <c r="B142" s="165" t="s">
        <v>242</v>
      </c>
      <c r="C142" s="165" t="s">
        <v>244</v>
      </c>
      <c r="D142" s="165" t="s">
        <v>1034</v>
      </c>
      <c r="F142" s="340">
        <v>46350907.560000002</v>
      </c>
      <c r="H142" s="201">
        <f t="shared" si="59"/>
        <v>0</v>
      </c>
      <c r="I142" s="201">
        <f t="shared" si="59"/>
        <v>0</v>
      </c>
      <c r="J142" s="201">
        <f t="shared" si="59"/>
        <v>0</v>
      </c>
      <c r="K142" s="201">
        <f t="shared" si="59"/>
        <v>46350907.560000002</v>
      </c>
      <c r="L142" s="201">
        <f t="shared" si="59"/>
        <v>0</v>
      </c>
      <c r="M142" s="201">
        <f t="shared" si="59"/>
        <v>0</v>
      </c>
      <c r="N142" s="201">
        <f t="shared" si="59"/>
        <v>0</v>
      </c>
      <c r="O142" s="201">
        <f t="shared" si="59"/>
        <v>0</v>
      </c>
      <c r="P142" s="201">
        <f t="shared" si="59"/>
        <v>0</v>
      </c>
      <c r="Q142" s="201">
        <f t="shared" si="59"/>
        <v>0</v>
      </c>
      <c r="R142" s="201">
        <f t="shared" si="60"/>
        <v>0</v>
      </c>
      <c r="S142" s="201">
        <f t="shared" si="60"/>
        <v>0</v>
      </c>
      <c r="T142" s="201">
        <f t="shared" si="60"/>
        <v>0</v>
      </c>
      <c r="U142" s="201">
        <f t="shared" si="60"/>
        <v>0</v>
      </c>
      <c r="V142" s="201">
        <f t="shared" si="60"/>
        <v>0</v>
      </c>
      <c r="W142" s="201">
        <f t="shared" si="60"/>
        <v>0</v>
      </c>
      <c r="X142" s="201">
        <f t="shared" si="60"/>
        <v>0</v>
      </c>
      <c r="Y142" s="201">
        <f t="shared" si="60"/>
        <v>0</v>
      </c>
      <c r="Z142" s="201">
        <f t="shared" si="60"/>
        <v>0</v>
      </c>
      <c r="AA142" s="201">
        <f t="shared" si="60"/>
        <v>0</v>
      </c>
      <c r="AB142" s="201">
        <f t="shared" si="60"/>
        <v>0</v>
      </c>
      <c r="AC142" s="201">
        <f t="shared" si="60"/>
        <v>0</v>
      </c>
      <c r="AD142" s="201">
        <f t="shared" si="60"/>
        <v>0</v>
      </c>
      <c r="AE142" s="201">
        <f t="shared" si="60"/>
        <v>0</v>
      </c>
      <c r="AF142" s="201">
        <f>SUM(H142:AE142)</f>
        <v>46350907.560000002</v>
      </c>
      <c r="AG142" s="333" t="str">
        <f>IF(ABS(AF142-F142)&lt;1,"ok","err")</f>
        <v>ok</v>
      </c>
    </row>
    <row r="143" spans="1:33">
      <c r="A143" s="165">
        <v>513</v>
      </c>
      <c r="B143" s="165" t="s">
        <v>243</v>
      </c>
      <c r="C143" s="165" t="s">
        <v>245</v>
      </c>
      <c r="D143" s="165" t="s">
        <v>1034</v>
      </c>
      <c r="F143" s="340">
        <v>11612284.75</v>
      </c>
      <c r="H143" s="201">
        <f t="shared" si="59"/>
        <v>0</v>
      </c>
      <c r="I143" s="201">
        <f t="shared" si="59"/>
        <v>0</v>
      </c>
      <c r="J143" s="201">
        <f t="shared" si="59"/>
        <v>0</v>
      </c>
      <c r="K143" s="201">
        <f t="shared" si="59"/>
        <v>11612284.75</v>
      </c>
      <c r="L143" s="201">
        <f t="shared" si="59"/>
        <v>0</v>
      </c>
      <c r="M143" s="201">
        <f t="shared" si="59"/>
        <v>0</v>
      </c>
      <c r="N143" s="201">
        <f t="shared" si="59"/>
        <v>0</v>
      </c>
      <c r="O143" s="201">
        <f t="shared" si="59"/>
        <v>0</v>
      </c>
      <c r="P143" s="201">
        <f t="shared" si="59"/>
        <v>0</v>
      </c>
      <c r="Q143" s="201">
        <f t="shared" si="59"/>
        <v>0</v>
      </c>
      <c r="R143" s="201">
        <f t="shared" si="60"/>
        <v>0</v>
      </c>
      <c r="S143" s="201">
        <f t="shared" si="60"/>
        <v>0</v>
      </c>
      <c r="T143" s="201">
        <f t="shared" si="60"/>
        <v>0</v>
      </c>
      <c r="U143" s="201">
        <f t="shared" si="60"/>
        <v>0</v>
      </c>
      <c r="V143" s="201">
        <f t="shared" si="60"/>
        <v>0</v>
      </c>
      <c r="W143" s="201">
        <f t="shared" si="60"/>
        <v>0</v>
      </c>
      <c r="X143" s="201">
        <f t="shared" si="60"/>
        <v>0</v>
      </c>
      <c r="Y143" s="201">
        <f t="shared" si="60"/>
        <v>0</v>
      </c>
      <c r="Z143" s="201">
        <f t="shared" si="60"/>
        <v>0</v>
      </c>
      <c r="AA143" s="201">
        <f t="shared" si="60"/>
        <v>0</v>
      </c>
      <c r="AB143" s="201">
        <f t="shared" si="60"/>
        <v>0</v>
      </c>
      <c r="AC143" s="201">
        <f t="shared" si="60"/>
        <v>0</v>
      </c>
      <c r="AD143" s="201">
        <f t="shared" si="60"/>
        <v>0</v>
      </c>
      <c r="AE143" s="201">
        <f t="shared" si="60"/>
        <v>0</v>
      </c>
      <c r="AF143" s="201">
        <f>SUM(H143:AE143)</f>
        <v>11612284.75</v>
      </c>
      <c r="AG143" s="333" t="str">
        <f>IF(ABS(AF143-F143)&lt;1,"ok","err")</f>
        <v>ok</v>
      </c>
    </row>
    <row r="144" spans="1:33">
      <c r="A144" s="165">
        <v>514</v>
      </c>
      <c r="B144" s="165" t="s">
        <v>246</v>
      </c>
      <c r="C144" s="165" t="s">
        <v>247</v>
      </c>
      <c r="D144" s="165" t="s">
        <v>1034</v>
      </c>
      <c r="F144" s="340">
        <v>1927230.06</v>
      </c>
      <c r="H144" s="201">
        <f t="shared" si="59"/>
        <v>0</v>
      </c>
      <c r="I144" s="201">
        <f t="shared" si="59"/>
        <v>0</v>
      </c>
      <c r="J144" s="201">
        <f t="shared" si="59"/>
        <v>0</v>
      </c>
      <c r="K144" s="201">
        <f t="shared" si="59"/>
        <v>1927230.06</v>
      </c>
      <c r="L144" s="201">
        <f t="shared" si="59"/>
        <v>0</v>
      </c>
      <c r="M144" s="201">
        <f t="shared" si="59"/>
        <v>0</v>
      </c>
      <c r="N144" s="201">
        <f t="shared" si="59"/>
        <v>0</v>
      </c>
      <c r="O144" s="201">
        <f t="shared" si="59"/>
        <v>0</v>
      </c>
      <c r="P144" s="201">
        <f t="shared" si="59"/>
        <v>0</v>
      </c>
      <c r="Q144" s="201">
        <f t="shared" si="59"/>
        <v>0</v>
      </c>
      <c r="R144" s="201">
        <f t="shared" si="60"/>
        <v>0</v>
      </c>
      <c r="S144" s="201">
        <f t="shared" si="60"/>
        <v>0</v>
      </c>
      <c r="T144" s="201">
        <f t="shared" si="60"/>
        <v>0</v>
      </c>
      <c r="U144" s="201">
        <f t="shared" si="60"/>
        <v>0</v>
      </c>
      <c r="V144" s="201">
        <f t="shared" si="60"/>
        <v>0</v>
      </c>
      <c r="W144" s="201">
        <f t="shared" si="60"/>
        <v>0</v>
      </c>
      <c r="X144" s="201">
        <f t="shared" si="60"/>
        <v>0</v>
      </c>
      <c r="Y144" s="201">
        <f t="shared" si="60"/>
        <v>0</v>
      </c>
      <c r="Z144" s="201">
        <f t="shared" si="60"/>
        <v>0</v>
      </c>
      <c r="AA144" s="201">
        <f t="shared" si="60"/>
        <v>0</v>
      </c>
      <c r="AB144" s="201">
        <f t="shared" si="60"/>
        <v>0</v>
      </c>
      <c r="AC144" s="201">
        <f t="shared" si="60"/>
        <v>0</v>
      </c>
      <c r="AD144" s="201">
        <f t="shared" si="60"/>
        <v>0</v>
      </c>
      <c r="AE144" s="201">
        <f t="shared" si="60"/>
        <v>0</v>
      </c>
      <c r="AF144" s="201">
        <f>SUM(H144:AE144)</f>
        <v>1927230.06</v>
      </c>
      <c r="AG144" s="333" t="str">
        <f>IF(ABS(AF144-F144)&lt;1,"ok","err")</f>
        <v>ok</v>
      </c>
    </row>
    <row r="145" spans="1:33">
      <c r="F145" s="203"/>
      <c r="W145" s="165"/>
      <c r="AF145" s="201"/>
      <c r="AG145" s="333"/>
    </row>
    <row r="146" spans="1:33">
      <c r="B146" s="165" t="s">
        <v>248</v>
      </c>
      <c r="F146" s="203">
        <f>SUM(F140:F145)</f>
        <v>65559661.880000003</v>
      </c>
      <c r="H146" s="347">
        <f t="shared" ref="H146:M146" si="61">SUM(H140:H145)</f>
        <v>742326.72271728911</v>
      </c>
      <c r="I146" s="347">
        <f t="shared" si="61"/>
        <v>699774.88372843713</v>
      </c>
      <c r="J146" s="347">
        <f t="shared" si="61"/>
        <v>718673.63641425036</v>
      </c>
      <c r="K146" s="347">
        <f t="shared" si="61"/>
        <v>63398886.637140028</v>
      </c>
      <c r="L146" s="347">
        <f t="shared" si="61"/>
        <v>0</v>
      </c>
      <c r="M146" s="347">
        <f t="shared" si="61"/>
        <v>0</v>
      </c>
      <c r="N146" s="347">
        <f>SUM(N140:N145)</f>
        <v>0</v>
      </c>
      <c r="O146" s="347">
        <f>SUM(O140:O145)</f>
        <v>0</v>
      </c>
      <c r="P146" s="347">
        <f>SUM(P140:P145)</f>
        <v>0</v>
      </c>
      <c r="Q146" s="347">
        <f t="shared" ref="Q146:AB146" si="62">SUM(Q140:Q145)</f>
        <v>0</v>
      </c>
      <c r="R146" s="347">
        <f t="shared" si="62"/>
        <v>0</v>
      </c>
      <c r="S146" s="347">
        <f t="shared" si="62"/>
        <v>0</v>
      </c>
      <c r="T146" s="347">
        <f t="shared" si="62"/>
        <v>0</v>
      </c>
      <c r="U146" s="347">
        <f t="shared" si="62"/>
        <v>0</v>
      </c>
      <c r="V146" s="347">
        <f t="shared" si="62"/>
        <v>0</v>
      </c>
      <c r="W146" s="347">
        <f t="shared" si="62"/>
        <v>0</v>
      </c>
      <c r="X146" s="347">
        <f t="shared" si="62"/>
        <v>0</v>
      </c>
      <c r="Y146" s="347">
        <f t="shared" si="62"/>
        <v>0</v>
      </c>
      <c r="Z146" s="347">
        <f t="shared" si="62"/>
        <v>0</v>
      </c>
      <c r="AA146" s="347">
        <f t="shared" si="62"/>
        <v>0</v>
      </c>
      <c r="AB146" s="347">
        <f t="shared" si="62"/>
        <v>0</v>
      </c>
      <c r="AC146" s="347">
        <f>SUM(AC140:AC145)</f>
        <v>0</v>
      </c>
      <c r="AD146" s="347">
        <f>SUM(AD140:AD145)</f>
        <v>0</v>
      </c>
      <c r="AE146" s="347">
        <f>SUM(AE140:AE145)</f>
        <v>0</v>
      </c>
      <c r="AF146" s="201">
        <f>SUM(H146:AE146)</f>
        <v>65559661.880000003</v>
      </c>
      <c r="AG146" s="333" t="str">
        <f>IF(ABS(AF146-F146)&lt;1,"ok","err")</f>
        <v>ok</v>
      </c>
    </row>
    <row r="147" spans="1:33">
      <c r="F147" s="203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201"/>
      <c r="AG147" s="333"/>
    </row>
    <row r="148" spans="1:33">
      <c r="B148" s="165" t="s">
        <v>249</v>
      </c>
      <c r="F148" s="203">
        <f>F137+F146</f>
        <v>468523808.25999987</v>
      </c>
      <c r="H148" s="347">
        <f t="shared" ref="H148:M148" si="63">H137+H146</f>
        <v>19818976.023020733</v>
      </c>
      <c r="I148" s="347">
        <f t="shared" si="63"/>
        <v>18682907.697784547</v>
      </c>
      <c r="J148" s="347">
        <f t="shared" si="63"/>
        <v>19187475.181188717</v>
      </c>
      <c r="K148" s="347">
        <f t="shared" si="63"/>
        <v>410834449.358006</v>
      </c>
      <c r="L148" s="347">
        <f t="shared" si="63"/>
        <v>0</v>
      </c>
      <c r="M148" s="347">
        <f t="shared" si="63"/>
        <v>0</v>
      </c>
      <c r="N148" s="347">
        <f>N137+N146</f>
        <v>0</v>
      </c>
      <c r="O148" s="347">
        <f>O137+O146</f>
        <v>0</v>
      </c>
      <c r="P148" s="347">
        <f>P137+P146</f>
        <v>0</v>
      </c>
      <c r="Q148" s="347">
        <f t="shared" ref="Q148:AB148" si="64">Q137+Q146</f>
        <v>0</v>
      </c>
      <c r="R148" s="347">
        <f t="shared" si="64"/>
        <v>0</v>
      </c>
      <c r="S148" s="347">
        <f t="shared" si="64"/>
        <v>0</v>
      </c>
      <c r="T148" s="347">
        <f t="shared" si="64"/>
        <v>0</v>
      </c>
      <c r="U148" s="347">
        <f t="shared" si="64"/>
        <v>0</v>
      </c>
      <c r="V148" s="347">
        <f t="shared" si="64"/>
        <v>0</v>
      </c>
      <c r="W148" s="347">
        <f t="shared" si="64"/>
        <v>0</v>
      </c>
      <c r="X148" s="347">
        <f t="shared" si="64"/>
        <v>0</v>
      </c>
      <c r="Y148" s="347">
        <f t="shared" si="64"/>
        <v>0</v>
      </c>
      <c r="Z148" s="347">
        <f t="shared" si="64"/>
        <v>0</v>
      </c>
      <c r="AA148" s="347">
        <f t="shared" si="64"/>
        <v>0</v>
      </c>
      <c r="AB148" s="347">
        <f t="shared" si="64"/>
        <v>0</v>
      </c>
      <c r="AC148" s="347">
        <f>AC137+AC146</f>
        <v>0</v>
      </c>
      <c r="AD148" s="347">
        <f>AD137+AD146</f>
        <v>0</v>
      </c>
      <c r="AE148" s="347">
        <f>AE137+AE146</f>
        <v>0</v>
      </c>
      <c r="AF148" s="201">
        <f>SUM(H148:AE148)</f>
        <v>468523808.25999999</v>
      </c>
      <c r="AG148" s="333" t="str">
        <f>IF(ABS(AF148-F148)&lt;1,"ok","err")</f>
        <v>ok</v>
      </c>
    </row>
    <row r="149" spans="1:33">
      <c r="F149" s="203"/>
      <c r="W149" s="165"/>
      <c r="AG149" s="333"/>
    </row>
    <row r="150" spans="1:33">
      <c r="A150" s="5" t="s">
        <v>337</v>
      </c>
      <c r="W150" s="165"/>
      <c r="AG150" s="333"/>
    </row>
    <row r="151" spans="1:33">
      <c r="A151" s="186">
        <v>535</v>
      </c>
      <c r="B151" s="165" t="s">
        <v>225</v>
      </c>
      <c r="C151" s="165" t="s">
        <v>347</v>
      </c>
      <c r="D151" s="165" t="s">
        <v>685</v>
      </c>
      <c r="F151" s="203">
        <v>109552.8</v>
      </c>
      <c r="H151" s="201">
        <f t="shared" ref="H151:Q156" si="65">IF(VLOOKUP($D151,$C$6:$AE$598,H$2,)=0,0,((VLOOKUP($D151,$C$6:$AE$598,H$2,)/VLOOKUP($D151,$C$6:$AE$598,4,))*$F151))</f>
        <v>37636.478507992899</v>
      </c>
      <c r="I151" s="201">
        <f t="shared" si="65"/>
        <v>35479.070826753552</v>
      </c>
      <c r="J151" s="201">
        <f t="shared" si="65"/>
        <v>36437.250665253538</v>
      </c>
      <c r="K151" s="201">
        <f t="shared" si="65"/>
        <v>0</v>
      </c>
      <c r="L151" s="201">
        <f t="shared" si="65"/>
        <v>0</v>
      </c>
      <c r="M151" s="201">
        <f t="shared" si="65"/>
        <v>0</v>
      </c>
      <c r="N151" s="201">
        <f t="shared" si="65"/>
        <v>0</v>
      </c>
      <c r="O151" s="201">
        <f t="shared" si="65"/>
        <v>0</v>
      </c>
      <c r="P151" s="201">
        <f t="shared" si="65"/>
        <v>0</v>
      </c>
      <c r="Q151" s="201">
        <f t="shared" si="65"/>
        <v>0</v>
      </c>
      <c r="R151" s="201">
        <f t="shared" ref="R151:AE156" si="66">IF(VLOOKUP($D151,$C$6:$AE$598,R$2,)=0,0,((VLOOKUP($D151,$C$6:$AE$598,R$2,)/VLOOKUP($D151,$C$6:$AE$598,4,))*$F151))</f>
        <v>0</v>
      </c>
      <c r="S151" s="201">
        <f t="shared" si="66"/>
        <v>0</v>
      </c>
      <c r="T151" s="201">
        <f t="shared" si="66"/>
        <v>0</v>
      </c>
      <c r="U151" s="201">
        <f t="shared" si="66"/>
        <v>0</v>
      </c>
      <c r="V151" s="201">
        <f t="shared" si="66"/>
        <v>0</v>
      </c>
      <c r="W151" s="201">
        <f t="shared" si="66"/>
        <v>0</v>
      </c>
      <c r="X151" s="201">
        <f t="shared" si="66"/>
        <v>0</v>
      </c>
      <c r="Y151" s="201">
        <f t="shared" si="66"/>
        <v>0</v>
      </c>
      <c r="Z151" s="201">
        <f t="shared" si="66"/>
        <v>0</v>
      </c>
      <c r="AA151" s="201">
        <f t="shared" si="66"/>
        <v>0</v>
      </c>
      <c r="AB151" s="201">
        <f t="shared" si="66"/>
        <v>0</v>
      </c>
      <c r="AC151" s="201">
        <f t="shared" si="66"/>
        <v>0</v>
      </c>
      <c r="AD151" s="201">
        <f t="shared" si="66"/>
        <v>0</v>
      </c>
      <c r="AE151" s="201">
        <f t="shared" si="66"/>
        <v>0</v>
      </c>
      <c r="AF151" s="201">
        <f t="shared" ref="AF151:AF156" si="67">SUM(H151:AE151)</f>
        <v>109552.79999999999</v>
      </c>
      <c r="AG151" s="333" t="str">
        <f t="shared" ref="AG151:AG156" si="68">IF(ABS(AF151-F151)&lt;1,"ok","err")</f>
        <v>ok</v>
      </c>
    </row>
    <row r="152" spans="1:33">
      <c r="A152" s="354">
        <v>536</v>
      </c>
      <c r="B152" s="165" t="s">
        <v>344</v>
      </c>
      <c r="C152" s="165" t="s">
        <v>348</v>
      </c>
      <c r="D152" s="165" t="s">
        <v>679</v>
      </c>
      <c r="F152" s="340">
        <v>38568.090000000004</v>
      </c>
      <c r="H152" s="201">
        <f t="shared" si="65"/>
        <v>13249.931452042631</v>
      </c>
      <c r="I152" s="201">
        <f t="shared" si="65"/>
        <v>12490.415550881453</v>
      </c>
      <c r="J152" s="201">
        <f t="shared" si="65"/>
        <v>12827.74299707592</v>
      </c>
      <c r="K152" s="201">
        <f t="shared" si="65"/>
        <v>0</v>
      </c>
      <c r="L152" s="201">
        <f t="shared" si="65"/>
        <v>0</v>
      </c>
      <c r="M152" s="201">
        <f t="shared" si="65"/>
        <v>0</v>
      </c>
      <c r="N152" s="201">
        <f t="shared" si="65"/>
        <v>0</v>
      </c>
      <c r="O152" s="201">
        <f t="shared" si="65"/>
        <v>0</v>
      </c>
      <c r="P152" s="201">
        <f t="shared" si="65"/>
        <v>0</v>
      </c>
      <c r="Q152" s="201">
        <f t="shared" si="65"/>
        <v>0</v>
      </c>
      <c r="R152" s="201">
        <f t="shared" si="66"/>
        <v>0</v>
      </c>
      <c r="S152" s="201">
        <f t="shared" si="66"/>
        <v>0</v>
      </c>
      <c r="T152" s="201">
        <f t="shared" si="66"/>
        <v>0</v>
      </c>
      <c r="U152" s="201">
        <f t="shared" si="66"/>
        <v>0</v>
      </c>
      <c r="V152" s="201">
        <f t="shared" si="66"/>
        <v>0</v>
      </c>
      <c r="W152" s="201">
        <f t="shared" si="66"/>
        <v>0</v>
      </c>
      <c r="X152" s="201">
        <f t="shared" si="66"/>
        <v>0</v>
      </c>
      <c r="Y152" s="201">
        <f t="shared" si="66"/>
        <v>0</v>
      </c>
      <c r="Z152" s="201">
        <f t="shared" si="66"/>
        <v>0</v>
      </c>
      <c r="AA152" s="201">
        <f t="shared" si="66"/>
        <v>0</v>
      </c>
      <c r="AB152" s="201">
        <f t="shared" si="66"/>
        <v>0</v>
      </c>
      <c r="AC152" s="201">
        <f t="shared" si="66"/>
        <v>0</v>
      </c>
      <c r="AD152" s="201">
        <f t="shared" si="66"/>
        <v>0</v>
      </c>
      <c r="AE152" s="201">
        <f t="shared" si="66"/>
        <v>0</v>
      </c>
      <c r="AF152" s="201">
        <f t="shared" si="67"/>
        <v>38568.090000000004</v>
      </c>
      <c r="AG152" s="333" t="str">
        <f t="shared" si="68"/>
        <v>ok</v>
      </c>
    </row>
    <row r="153" spans="1:33">
      <c r="A153" s="165">
        <v>537</v>
      </c>
      <c r="B153" s="165" t="s">
        <v>343</v>
      </c>
      <c r="C153" s="165" t="s">
        <v>349</v>
      </c>
      <c r="D153" s="165" t="s">
        <v>679</v>
      </c>
      <c r="F153" s="340">
        <v>0</v>
      </c>
      <c r="H153" s="201">
        <f t="shared" si="65"/>
        <v>0</v>
      </c>
      <c r="I153" s="201">
        <f t="shared" si="65"/>
        <v>0</v>
      </c>
      <c r="J153" s="201">
        <f t="shared" si="65"/>
        <v>0</v>
      </c>
      <c r="K153" s="201">
        <f t="shared" si="65"/>
        <v>0</v>
      </c>
      <c r="L153" s="201">
        <f t="shared" si="65"/>
        <v>0</v>
      </c>
      <c r="M153" s="201">
        <f t="shared" si="65"/>
        <v>0</v>
      </c>
      <c r="N153" s="201">
        <f t="shared" si="65"/>
        <v>0</v>
      </c>
      <c r="O153" s="201">
        <f t="shared" si="65"/>
        <v>0</v>
      </c>
      <c r="P153" s="201">
        <f t="shared" si="65"/>
        <v>0</v>
      </c>
      <c r="Q153" s="201">
        <f t="shared" si="65"/>
        <v>0</v>
      </c>
      <c r="R153" s="201">
        <f t="shared" si="66"/>
        <v>0</v>
      </c>
      <c r="S153" s="201">
        <f t="shared" si="66"/>
        <v>0</v>
      </c>
      <c r="T153" s="201">
        <f t="shared" si="66"/>
        <v>0</v>
      </c>
      <c r="U153" s="201">
        <f t="shared" si="66"/>
        <v>0</v>
      </c>
      <c r="V153" s="201">
        <f t="shared" si="66"/>
        <v>0</v>
      </c>
      <c r="W153" s="201">
        <f t="shared" si="66"/>
        <v>0</v>
      </c>
      <c r="X153" s="201">
        <f t="shared" si="66"/>
        <v>0</v>
      </c>
      <c r="Y153" s="201">
        <f t="shared" si="66"/>
        <v>0</v>
      </c>
      <c r="Z153" s="201">
        <f t="shared" si="66"/>
        <v>0</v>
      </c>
      <c r="AA153" s="201">
        <f t="shared" si="66"/>
        <v>0</v>
      </c>
      <c r="AB153" s="201">
        <f t="shared" si="66"/>
        <v>0</v>
      </c>
      <c r="AC153" s="201">
        <f t="shared" si="66"/>
        <v>0</v>
      </c>
      <c r="AD153" s="201">
        <f t="shared" si="66"/>
        <v>0</v>
      </c>
      <c r="AE153" s="201">
        <f t="shared" si="66"/>
        <v>0</v>
      </c>
      <c r="AF153" s="201">
        <f t="shared" si="67"/>
        <v>0</v>
      </c>
      <c r="AG153" s="333" t="str">
        <f t="shared" si="68"/>
        <v>ok</v>
      </c>
    </row>
    <row r="154" spans="1:33">
      <c r="A154" s="353">
        <v>538</v>
      </c>
      <c r="B154" s="165" t="s">
        <v>231</v>
      </c>
      <c r="C154" s="165" t="s">
        <v>350</v>
      </c>
      <c r="D154" s="165" t="s">
        <v>679</v>
      </c>
      <c r="F154" s="340">
        <v>258565.98</v>
      </c>
      <c r="H154" s="201">
        <f t="shared" si="65"/>
        <v>88829.431554174065</v>
      </c>
      <c r="I154" s="201">
        <f t="shared" si="65"/>
        <v>83737.52855069832</v>
      </c>
      <c r="J154" s="201">
        <f t="shared" si="65"/>
        <v>85999.019895127611</v>
      </c>
      <c r="K154" s="201">
        <f t="shared" si="65"/>
        <v>0</v>
      </c>
      <c r="L154" s="201">
        <f t="shared" si="65"/>
        <v>0</v>
      </c>
      <c r="M154" s="201">
        <f t="shared" si="65"/>
        <v>0</v>
      </c>
      <c r="N154" s="201">
        <f t="shared" si="65"/>
        <v>0</v>
      </c>
      <c r="O154" s="201">
        <f t="shared" si="65"/>
        <v>0</v>
      </c>
      <c r="P154" s="201">
        <f t="shared" si="65"/>
        <v>0</v>
      </c>
      <c r="Q154" s="201">
        <f t="shared" si="65"/>
        <v>0</v>
      </c>
      <c r="R154" s="201">
        <f t="shared" si="66"/>
        <v>0</v>
      </c>
      <c r="S154" s="201">
        <f t="shared" si="66"/>
        <v>0</v>
      </c>
      <c r="T154" s="201">
        <f t="shared" si="66"/>
        <v>0</v>
      </c>
      <c r="U154" s="201">
        <f t="shared" si="66"/>
        <v>0</v>
      </c>
      <c r="V154" s="201">
        <f t="shared" si="66"/>
        <v>0</v>
      </c>
      <c r="W154" s="201">
        <f t="shared" si="66"/>
        <v>0</v>
      </c>
      <c r="X154" s="201">
        <f t="shared" si="66"/>
        <v>0</v>
      </c>
      <c r="Y154" s="201">
        <f t="shared" si="66"/>
        <v>0</v>
      </c>
      <c r="Z154" s="201">
        <f t="shared" si="66"/>
        <v>0</v>
      </c>
      <c r="AA154" s="201">
        <f t="shared" si="66"/>
        <v>0</v>
      </c>
      <c r="AB154" s="201">
        <f t="shared" si="66"/>
        <v>0</v>
      </c>
      <c r="AC154" s="201">
        <f t="shared" si="66"/>
        <v>0</v>
      </c>
      <c r="AD154" s="201">
        <f t="shared" si="66"/>
        <v>0</v>
      </c>
      <c r="AE154" s="201">
        <f t="shared" si="66"/>
        <v>0</v>
      </c>
      <c r="AF154" s="201">
        <f t="shared" si="67"/>
        <v>258565.97999999998</v>
      </c>
      <c r="AG154" s="333" t="str">
        <f t="shared" si="68"/>
        <v>ok</v>
      </c>
    </row>
    <row r="155" spans="1:33">
      <c r="A155" s="165">
        <v>539</v>
      </c>
      <c r="B155" s="165" t="s">
        <v>345</v>
      </c>
      <c r="C155" s="165" t="s">
        <v>351</v>
      </c>
      <c r="D155" s="165" t="s">
        <v>679</v>
      </c>
      <c r="F155" s="340">
        <v>94571.5</v>
      </c>
      <c r="H155" s="201">
        <f t="shared" si="65"/>
        <v>32489.705669034931</v>
      </c>
      <c r="I155" s="201">
        <f t="shared" si="65"/>
        <v>30627.32259414934</v>
      </c>
      <c r="J155" s="201">
        <f t="shared" si="65"/>
        <v>31454.471736815729</v>
      </c>
      <c r="K155" s="201">
        <f t="shared" si="65"/>
        <v>0</v>
      </c>
      <c r="L155" s="201">
        <f t="shared" si="65"/>
        <v>0</v>
      </c>
      <c r="M155" s="201">
        <f t="shared" si="65"/>
        <v>0</v>
      </c>
      <c r="N155" s="201">
        <f t="shared" si="65"/>
        <v>0</v>
      </c>
      <c r="O155" s="201">
        <f t="shared" si="65"/>
        <v>0</v>
      </c>
      <c r="P155" s="201">
        <f t="shared" si="65"/>
        <v>0</v>
      </c>
      <c r="Q155" s="201">
        <f t="shared" si="65"/>
        <v>0</v>
      </c>
      <c r="R155" s="201">
        <f t="shared" si="66"/>
        <v>0</v>
      </c>
      <c r="S155" s="201">
        <f t="shared" si="66"/>
        <v>0</v>
      </c>
      <c r="T155" s="201">
        <f t="shared" si="66"/>
        <v>0</v>
      </c>
      <c r="U155" s="201">
        <f t="shared" si="66"/>
        <v>0</v>
      </c>
      <c r="V155" s="201">
        <f t="shared" si="66"/>
        <v>0</v>
      </c>
      <c r="W155" s="201">
        <f t="shared" si="66"/>
        <v>0</v>
      </c>
      <c r="X155" s="201">
        <f t="shared" si="66"/>
        <v>0</v>
      </c>
      <c r="Y155" s="201">
        <f t="shared" si="66"/>
        <v>0</v>
      </c>
      <c r="Z155" s="201">
        <f t="shared" si="66"/>
        <v>0</v>
      </c>
      <c r="AA155" s="201">
        <f t="shared" si="66"/>
        <v>0</v>
      </c>
      <c r="AB155" s="201">
        <f t="shared" si="66"/>
        <v>0</v>
      </c>
      <c r="AC155" s="201">
        <f t="shared" si="66"/>
        <v>0</v>
      </c>
      <c r="AD155" s="201">
        <f t="shared" si="66"/>
        <v>0</v>
      </c>
      <c r="AE155" s="201">
        <f t="shared" si="66"/>
        <v>0</v>
      </c>
      <c r="AF155" s="201">
        <f t="shared" si="67"/>
        <v>94571.5</v>
      </c>
      <c r="AG155" s="333" t="str">
        <f t="shared" si="68"/>
        <v>ok</v>
      </c>
    </row>
    <row r="156" spans="1:33">
      <c r="A156" s="353">
        <v>540</v>
      </c>
      <c r="B156" s="165" t="s">
        <v>1108</v>
      </c>
      <c r="D156" s="165" t="s">
        <v>679</v>
      </c>
      <c r="F156" s="340">
        <v>341098.64</v>
      </c>
      <c r="H156" s="201">
        <f t="shared" si="65"/>
        <v>117183.23615156898</v>
      </c>
      <c r="I156" s="201">
        <f t="shared" si="65"/>
        <v>110466.02923402518</v>
      </c>
      <c r="J156" s="201">
        <f t="shared" si="65"/>
        <v>113449.37461440585</v>
      </c>
      <c r="K156" s="201">
        <f t="shared" si="65"/>
        <v>0</v>
      </c>
      <c r="L156" s="201">
        <f t="shared" si="65"/>
        <v>0</v>
      </c>
      <c r="M156" s="201">
        <f t="shared" si="65"/>
        <v>0</v>
      </c>
      <c r="N156" s="201">
        <f t="shared" si="65"/>
        <v>0</v>
      </c>
      <c r="O156" s="201">
        <f t="shared" si="65"/>
        <v>0</v>
      </c>
      <c r="P156" s="201">
        <f t="shared" si="65"/>
        <v>0</v>
      </c>
      <c r="Q156" s="201">
        <f t="shared" si="65"/>
        <v>0</v>
      </c>
      <c r="R156" s="201">
        <f t="shared" si="66"/>
        <v>0</v>
      </c>
      <c r="S156" s="201">
        <f t="shared" si="66"/>
        <v>0</v>
      </c>
      <c r="T156" s="201">
        <f t="shared" si="66"/>
        <v>0</v>
      </c>
      <c r="U156" s="201">
        <f t="shared" si="66"/>
        <v>0</v>
      </c>
      <c r="V156" s="201">
        <f t="shared" si="66"/>
        <v>0</v>
      </c>
      <c r="W156" s="201">
        <f t="shared" si="66"/>
        <v>0</v>
      </c>
      <c r="X156" s="201">
        <f t="shared" si="66"/>
        <v>0</v>
      </c>
      <c r="Y156" s="201">
        <f t="shared" si="66"/>
        <v>0</v>
      </c>
      <c r="Z156" s="201">
        <f t="shared" si="66"/>
        <v>0</v>
      </c>
      <c r="AA156" s="201">
        <f t="shared" si="66"/>
        <v>0</v>
      </c>
      <c r="AB156" s="201">
        <f t="shared" si="66"/>
        <v>0</v>
      </c>
      <c r="AC156" s="201">
        <f t="shared" si="66"/>
        <v>0</v>
      </c>
      <c r="AD156" s="201">
        <f t="shared" si="66"/>
        <v>0</v>
      </c>
      <c r="AE156" s="201">
        <f t="shared" si="66"/>
        <v>0</v>
      </c>
      <c r="AF156" s="201">
        <f t="shared" si="67"/>
        <v>341098.64</v>
      </c>
      <c r="AG156" s="333" t="str">
        <f t="shared" si="68"/>
        <v>ok</v>
      </c>
    </row>
    <row r="157" spans="1:33">
      <c r="F157" s="340"/>
      <c r="W157" s="165"/>
      <c r="AF157" s="201"/>
      <c r="AG157" s="333"/>
    </row>
    <row r="158" spans="1:33">
      <c r="B158" s="165" t="s">
        <v>340</v>
      </c>
      <c r="F158" s="203">
        <f>SUM(F151:F157)</f>
        <v>842357.01</v>
      </c>
      <c r="H158" s="347">
        <f t="shared" ref="H158:M158" si="69">SUM(H151:H157)</f>
        <v>289388.78333481349</v>
      </c>
      <c r="I158" s="347">
        <f t="shared" si="69"/>
        <v>272800.36675650784</v>
      </c>
      <c r="J158" s="347">
        <f t="shared" si="69"/>
        <v>280167.85990867869</v>
      </c>
      <c r="K158" s="347">
        <f t="shared" si="69"/>
        <v>0</v>
      </c>
      <c r="L158" s="347">
        <f t="shared" si="69"/>
        <v>0</v>
      </c>
      <c r="M158" s="347">
        <f t="shared" si="69"/>
        <v>0</v>
      </c>
      <c r="N158" s="347">
        <f>SUM(N151:N157)</f>
        <v>0</v>
      </c>
      <c r="O158" s="347">
        <f>SUM(O151:O157)</f>
        <v>0</v>
      </c>
      <c r="P158" s="347">
        <f>SUM(P151:P157)</f>
        <v>0</v>
      </c>
      <c r="Q158" s="347">
        <f t="shared" ref="Q158:AB158" si="70">SUM(Q151:Q157)</f>
        <v>0</v>
      </c>
      <c r="R158" s="347">
        <f t="shared" si="70"/>
        <v>0</v>
      </c>
      <c r="S158" s="347">
        <f t="shared" si="70"/>
        <v>0</v>
      </c>
      <c r="T158" s="347">
        <f t="shared" si="70"/>
        <v>0</v>
      </c>
      <c r="U158" s="347">
        <f t="shared" si="70"/>
        <v>0</v>
      </c>
      <c r="V158" s="347">
        <f t="shared" si="70"/>
        <v>0</v>
      </c>
      <c r="W158" s="347">
        <f t="shared" si="70"/>
        <v>0</v>
      </c>
      <c r="X158" s="347">
        <f t="shared" si="70"/>
        <v>0</v>
      </c>
      <c r="Y158" s="347">
        <f t="shared" si="70"/>
        <v>0</v>
      </c>
      <c r="Z158" s="347">
        <f t="shared" si="70"/>
        <v>0</v>
      </c>
      <c r="AA158" s="347">
        <f t="shared" si="70"/>
        <v>0</v>
      </c>
      <c r="AB158" s="347">
        <f t="shared" si="70"/>
        <v>0</v>
      </c>
      <c r="AC158" s="347">
        <f>SUM(AC151:AC157)</f>
        <v>0</v>
      </c>
      <c r="AD158" s="347">
        <f>SUM(AD151:AD157)</f>
        <v>0</v>
      </c>
      <c r="AE158" s="347">
        <f>SUM(AE151:AE157)</f>
        <v>0</v>
      </c>
      <c r="AF158" s="201">
        <f>SUM(H158:AE158)</f>
        <v>842357.01</v>
      </c>
      <c r="AG158" s="333" t="str">
        <f>IF(ABS(AF158-F158)&lt;1,"ok","err")</f>
        <v>ok</v>
      </c>
    </row>
    <row r="159" spans="1:33">
      <c r="F159" s="203"/>
      <c r="W159" s="165"/>
      <c r="AG159" s="333"/>
    </row>
    <row r="160" spans="1:33">
      <c r="A160" s="5" t="s">
        <v>338</v>
      </c>
      <c r="F160" s="203"/>
      <c r="W160" s="165"/>
      <c r="AG160" s="333"/>
    </row>
    <row r="161" spans="1:33">
      <c r="A161" s="186">
        <v>541</v>
      </c>
      <c r="B161" s="165" t="s">
        <v>240</v>
      </c>
      <c r="C161" s="165" t="s">
        <v>352</v>
      </c>
      <c r="D161" s="165" t="s">
        <v>686</v>
      </c>
      <c r="F161" s="203">
        <v>13043.95</v>
      </c>
      <c r="H161" s="201">
        <f t="shared" ref="H161:Q165" si="71">IF(VLOOKUP($D161,$C$6:$AE$598,H$2,)=0,0,((VLOOKUP($D161,$C$6:$AE$598,H$2,)/VLOOKUP($D161,$C$6:$AE$598,4,))*$F161))</f>
        <v>1498.5545811205038</v>
      </c>
      <c r="I161" s="201">
        <f t="shared" si="71"/>
        <v>1412.6540587488589</v>
      </c>
      <c r="J161" s="201">
        <f t="shared" si="71"/>
        <v>1450.8054704495189</v>
      </c>
      <c r="K161" s="201">
        <f t="shared" si="71"/>
        <v>8681.9358896811173</v>
      </c>
      <c r="L161" s="201">
        <f t="shared" si="71"/>
        <v>0</v>
      </c>
      <c r="M161" s="201">
        <f t="shared" si="71"/>
        <v>0</v>
      </c>
      <c r="N161" s="201">
        <f t="shared" si="71"/>
        <v>0</v>
      </c>
      <c r="O161" s="201">
        <f t="shared" si="71"/>
        <v>0</v>
      </c>
      <c r="P161" s="201">
        <f t="shared" si="71"/>
        <v>0</v>
      </c>
      <c r="Q161" s="201">
        <f t="shared" si="71"/>
        <v>0</v>
      </c>
      <c r="R161" s="201">
        <f t="shared" ref="R161:AE165" si="72">IF(VLOOKUP($D161,$C$6:$AE$598,R$2,)=0,0,((VLOOKUP($D161,$C$6:$AE$598,R$2,)/VLOOKUP($D161,$C$6:$AE$598,4,))*$F161))</f>
        <v>0</v>
      </c>
      <c r="S161" s="201">
        <f t="shared" si="72"/>
        <v>0</v>
      </c>
      <c r="T161" s="201">
        <f t="shared" si="72"/>
        <v>0</v>
      </c>
      <c r="U161" s="201">
        <f t="shared" si="72"/>
        <v>0</v>
      </c>
      <c r="V161" s="201">
        <f t="shared" si="72"/>
        <v>0</v>
      </c>
      <c r="W161" s="201">
        <f t="shared" si="72"/>
        <v>0</v>
      </c>
      <c r="X161" s="201">
        <f t="shared" si="72"/>
        <v>0</v>
      </c>
      <c r="Y161" s="201">
        <f t="shared" si="72"/>
        <v>0</v>
      </c>
      <c r="Z161" s="201">
        <f t="shared" si="72"/>
        <v>0</v>
      </c>
      <c r="AA161" s="201">
        <f t="shared" si="72"/>
        <v>0</v>
      </c>
      <c r="AB161" s="201">
        <f t="shared" si="72"/>
        <v>0</v>
      </c>
      <c r="AC161" s="201">
        <f t="shared" si="72"/>
        <v>0</v>
      </c>
      <c r="AD161" s="201">
        <f t="shared" si="72"/>
        <v>0</v>
      </c>
      <c r="AE161" s="201">
        <f t="shared" si="72"/>
        <v>0</v>
      </c>
      <c r="AF161" s="201">
        <f>SUM(H161:AE161)</f>
        <v>13043.949999999999</v>
      </c>
      <c r="AG161" s="333" t="str">
        <f>IF(ABS(AF161-F161)&lt;1,"ok","err")</f>
        <v>ok</v>
      </c>
    </row>
    <row r="162" spans="1:33">
      <c r="A162" s="186">
        <v>542</v>
      </c>
      <c r="B162" s="165" t="s">
        <v>239</v>
      </c>
      <c r="C162" s="165" t="s">
        <v>353</v>
      </c>
      <c r="D162" s="165" t="s">
        <v>679</v>
      </c>
      <c r="F162" s="340">
        <v>309385.37</v>
      </c>
      <c r="H162" s="201">
        <f t="shared" si="71"/>
        <v>106288.25396240379</v>
      </c>
      <c r="I162" s="201">
        <f t="shared" si="71"/>
        <v>100195.57195244078</v>
      </c>
      <c r="J162" s="201">
        <f t="shared" si="71"/>
        <v>102901.54408515543</v>
      </c>
      <c r="K162" s="201">
        <f t="shared" si="71"/>
        <v>0</v>
      </c>
      <c r="L162" s="201">
        <f t="shared" si="71"/>
        <v>0</v>
      </c>
      <c r="M162" s="201">
        <f t="shared" si="71"/>
        <v>0</v>
      </c>
      <c r="N162" s="201">
        <f t="shared" si="71"/>
        <v>0</v>
      </c>
      <c r="O162" s="201">
        <f t="shared" si="71"/>
        <v>0</v>
      </c>
      <c r="P162" s="201">
        <f t="shared" si="71"/>
        <v>0</v>
      </c>
      <c r="Q162" s="201">
        <f t="shared" si="71"/>
        <v>0</v>
      </c>
      <c r="R162" s="201">
        <f t="shared" si="72"/>
        <v>0</v>
      </c>
      <c r="S162" s="201">
        <f t="shared" si="72"/>
        <v>0</v>
      </c>
      <c r="T162" s="201">
        <f t="shared" si="72"/>
        <v>0</v>
      </c>
      <c r="U162" s="201">
        <f t="shared" si="72"/>
        <v>0</v>
      </c>
      <c r="V162" s="201">
        <f t="shared" si="72"/>
        <v>0</v>
      </c>
      <c r="W162" s="201">
        <f t="shared" si="72"/>
        <v>0</v>
      </c>
      <c r="X162" s="201">
        <f t="shared" si="72"/>
        <v>0</v>
      </c>
      <c r="Y162" s="201">
        <f t="shared" si="72"/>
        <v>0</v>
      </c>
      <c r="Z162" s="201">
        <f t="shared" si="72"/>
        <v>0</v>
      </c>
      <c r="AA162" s="201">
        <f t="shared" si="72"/>
        <v>0</v>
      </c>
      <c r="AB162" s="201">
        <f t="shared" si="72"/>
        <v>0</v>
      </c>
      <c r="AC162" s="201">
        <f t="shared" si="72"/>
        <v>0</v>
      </c>
      <c r="AD162" s="201">
        <f t="shared" si="72"/>
        <v>0</v>
      </c>
      <c r="AE162" s="201">
        <f t="shared" si="72"/>
        <v>0</v>
      </c>
      <c r="AF162" s="201">
        <f>SUM(H162:AE162)</f>
        <v>309385.37</v>
      </c>
      <c r="AG162" s="333" t="str">
        <f>IF(ABS(AF162-F162)&lt;1,"ok","err")</f>
        <v>ok</v>
      </c>
    </row>
    <row r="163" spans="1:33">
      <c r="A163" s="186">
        <v>543</v>
      </c>
      <c r="B163" s="165" t="s">
        <v>339</v>
      </c>
      <c r="C163" s="165" t="s">
        <v>354</v>
      </c>
      <c r="D163" s="165" t="s">
        <v>679</v>
      </c>
      <c r="F163" s="340">
        <v>78637.490000000005</v>
      </c>
      <c r="H163" s="201">
        <f t="shared" si="71"/>
        <v>27015.632665778568</v>
      </c>
      <c r="I163" s="201">
        <f t="shared" si="71"/>
        <v>25467.03577953393</v>
      </c>
      <c r="J163" s="201">
        <f t="shared" si="71"/>
        <v>26154.821554687507</v>
      </c>
      <c r="K163" s="201">
        <f t="shared" si="71"/>
        <v>0</v>
      </c>
      <c r="L163" s="201">
        <f t="shared" si="71"/>
        <v>0</v>
      </c>
      <c r="M163" s="201">
        <f t="shared" si="71"/>
        <v>0</v>
      </c>
      <c r="N163" s="201">
        <f t="shared" si="71"/>
        <v>0</v>
      </c>
      <c r="O163" s="201">
        <f t="shared" si="71"/>
        <v>0</v>
      </c>
      <c r="P163" s="201">
        <f t="shared" si="71"/>
        <v>0</v>
      </c>
      <c r="Q163" s="201">
        <f t="shared" si="71"/>
        <v>0</v>
      </c>
      <c r="R163" s="201">
        <f t="shared" si="72"/>
        <v>0</v>
      </c>
      <c r="S163" s="201">
        <f t="shared" si="72"/>
        <v>0</v>
      </c>
      <c r="T163" s="201">
        <f t="shared" si="72"/>
        <v>0</v>
      </c>
      <c r="U163" s="201">
        <f t="shared" si="72"/>
        <v>0</v>
      </c>
      <c r="V163" s="201">
        <f t="shared" si="72"/>
        <v>0</v>
      </c>
      <c r="W163" s="201">
        <f t="shared" si="72"/>
        <v>0</v>
      </c>
      <c r="X163" s="201">
        <f t="shared" si="72"/>
        <v>0</v>
      </c>
      <c r="Y163" s="201">
        <f t="shared" si="72"/>
        <v>0</v>
      </c>
      <c r="Z163" s="201">
        <f t="shared" si="72"/>
        <v>0</v>
      </c>
      <c r="AA163" s="201">
        <f t="shared" si="72"/>
        <v>0</v>
      </c>
      <c r="AB163" s="201">
        <f t="shared" si="72"/>
        <v>0</v>
      </c>
      <c r="AC163" s="201">
        <f t="shared" si="72"/>
        <v>0</v>
      </c>
      <c r="AD163" s="201">
        <f t="shared" si="72"/>
        <v>0</v>
      </c>
      <c r="AE163" s="201">
        <f t="shared" si="72"/>
        <v>0</v>
      </c>
      <c r="AF163" s="201">
        <f>SUM(H163:AE163)</f>
        <v>78637.490000000005</v>
      </c>
      <c r="AG163" s="333" t="str">
        <f>IF(ABS(AF163-F163)&lt;1,"ok","err")</f>
        <v>ok</v>
      </c>
    </row>
    <row r="164" spans="1:33">
      <c r="A164" s="165">
        <v>544</v>
      </c>
      <c r="B164" s="165" t="s">
        <v>243</v>
      </c>
      <c r="C164" s="165" t="s">
        <v>355</v>
      </c>
      <c r="D164" s="165" t="s">
        <v>1034</v>
      </c>
      <c r="F164" s="340">
        <v>287064.37</v>
      </c>
      <c r="H164" s="201">
        <f t="shared" si="71"/>
        <v>0</v>
      </c>
      <c r="I164" s="201">
        <f t="shared" si="71"/>
        <v>0</v>
      </c>
      <c r="J164" s="201">
        <f t="shared" si="71"/>
        <v>0</v>
      </c>
      <c r="K164" s="201">
        <f t="shared" si="71"/>
        <v>287064.37</v>
      </c>
      <c r="L164" s="201">
        <f t="shared" si="71"/>
        <v>0</v>
      </c>
      <c r="M164" s="201">
        <f t="shared" si="71"/>
        <v>0</v>
      </c>
      <c r="N164" s="201">
        <f t="shared" si="71"/>
        <v>0</v>
      </c>
      <c r="O164" s="201">
        <f t="shared" si="71"/>
        <v>0</v>
      </c>
      <c r="P164" s="201">
        <f t="shared" si="71"/>
        <v>0</v>
      </c>
      <c r="Q164" s="201">
        <f t="shared" si="71"/>
        <v>0</v>
      </c>
      <c r="R164" s="201">
        <f t="shared" si="72"/>
        <v>0</v>
      </c>
      <c r="S164" s="201">
        <f t="shared" si="72"/>
        <v>0</v>
      </c>
      <c r="T164" s="201">
        <f t="shared" si="72"/>
        <v>0</v>
      </c>
      <c r="U164" s="201">
        <f t="shared" si="72"/>
        <v>0</v>
      </c>
      <c r="V164" s="201">
        <f t="shared" si="72"/>
        <v>0</v>
      </c>
      <c r="W164" s="201">
        <f t="shared" si="72"/>
        <v>0</v>
      </c>
      <c r="X164" s="201">
        <f t="shared" si="72"/>
        <v>0</v>
      </c>
      <c r="Y164" s="201">
        <f t="shared" si="72"/>
        <v>0</v>
      </c>
      <c r="Z164" s="201">
        <f t="shared" si="72"/>
        <v>0</v>
      </c>
      <c r="AA164" s="201">
        <f t="shared" si="72"/>
        <v>0</v>
      </c>
      <c r="AB164" s="201">
        <f t="shared" si="72"/>
        <v>0</v>
      </c>
      <c r="AC164" s="201">
        <f t="shared" si="72"/>
        <v>0</v>
      </c>
      <c r="AD164" s="201">
        <f t="shared" si="72"/>
        <v>0</v>
      </c>
      <c r="AE164" s="201">
        <f t="shared" si="72"/>
        <v>0</v>
      </c>
      <c r="AF164" s="201">
        <f>SUM(H164:AE164)</f>
        <v>287064.37</v>
      </c>
      <c r="AG164" s="333" t="str">
        <f>IF(ABS(AF164-F164)&lt;1,"ok","err")</f>
        <v>ok</v>
      </c>
    </row>
    <row r="165" spans="1:33">
      <c r="A165" s="165">
        <v>545</v>
      </c>
      <c r="B165" s="165" t="s">
        <v>346</v>
      </c>
      <c r="C165" s="165" t="s">
        <v>356</v>
      </c>
      <c r="D165" s="165" t="s">
        <v>1034</v>
      </c>
      <c r="F165" s="340">
        <v>1939.2</v>
      </c>
      <c r="H165" s="201">
        <f t="shared" si="71"/>
        <v>0</v>
      </c>
      <c r="I165" s="201">
        <f t="shared" si="71"/>
        <v>0</v>
      </c>
      <c r="J165" s="201">
        <f t="shared" si="71"/>
        <v>0</v>
      </c>
      <c r="K165" s="201">
        <f t="shared" si="71"/>
        <v>1939.2</v>
      </c>
      <c r="L165" s="201">
        <f t="shared" si="71"/>
        <v>0</v>
      </c>
      <c r="M165" s="201">
        <f t="shared" si="71"/>
        <v>0</v>
      </c>
      <c r="N165" s="201">
        <f t="shared" si="71"/>
        <v>0</v>
      </c>
      <c r="O165" s="201">
        <f t="shared" si="71"/>
        <v>0</v>
      </c>
      <c r="P165" s="201">
        <f t="shared" si="71"/>
        <v>0</v>
      </c>
      <c r="Q165" s="201">
        <f t="shared" si="71"/>
        <v>0</v>
      </c>
      <c r="R165" s="201">
        <f t="shared" si="72"/>
        <v>0</v>
      </c>
      <c r="S165" s="201">
        <f t="shared" si="72"/>
        <v>0</v>
      </c>
      <c r="T165" s="201">
        <f t="shared" si="72"/>
        <v>0</v>
      </c>
      <c r="U165" s="201">
        <f t="shared" si="72"/>
        <v>0</v>
      </c>
      <c r="V165" s="201">
        <f t="shared" si="72"/>
        <v>0</v>
      </c>
      <c r="W165" s="201">
        <f t="shared" si="72"/>
        <v>0</v>
      </c>
      <c r="X165" s="201">
        <f t="shared" si="72"/>
        <v>0</v>
      </c>
      <c r="Y165" s="201">
        <f t="shared" si="72"/>
        <v>0</v>
      </c>
      <c r="Z165" s="201">
        <f t="shared" si="72"/>
        <v>0</v>
      </c>
      <c r="AA165" s="201">
        <f t="shared" si="72"/>
        <v>0</v>
      </c>
      <c r="AB165" s="201">
        <f t="shared" si="72"/>
        <v>0</v>
      </c>
      <c r="AC165" s="201">
        <f t="shared" si="72"/>
        <v>0</v>
      </c>
      <c r="AD165" s="201">
        <f t="shared" si="72"/>
        <v>0</v>
      </c>
      <c r="AE165" s="201">
        <f t="shared" si="72"/>
        <v>0</v>
      </c>
      <c r="AF165" s="201">
        <f>SUM(H165:AE165)</f>
        <v>1939.2</v>
      </c>
      <c r="AG165" s="333" t="str">
        <f>IF(ABS(AF165-F165)&lt;1,"ok","err")</f>
        <v>ok</v>
      </c>
    </row>
    <row r="166" spans="1:33">
      <c r="F166" s="203"/>
      <c r="W166" s="165"/>
      <c r="AG166" s="333"/>
    </row>
    <row r="167" spans="1:33">
      <c r="B167" s="165" t="s">
        <v>342</v>
      </c>
      <c r="F167" s="203">
        <f>SUM(F161:F166)</f>
        <v>690070.37999999989</v>
      </c>
      <c r="H167" s="347">
        <f t="shared" ref="H167:M167" si="73">SUM(H161:H166)</f>
        <v>134802.44120930287</v>
      </c>
      <c r="I167" s="347">
        <f t="shared" si="73"/>
        <v>127075.26179072357</v>
      </c>
      <c r="J167" s="347">
        <f t="shared" si="73"/>
        <v>130507.17111029246</v>
      </c>
      <c r="K167" s="347">
        <f t="shared" si="73"/>
        <v>297685.50588968111</v>
      </c>
      <c r="L167" s="347">
        <f t="shared" si="73"/>
        <v>0</v>
      </c>
      <c r="M167" s="347">
        <f t="shared" si="73"/>
        <v>0</v>
      </c>
      <c r="N167" s="347">
        <f>SUM(N161:N166)</f>
        <v>0</v>
      </c>
      <c r="O167" s="347">
        <f>SUM(O161:O166)</f>
        <v>0</v>
      </c>
      <c r="P167" s="347">
        <f>SUM(P161:P166)</f>
        <v>0</v>
      </c>
      <c r="Q167" s="347">
        <f t="shared" ref="Q167:AB167" si="74">SUM(Q161:Q166)</f>
        <v>0</v>
      </c>
      <c r="R167" s="347">
        <f t="shared" si="74"/>
        <v>0</v>
      </c>
      <c r="S167" s="347">
        <f t="shared" si="74"/>
        <v>0</v>
      </c>
      <c r="T167" s="347">
        <f t="shared" si="74"/>
        <v>0</v>
      </c>
      <c r="U167" s="347">
        <f t="shared" si="74"/>
        <v>0</v>
      </c>
      <c r="V167" s="347">
        <f t="shared" si="74"/>
        <v>0</v>
      </c>
      <c r="W167" s="347">
        <f t="shared" si="74"/>
        <v>0</v>
      </c>
      <c r="X167" s="347">
        <f t="shared" si="74"/>
        <v>0</v>
      </c>
      <c r="Y167" s="347">
        <f t="shared" si="74"/>
        <v>0</v>
      </c>
      <c r="Z167" s="347">
        <f t="shared" si="74"/>
        <v>0</v>
      </c>
      <c r="AA167" s="347">
        <f t="shared" si="74"/>
        <v>0</v>
      </c>
      <c r="AB167" s="347">
        <f t="shared" si="74"/>
        <v>0</v>
      </c>
      <c r="AC167" s="347">
        <f>SUM(AC161:AC166)</f>
        <v>0</v>
      </c>
      <c r="AD167" s="347">
        <f>SUM(AD161:AD166)</f>
        <v>0</v>
      </c>
      <c r="AE167" s="347">
        <f>SUM(AE161:AE166)</f>
        <v>0</v>
      </c>
      <c r="AF167" s="201">
        <f>SUM(H167:AE167)</f>
        <v>690070.38</v>
      </c>
      <c r="AG167" s="333" t="str">
        <f>IF(ABS(AF167-F167)&lt;1,"ok","err")</f>
        <v>ok</v>
      </c>
    </row>
    <row r="168" spans="1:33">
      <c r="F168" s="203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47"/>
      <c r="S168" s="347"/>
      <c r="T168" s="347"/>
      <c r="U168" s="347"/>
      <c r="V168" s="347"/>
      <c r="W168" s="347"/>
      <c r="X168" s="347"/>
      <c r="Y168" s="347"/>
      <c r="Z168" s="347"/>
      <c r="AA168" s="347"/>
      <c r="AB168" s="347"/>
      <c r="AC168" s="347"/>
      <c r="AD168" s="347"/>
      <c r="AE168" s="347"/>
      <c r="AF168" s="201"/>
      <c r="AG168" s="333"/>
    </row>
    <row r="169" spans="1:33">
      <c r="B169" s="165" t="s">
        <v>341</v>
      </c>
      <c r="F169" s="203">
        <f>F158+F167</f>
        <v>1532427.39</v>
      </c>
      <c r="H169" s="347">
        <f t="shared" ref="H169:M169" si="75">H158+H167</f>
        <v>424191.22454411635</v>
      </c>
      <c r="I169" s="347">
        <f t="shared" si="75"/>
        <v>399875.62854723143</v>
      </c>
      <c r="J169" s="347">
        <f t="shared" si="75"/>
        <v>410675.03101897112</v>
      </c>
      <c r="K169" s="347">
        <f t="shared" si="75"/>
        <v>297685.50588968111</v>
      </c>
      <c r="L169" s="347">
        <f t="shared" si="75"/>
        <v>0</v>
      </c>
      <c r="M169" s="347">
        <f t="shared" si="75"/>
        <v>0</v>
      </c>
      <c r="N169" s="347">
        <f>N158+N167</f>
        <v>0</v>
      </c>
      <c r="O169" s="347">
        <f>O158+O167</f>
        <v>0</v>
      </c>
      <c r="P169" s="347">
        <f>P158+P167</f>
        <v>0</v>
      </c>
      <c r="Q169" s="347">
        <f t="shared" ref="Q169:AB169" si="76">Q158+Q167</f>
        <v>0</v>
      </c>
      <c r="R169" s="347">
        <f t="shared" si="76"/>
        <v>0</v>
      </c>
      <c r="S169" s="347">
        <f t="shared" si="76"/>
        <v>0</v>
      </c>
      <c r="T169" s="347">
        <f t="shared" si="76"/>
        <v>0</v>
      </c>
      <c r="U169" s="347">
        <f t="shared" si="76"/>
        <v>0</v>
      </c>
      <c r="V169" s="347">
        <f t="shared" si="76"/>
        <v>0</v>
      </c>
      <c r="W169" s="347">
        <f t="shared" si="76"/>
        <v>0</v>
      </c>
      <c r="X169" s="347">
        <f t="shared" si="76"/>
        <v>0</v>
      </c>
      <c r="Y169" s="347">
        <f t="shared" si="76"/>
        <v>0</v>
      </c>
      <c r="Z169" s="347">
        <f t="shared" si="76"/>
        <v>0</v>
      </c>
      <c r="AA169" s="347">
        <f t="shared" si="76"/>
        <v>0</v>
      </c>
      <c r="AB169" s="347">
        <f t="shared" si="76"/>
        <v>0</v>
      </c>
      <c r="AC169" s="347">
        <f>AC158+AC167</f>
        <v>0</v>
      </c>
      <c r="AD169" s="347">
        <f>AD158+AD167</f>
        <v>0</v>
      </c>
      <c r="AE169" s="347">
        <f>AE158+AE167</f>
        <v>0</v>
      </c>
      <c r="AF169" s="201">
        <f>SUM(H169:AE169)</f>
        <v>1532427.3900000001</v>
      </c>
      <c r="AG169" s="333" t="str">
        <f>IF(ABS(AF169-F169)&lt;1,"ok","err")</f>
        <v>ok</v>
      </c>
    </row>
    <row r="170" spans="1:33">
      <c r="F170" s="203"/>
      <c r="W170" s="165"/>
      <c r="AG170" s="333"/>
    </row>
    <row r="171" spans="1:33">
      <c r="A171" s="5" t="s">
        <v>250</v>
      </c>
      <c r="F171" s="203"/>
      <c r="W171" s="165"/>
      <c r="AG171" s="333"/>
    </row>
    <row r="172" spans="1:33">
      <c r="A172" s="165">
        <v>546</v>
      </c>
      <c r="B172" s="165" t="s">
        <v>225</v>
      </c>
      <c r="C172" s="165" t="s">
        <v>251</v>
      </c>
      <c r="D172" s="165" t="s">
        <v>687</v>
      </c>
      <c r="F172" s="203">
        <v>49813.200000000004</v>
      </c>
      <c r="H172" s="201">
        <f t="shared" ref="H172:Q176" si="77">IF(VLOOKUP($D172,$C$6:$AE$598,H$2,)=0,0,((VLOOKUP($D172,$C$6:$AE$598,H$2,)/VLOOKUP($D172,$C$6:$AE$598,4,))*$F172))</f>
        <v>17113.14937833037</v>
      </c>
      <c r="I172" s="201">
        <f t="shared" si="77"/>
        <v>16132.185128150444</v>
      </c>
      <c r="J172" s="201">
        <f t="shared" si="77"/>
        <v>16567.865493519184</v>
      </c>
      <c r="K172" s="201">
        <f t="shared" si="77"/>
        <v>0</v>
      </c>
      <c r="L172" s="201">
        <f t="shared" si="77"/>
        <v>0</v>
      </c>
      <c r="M172" s="201">
        <f t="shared" si="77"/>
        <v>0</v>
      </c>
      <c r="N172" s="201">
        <f t="shared" si="77"/>
        <v>0</v>
      </c>
      <c r="O172" s="201">
        <f t="shared" si="77"/>
        <v>0</v>
      </c>
      <c r="P172" s="201">
        <f t="shared" si="77"/>
        <v>0</v>
      </c>
      <c r="Q172" s="201">
        <f t="shared" si="77"/>
        <v>0</v>
      </c>
      <c r="R172" s="201">
        <f t="shared" ref="R172:AE176" si="78">IF(VLOOKUP($D172,$C$6:$AE$598,R$2,)=0,0,((VLOOKUP($D172,$C$6:$AE$598,R$2,)/VLOOKUP($D172,$C$6:$AE$598,4,))*$F172))</f>
        <v>0</v>
      </c>
      <c r="S172" s="201">
        <f t="shared" si="78"/>
        <v>0</v>
      </c>
      <c r="T172" s="201">
        <f t="shared" si="78"/>
        <v>0</v>
      </c>
      <c r="U172" s="201">
        <f t="shared" si="78"/>
        <v>0</v>
      </c>
      <c r="V172" s="201">
        <f t="shared" si="78"/>
        <v>0</v>
      </c>
      <c r="W172" s="201">
        <f t="shared" si="78"/>
        <v>0</v>
      </c>
      <c r="X172" s="201">
        <f t="shared" si="78"/>
        <v>0</v>
      </c>
      <c r="Y172" s="201">
        <f t="shared" si="78"/>
        <v>0</v>
      </c>
      <c r="Z172" s="201">
        <f t="shared" si="78"/>
        <v>0</v>
      </c>
      <c r="AA172" s="201">
        <f t="shared" si="78"/>
        <v>0</v>
      </c>
      <c r="AB172" s="201">
        <f t="shared" si="78"/>
        <v>0</v>
      </c>
      <c r="AC172" s="201">
        <f t="shared" si="78"/>
        <v>0</v>
      </c>
      <c r="AD172" s="201">
        <f t="shared" si="78"/>
        <v>0</v>
      </c>
      <c r="AE172" s="201">
        <f t="shared" si="78"/>
        <v>0</v>
      </c>
      <c r="AF172" s="201">
        <f>SUM(H172:AE172)</f>
        <v>49813.2</v>
      </c>
      <c r="AG172" s="333" t="str">
        <f>IF(ABS(AF172-F172)&lt;1,"ok","err")</f>
        <v>ok</v>
      </c>
    </row>
    <row r="173" spans="1:33">
      <c r="A173" s="165">
        <v>547</v>
      </c>
      <c r="B173" s="165" t="s">
        <v>227</v>
      </c>
      <c r="C173" s="165" t="s">
        <v>252</v>
      </c>
      <c r="D173" s="165" t="s">
        <v>1034</v>
      </c>
      <c r="F173" s="340">
        <v>17279551.32</v>
      </c>
      <c r="H173" s="201">
        <f t="shared" si="77"/>
        <v>0</v>
      </c>
      <c r="I173" s="201">
        <f t="shared" si="77"/>
        <v>0</v>
      </c>
      <c r="J173" s="201">
        <f t="shared" si="77"/>
        <v>0</v>
      </c>
      <c r="K173" s="201">
        <f t="shared" si="77"/>
        <v>17279551.32</v>
      </c>
      <c r="L173" s="201">
        <f t="shared" si="77"/>
        <v>0</v>
      </c>
      <c r="M173" s="201">
        <f t="shared" si="77"/>
        <v>0</v>
      </c>
      <c r="N173" s="201">
        <f t="shared" si="77"/>
        <v>0</v>
      </c>
      <c r="O173" s="201">
        <f t="shared" si="77"/>
        <v>0</v>
      </c>
      <c r="P173" s="201">
        <f t="shared" si="77"/>
        <v>0</v>
      </c>
      <c r="Q173" s="201">
        <f t="shared" si="77"/>
        <v>0</v>
      </c>
      <c r="R173" s="201">
        <f t="shared" si="78"/>
        <v>0</v>
      </c>
      <c r="S173" s="201">
        <f t="shared" si="78"/>
        <v>0</v>
      </c>
      <c r="T173" s="201">
        <f t="shared" si="78"/>
        <v>0</v>
      </c>
      <c r="U173" s="201">
        <f t="shared" si="78"/>
        <v>0</v>
      </c>
      <c r="V173" s="201">
        <f t="shared" si="78"/>
        <v>0</v>
      </c>
      <c r="W173" s="201">
        <f t="shared" si="78"/>
        <v>0</v>
      </c>
      <c r="X173" s="201">
        <f t="shared" si="78"/>
        <v>0</v>
      </c>
      <c r="Y173" s="201">
        <f t="shared" si="78"/>
        <v>0</v>
      </c>
      <c r="Z173" s="201">
        <f t="shared" si="78"/>
        <v>0</v>
      </c>
      <c r="AA173" s="201">
        <f t="shared" si="78"/>
        <v>0</v>
      </c>
      <c r="AB173" s="201">
        <f t="shared" si="78"/>
        <v>0</v>
      </c>
      <c r="AC173" s="201">
        <f t="shared" si="78"/>
        <v>0</v>
      </c>
      <c r="AD173" s="201">
        <f t="shared" si="78"/>
        <v>0</v>
      </c>
      <c r="AE173" s="201">
        <f t="shared" si="78"/>
        <v>0</v>
      </c>
      <c r="AF173" s="201">
        <f>SUM(H173:AE173)</f>
        <v>17279551.32</v>
      </c>
      <c r="AG173" s="333" t="str">
        <f>IF(ABS(AF173-F173)&lt;1,"ok","err")</f>
        <v>ok</v>
      </c>
    </row>
    <row r="174" spans="1:33">
      <c r="A174" s="165">
        <v>548</v>
      </c>
      <c r="B174" s="165" t="s">
        <v>253</v>
      </c>
      <c r="C174" s="165" t="s">
        <v>254</v>
      </c>
      <c r="D174" s="165" t="s">
        <v>679</v>
      </c>
      <c r="F174" s="340">
        <v>154402.44</v>
      </c>
      <c r="H174" s="201">
        <f t="shared" si="77"/>
        <v>53044.414333925401</v>
      </c>
      <c r="I174" s="201">
        <f t="shared" si="77"/>
        <v>50003.789082374584</v>
      </c>
      <c r="J174" s="201">
        <f t="shared" si="77"/>
        <v>51354.236583700018</v>
      </c>
      <c r="K174" s="201">
        <f t="shared" si="77"/>
        <v>0</v>
      </c>
      <c r="L174" s="201">
        <f t="shared" si="77"/>
        <v>0</v>
      </c>
      <c r="M174" s="201">
        <f t="shared" si="77"/>
        <v>0</v>
      </c>
      <c r="N174" s="201">
        <f t="shared" si="77"/>
        <v>0</v>
      </c>
      <c r="O174" s="201">
        <f t="shared" si="77"/>
        <v>0</v>
      </c>
      <c r="P174" s="201">
        <f t="shared" si="77"/>
        <v>0</v>
      </c>
      <c r="Q174" s="201">
        <f t="shared" si="77"/>
        <v>0</v>
      </c>
      <c r="R174" s="201">
        <f t="shared" si="78"/>
        <v>0</v>
      </c>
      <c r="S174" s="201">
        <f t="shared" si="78"/>
        <v>0</v>
      </c>
      <c r="T174" s="201">
        <f t="shared" si="78"/>
        <v>0</v>
      </c>
      <c r="U174" s="201">
        <f t="shared" si="78"/>
        <v>0</v>
      </c>
      <c r="V174" s="201">
        <f t="shared" si="78"/>
        <v>0</v>
      </c>
      <c r="W174" s="201">
        <f t="shared" si="78"/>
        <v>0</v>
      </c>
      <c r="X174" s="201">
        <f t="shared" si="78"/>
        <v>0</v>
      </c>
      <c r="Y174" s="201">
        <f t="shared" si="78"/>
        <v>0</v>
      </c>
      <c r="Z174" s="201">
        <f t="shared" si="78"/>
        <v>0</v>
      </c>
      <c r="AA174" s="201">
        <f t="shared" si="78"/>
        <v>0</v>
      </c>
      <c r="AB174" s="201">
        <f t="shared" si="78"/>
        <v>0</v>
      </c>
      <c r="AC174" s="201">
        <f t="shared" si="78"/>
        <v>0</v>
      </c>
      <c r="AD174" s="201">
        <f t="shared" si="78"/>
        <v>0</v>
      </c>
      <c r="AE174" s="201">
        <f t="shared" si="78"/>
        <v>0</v>
      </c>
      <c r="AF174" s="201">
        <f>SUM(H174:AE174)</f>
        <v>154402.44</v>
      </c>
      <c r="AG174" s="333" t="str">
        <f>IF(ABS(AF174-F174)&lt;1,"ok","err")</f>
        <v>ok</v>
      </c>
    </row>
    <row r="175" spans="1:33">
      <c r="A175" s="165">
        <v>549</v>
      </c>
      <c r="B175" s="165" t="s">
        <v>255</v>
      </c>
      <c r="C175" s="165" t="s">
        <v>256</v>
      </c>
      <c r="D175" s="165" t="s">
        <v>679</v>
      </c>
      <c r="F175" s="340">
        <v>36952.959999999999</v>
      </c>
      <c r="H175" s="201">
        <f t="shared" si="77"/>
        <v>12695.059230313795</v>
      </c>
      <c r="I175" s="201">
        <f t="shared" si="77"/>
        <v>11967.349854117749</v>
      </c>
      <c r="J175" s="201">
        <f t="shared" si="77"/>
        <v>12290.550915568456</v>
      </c>
      <c r="K175" s="201">
        <f t="shared" si="77"/>
        <v>0</v>
      </c>
      <c r="L175" s="201">
        <f t="shared" si="77"/>
        <v>0</v>
      </c>
      <c r="M175" s="201">
        <f t="shared" si="77"/>
        <v>0</v>
      </c>
      <c r="N175" s="201">
        <f t="shared" si="77"/>
        <v>0</v>
      </c>
      <c r="O175" s="201">
        <f t="shared" si="77"/>
        <v>0</v>
      </c>
      <c r="P175" s="201">
        <f t="shared" si="77"/>
        <v>0</v>
      </c>
      <c r="Q175" s="201">
        <f t="shared" si="77"/>
        <v>0</v>
      </c>
      <c r="R175" s="201">
        <f t="shared" si="78"/>
        <v>0</v>
      </c>
      <c r="S175" s="201">
        <f t="shared" si="78"/>
        <v>0</v>
      </c>
      <c r="T175" s="201">
        <f t="shared" si="78"/>
        <v>0</v>
      </c>
      <c r="U175" s="201">
        <f t="shared" si="78"/>
        <v>0</v>
      </c>
      <c r="V175" s="201">
        <f t="shared" si="78"/>
        <v>0</v>
      </c>
      <c r="W175" s="201">
        <f t="shared" si="78"/>
        <v>0</v>
      </c>
      <c r="X175" s="201">
        <f t="shared" si="78"/>
        <v>0</v>
      </c>
      <c r="Y175" s="201">
        <f t="shared" si="78"/>
        <v>0</v>
      </c>
      <c r="Z175" s="201">
        <f t="shared" si="78"/>
        <v>0</v>
      </c>
      <c r="AA175" s="201">
        <f t="shared" si="78"/>
        <v>0</v>
      </c>
      <c r="AB175" s="201">
        <f t="shared" si="78"/>
        <v>0</v>
      </c>
      <c r="AC175" s="201">
        <f t="shared" si="78"/>
        <v>0</v>
      </c>
      <c r="AD175" s="201">
        <f t="shared" si="78"/>
        <v>0</v>
      </c>
      <c r="AE175" s="201">
        <f t="shared" si="78"/>
        <v>0</v>
      </c>
      <c r="AF175" s="201">
        <f>SUM(H175:AE175)</f>
        <v>36952.959999999999</v>
      </c>
      <c r="AG175" s="333" t="str">
        <f>IF(ABS(AF175-F175)&lt;1,"ok","err")</f>
        <v>ok</v>
      </c>
    </row>
    <row r="176" spans="1:33">
      <c r="A176" s="165">
        <v>550</v>
      </c>
      <c r="B176" s="165" t="s">
        <v>1108</v>
      </c>
      <c r="C176" s="165" t="s">
        <v>257</v>
      </c>
      <c r="D176" s="165" t="s">
        <v>679</v>
      </c>
      <c r="F176" s="340">
        <v>22784.16</v>
      </c>
      <c r="H176" s="201">
        <f t="shared" si="77"/>
        <v>7827.4179040852578</v>
      </c>
      <c r="I176" s="201">
        <f t="shared" si="77"/>
        <v>7378.7326875085373</v>
      </c>
      <c r="J176" s="201">
        <f t="shared" si="77"/>
        <v>7578.0094084062057</v>
      </c>
      <c r="K176" s="201">
        <f t="shared" si="77"/>
        <v>0</v>
      </c>
      <c r="L176" s="201">
        <f t="shared" si="77"/>
        <v>0</v>
      </c>
      <c r="M176" s="201">
        <f t="shared" si="77"/>
        <v>0</v>
      </c>
      <c r="N176" s="201">
        <f t="shared" si="77"/>
        <v>0</v>
      </c>
      <c r="O176" s="201">
        <f t="shared" si="77"/>
        <v>0</v>
      </c>
      <c r="P176" s="201">
        <f t="shared" si="77"/>
        <v>0</v>
      </c>
      <c r="Q176" s="201">
        <f t="shared" si="77"/>
        <v>0</v>
      </c>
      <c r="R176" s="201">
        <f t="shared" si="78"/>
        <v>0</v>
      </c>
      <c r="S176" s="201">
        <f t="shared" si="78"/>
        <v>0</v>
      </c>
      <c r="T176" s="201">
        <f t="shared" si="78"/>
        <v>0</v>
      </c>
      <c r="U176" s="201">
        <f t="shared" si="78"/>
        <v>0</v>
      </c>
      <c r="V176" s="201">
        <f t="shared" si="78"/>
        <v>0</v>
      </c>
      <c r="W176" s="201">
        <f t="shared" si="78"/>
        <v>0</v>
      </c>
      <c r="X176" s="201">
        <f t="shared" si="78"/>
        <v>0</v>
      </c>
      <c r="Y176" s="201">
        <f t="shared" si="78"/>
        <v>0</v>
      </c>
      <c r="Z176" s="201">
        <f t="shared" si="78"/>
        <v>0</v>
      </c>
      <c r="AA176" s="201">
        <f t="shared" si="78"/>
        <v>0</v>
      </c>
      <c r="AB176" s="201">
        <f t="shared" si="78"/>
        <v>0</v>
      </c>
      <c r="AC176" s="201">
        <f t="shared" si="78"/>
        <v>0</v>
      </c>
      <c r="AD176" s="201">
        <f t="shared" si="78"/>
        <v>0</v>
      </c>
      <c r="AE176" s="201">
        <f t="shared" si="78"/>
        <v>0</v>
      </c>
      <c r="AF176" s="201">
        <f>SUM(H176:AE176)</f>
        <v>22784.160000000003</v>
      </c>
      <c r="AG176" s="333" t="str">
        <f>IF(ABS(AF176-F176)&lt;1,"ok","err")</f>
        <v>ok</v>
      </c>
    </row>
    <row r="177" spans="1:33">
      <c r="F177" s="203"/>
      <c r="W177" s="165"/>
      <c r="AF177" s="201"/>
      <c r="AG177" s="333"/>
    </row>
    <row r="178" spans="1:33">
      <c r="B178" s="359" t="s">
        <v>1529</v>
      </c>
      <c r="F178" s="203">
        <f>SUM(F172:F177)</f>
        <v>17543504.080000002</v>
      </c>
      <c r="H178" s="347">
        <f t="shared" ref="H178:M178" si="79">SUM(H172:H177)</f>
        <v>90680.040846654825</v>
      </c>
      <c r="I178" s="347">
        <f t="shared" si="79"/>
        <v>85482.056752151329</v>
      </c>
      <c r="J178" s="347">
        <f t="shared" si="79"/>
        <v>87790.662401193855</v>
      </c>
      <c r="K178" s="347">
        <f t="shared" si="79"/>
        <v>17279551.32</v>
      </c>
      <c r="L178" s="347">
        <f t="shared" si="79"/>
        <v>0</v>
      </c>
      <c r="M178" s="347">
        <f t="shared" si="79"/>
        <v>0</v>
      </c>
      <c r="N178" s="347">
        <f>SUM(N172:N177)</f>
        <v>0</v>
      </c>
      <c r="O178" s="347">
        <f>SUM(O172:O177)</f>
        <v>0</v>
      </c>
      <c r="P178" s="347">
        <f>SUM(P172:P177)</f>
        <v>0</v>
      </c>
      <c r="Q178" s="347">
        <f t="shared" ref="Q178:AB178" si="80">SUM(Q172:Q177)</f>
        <v>0</v>
      </c>
      <c r="R178" s="347">
        <f t="shared" si="80"/>
        <v>0</v>
      </c>
      <c r="S178" s="347">
        <f t="shared" si="80"/>
        <v>0</v>
      </c>
      <c r="T178" s="347">
        <f t="shared" si="80"/>
        <v>0</v>
      </c>
      <c r="U178" s="347">
        <f t="shared" si="80"/>
        <v>0</v>
      </c>
      <c r="V178" s="347">
        <f t="shared" si="80"/>
        <v>0</v>
      </c>
      <c r="W178" s="347">
        <f t="shared" si="80"/>
        <v>0</v>
      </c>
      <c r="X178" s="347">
        <f t="shared" si="80"/>
        <v>0</v>
      </c>
      <c r="Y178" s="347">
        <f t="shared" si="80"/>
        <v>0</v>
      </c>
      <c r="Z178" s="347">
        <f t="shared" si="80"/>
        <v>0</v>
      </c>
      <c r="AA178" s="347">
        <f t="shared" si="80"/>
        <v>0</v>
      </c>
      <c r="AB178" s="347">
        <f t="shared" si="80"/>
        <v>0</v>
      </c>
      <c r="AC178" s="347">
        <f>SUM(AC172:AC177)</f>
        <v>0</v>
      </c>
      <c r="AD178" s="347">
        <f>SUM(AD172:AD177)</f>
        <v>0</v>
      </c>
      <c r="AE178" s="347">
        <f>SUM(AE172:AE177)</f>
        <v>0</v>
      </c>
      <c r="AF178" s="201">
        <f>SUM(H178:AE178)</f>
        <v>17543504.080000002</v>
      </c>
      <c r="AG178" s="333" t="str">
        <f>IF(ABS(AF178-F178)&lt;1,"ok","err")</f>
        <v>ok</v>
      </c>
    </row>
    <row r="179" spans="1:33">
      <c r="F179" s="203"/>
      <c r="W179" s="165"/>
      <c r="AG179" s="333"/>
    </row>
    <row r="180" spans="1:33">
      <c r="A180" s="6" t="s">
        <v>1128</v>
      </c>
      <c r="F180" s="203"/>
      <c r="W180" s="165"/>
      <c r="AG180" s="333"/>
    </row>
    <row r="181" spans="1:33">
      <c r="F181" s="203"/>
      <c r="W181" s="165"/>
      <c r="AG181" s="333"/>
    </row>
    <row r="182" spans="1:33">
      <c r="A182" s="5" t="s">
        <v>259</v>
      </c>
      <c r="F182" s="203"/>
      <c r="W182" s="165"/>
      <c r="AG182" s="333"/>
    </row>
    <row r="183" spans="1:33">
      <c r="A183" s="165">
        <v>551</v>
      </c>
      <c r="B183" s="165" t="s">
        <v>240</v>
      </c>
      <c r="C183" s="165" t="s">
        <v>260</v>
      </c>
      <c r="D183" s="165" t="s">
        <v>679</v>
      </c>
      <c r="F183" s="203">
        <v>24272.94</v>
      </c>
      <c r="H183" s="201">
        <f t="shared" ref="H183:Q186" si="81">IF(VLOOKUP($D183,$C$6:$AE$598,H$2,)=0,0,((VLOOKUP($D183,$C$6:$AE$598,H$2,)/VLOOKUP($D183,$C$6:$AE$598,4,))*$F183))</f>
        <v>8338.8830284191827</v>
      </c>
      <c r="I183" s="201">
        <f t="shared" si="81"/>
        <v>7860.8794794248925</v>
      </c>
      <c r="J183" s="201">
        <f t="shared" si="81"/>
        <v>8073.1774921559236</v>
      </c>
      <c r="K183" s="201">
        <f t="shared" si="81"/>
        <v>0</v>
      </c>
      <c r="L183" s="201">
        <f t="shared" si="81"/>
        <v>0</v>
      </c>
      <c r="M183" s="201">
        <f t="shared" si="81"/>
        <v>0</v>
      </c>
      <c r="N183" s="201">
        <f t="shared" si="81"/>
        <v>0</v>
      </c>
      <c r="O183" s="201">
        <f t="shared" si="81"/>
        <v>0</v>
      </c>
      <c r="P183" s="201">
        <f t="shared" si="81"/>
        <v>0</v>
      </c>
      <c r="Q183" s="201">
        <f t="shared" si="81"/>
        <v>0</v>
      </c>
      <c r="R183" s="201">
        <f t="shared" ref="R183:AE186" si="82">IF(VLOOKUP($D183,$C$6:$AE$598,R$2,)=0,0,((VLOOKUP($D183,$C$6:$AE$598,R$2,)/VLOOKUP($D183,$C$6:$AE$598,4,))*$F183))</f>
        <v>0</v>
      </c>
      <c r="S183" s="201">
        <f t="shared" si="82"/>
        <v>0</v>
      </c>
      <c r="T183" s="201">
        <f t="shared" si="82"/>
        <v>0</v>
      </c>
      <c r="U183" s="201">
        <f t="shared" si="82"/>
        <v>0</v>
      </c>
      <c r="V183" s="201">
        <f t="shared" si="82"/>
        <v>0</v>
      </c>
      <c r="W183" s="201">
        <f t="shared" si="82"/>
        <v>0</v>
      </c>
      <c r="X183" s="201">
        <f t="shared" si="82"/>
        <v>0</v>
      </c>
      <c r="Y183" s="201">
        <f t="shared" si="82"/>
        <v>0</v>
      </c>
      <c r="Z183" s="201">
        <f t="shared" si="82"/>
        <v>0</v>
      </c>
      <c r="AA183" s="201">
        <f t="shared" si="82"/>
        <v>0</v>
      </c>
      <c r="AB183" s="201">
        <f t="shared" si="82"/>
        <v>0</v>
      </c>
      <c r="AC183" s="201">
        <f t="shared" si="82"/>
        <v>0</v>
      </c>
      <c r="AD183" s="201">
        <f t="shared" si="82"/>
        <v>0</v>
      </c>
      <c r="AE183" s="201">
        <f t="shared" si="82"/>
        <v>0</v>
      </c>
      <c r="AF183" s="201">
        <f>SUM(H183:AE183)</f>
        <v>24272.94</v>
      </c>
      <c r="AG183" s="333" t="str">
        <f>IF(ABS(AF183-F183)&lt;1,"ok","err")</f>
        <v>ok</v>
      </c>
    </row>
    <row r="184" spans="1:33">
      <c r="A184" s="165">
        <v>552</v>
      </c>
      <c r="B184" s="165" t="s">
        <v>239</v>
      </c>
      <c r="C184" s="165" t="s">
        <v>261</v>
      </c>
      <c r="D184" s="165" t="s">
        <v>679</v>
      </c>
      <c r="F184" s="340">
        <v>96755.17</v>
      </c>
      <c r="H184" s="201">
        <f t="shared" si="81"/>
        <v>33239.897804914151</v>
      </c>
      <c r="I184" s="201">
        <f t="shared" si="81"/>
        <v>31334.512027849407</v>
      </c>
      <c r="J184" s="201">
        <f t="shared" si="81"/>
        <v>32180.76016723644</v>
      </c>
      <c r="K184" s="201">
        <f t="shared" si="81"/>
        <v>0</v>
      </c>
      <c r="L184" s="201">
        <f t="shared" si="81"/>
        <v>0</v>
      </c>
      <c r="M184" s="201">
        <f t="shared" si="81"/>
        <v>0</v>
      </c>
      <c r="N184" s="201">
        <f t="shared" si="81"/>
        <v>0</v>
      </c>
      <c r="O184" s="201">
        <f t="shared" si="81"/>
        <v>0</v>
      </c>
      <c r="P184" s="201">
        <f t="shared" si="81"/>
        <v>0</v>
      </c>
      <c r="Q184" s="201">
        <f t="shared" si="81"/>
        <v>0</v>
      </c>
      <c r="R184" s="201">
        <f t="shared" si="82"/>
        <v>0</v>
      </c>
      <c r="S184" s="201">
        <f t="shared" si="82"/>
        <v>0</v>
      </c>
      <c r="T184" s="201">
        <f t="shared" si="82"/>
        <v>0</v>
      </c>
      <c r="U184" s="201">
        <f t="shared" si="82"/>
        <v>0</v>
      </c>
      <c r="V184" s="201">
        <f t="shared" si="82"/>
        <v>0</v>
      </c>
      <c r="W184" s="201">
        <f t="shared" si="82"/>
        <v>0</v>
      </c>
      <c r="X184" s="201">
        <f t="shared" si="82"/>
        <v>0</v>
      </c>
      <c r="Y184" s="201">
        <f t="shared" si="82"/>
        <v>0</v>
      </c>
      <c r="Z184" s="201">
        <f t="shared" si="82"/>
        <v>0</v>
      </c>
      <c r="AA184" s="201">
        <f t="shared" si="82"/>
        <v>0</v>
      </c>
      <c r="AB184" s="201">
        <f t="shared" si="82"/>
        <v>0</v>
      </c>
      <c r="AC184" s="201">
        <f t="shared" si="82"/>
        <v>0</v>
      </c>
      <c r="AD184" s="201">
        <f t="shared" si="82"/>
        <v>0</v>
      </c>
      <c r="AE184" s="201">
        <f t="shared" si="82"/>
        <v>0</v>
      </c>
      <c r="AF184" s="201">
        <f>SUM(H184:AE184)</f>
        <v>96755.17</v>
      </c>
      <c r="AG184" s="333" t="str">
        <f>IF(ABS(AF184-F184)&lt;1,"ok","err")</f>
        <v>ok</v>
      </c>
    </row>
    <row r="185" spans="1:33">
      <c r="A185" s="165">
        <v>553</v>
      </c>
      <c r="B185" s="165" t="s">
        <v>262</v>
      </c>
      <c r="C185" s="165" t="s">
        <v>263</v>
      </c>
      <c r="D185" s="165" t="s">
        <v>679</v>
      </c>
      <c r="F185" s="340">
        <v>885069.38</v>
      </c>
      <c r="H185" s="201">
        <f t="shared" si="81"/>
        <v>304062.46758140915</v>
      </c>
      <c r="I185" s="201">
        <f t="shared" si="81"/>
        <v>286632.92238638224</v>
      </c>
      <c r="J185" s="201">
        <f t="shared" si="81"/>
        <v>294373.99003220868</v>
      </c>
      <c r="K185" s="201">
        <f t="shared" si="81"/>
        <v>0</v>
      </c>
      <c r="L185" s="201">
        <f t="shared" si="81"/>
        <v>0</v>
      </c>
      <c r="M185" s="201">
        <f t="shared" si="81"/>
        <v>0</v>
      </c>
      <c r="N185" s="201">
        <f t="shared" si="81"/>
        <v>0</v>
      </c>
      <c r="O185" s="201">
        <f t="shared" si="81"/>
        <v>0</v>
      </c>
      <c r="P185" s="201">
        <f t="shared" si="81"/>
        <v>0</v>
      </c>
      <c r="Q185" s="201">
        <f t="shared" si="81"/>
        <v>0</v>
      </c>
      <c r="R185" s="201">
        <f t="shared" si="82"/>
        <v>0</v>
      </c>
      <c r="S185" s="201">
        <f t="shared" si="82"/>
        <v>0</v>
      </c>
      <c r="T185" s="201">
        <f t="shared" si="82"/>
        <v>0</v>
      </c>
      <c r="U185" s="201">
        <f t="shared" si="82"/>
        <v>0</v>
      </c>
      <c r="V185" s="201">
        <f t="shared" si="82"/>
        <v>0</v>
      </c>
      <c r="W185" s="201">
        <f t="shared" si="82"/>
        <v>0</v>
      </c>
      <c r="X185" s="201">
        <f t="shared" si="82"/>
        <v>0</v>
      </c>
      <c r="Y185" s="201">
        <f t="shared" si="82"/>
        <v>0</v>
      </c>
      <c r="Z185" s="201">
        <f t="shared" si="82"/>
        <v>0</v>
      </c>
      <c r="AA185" s="201">
        <f t="shared" si="82"/>
        <v>0</v>
      </c>
      <c r="AB185" s="201">
        <f t="shared" si="82"/>
        <v>0</v>
      </c>
      <c r="AC185" s="201">
        <f t="shared" si="82"/>
        <v>0</v>
      </c>
      <c r="AD185" s="201">
        <f t="shared" si="82"/>
        <v>0</v>
      </c>
      <c r="AE185" s="201">
        <f t="shared" si="82"/>
        <v>0</v>
      </c>
      <c r="AF185" s="201">
        <f>SUM(H185:AE185)</f>
        <v>885069.38000000012</v>
      </c>
      <c r="AG185" s="333" t="str">
        <f>IF(ABS(AF185-F185)&lt;1,"ok","err")</f>
        <v>ok</v>
      </c>
    </row>
    <row r="186" spans="1:33">
      <c r="A186" s="165">
        <v>554</v>
      </c>
      <c r="B186" s="165" t="s">
        <v>264</v>
      </c>
      <c r="C186" s="165" t="s">
        <v>265</v>
      </c>
      <c r="D186" s="165" t="s">
        <v>679</v>
      </c>
      <c r="F186" s="340">
        <v>61650.61</v>
      </c>
      <c r="H186" s="201">
        <f t="shared" si="81"/>
        <v>21179.849883066905</v>
      </c>
      <c r="I186" s="201">
        <f t="shared" si="81"/>
        <v>19965.77320435955</v>
      </c>
      <c r="J186" s="201">
        <f t="shared" si="81"/>
        <v>20504.986912573546</v>
      </c>
      <c r="K186" s="201">
        <f t="shared" si="81"/>
        <v>0</v>
      </c>
      <c r="L186" s="201">
        <f t="shared" si="81"/>
        <v>0</v>
      </c>
      <c r="M186" s="201">
        <f t="shared" si="81"/>
        <v>0</v>
      </c>
      <c r="N186" s="201">
        <f t="shared" si="81"/>
        <v>0</v>
      </c>
      <c r="O186" s="201">
        <f t="shared" si="81"/>
        <v>0</v>
      </c>
      <c r="P186" s="201">
        <f t="shared" si="81"/>
        <v>0</v>
      </c>
      <c r="Q186" s="201">
        <f t="shared" si="81"/>
        <v>0</v>
      </c>
      <c r="R186" s="201">
        <f t="shared" si="82"/>
        <v>0</v>
      </c>
      <c r="S186" s="201">
        <f t="shared" si="82"/>
        <v>0</v>
      </c>
      <c r="T186" s="201">
        <f t="shared" si="82"/>
        <v>0</v>
      </c>
      <c r="U186" s="201">
        <f t="shared" si="82"/>
        <v>0</v>
      </c>
      <c r="V186" s="201">
        <f t="shared" si="82"/>
        <v>0</v>
      </c>
      <c r="W186" s="201">
        <f t="shared" si="82"/>
        <v>0</v>
      </c>
      <c r="X186" s="201">
        <f t="shared" si="82"/>
        <v>0</v>
      </c>
      <c r="Y186" s="201">
        <f t="shared" si="82"/>
        <v>0</v>
      </c>
      <c r="Z186" s="201">
        <f t="shared" si="82"/>
        <v>0</v>
      </c>
      <c r="AA186" s="201">
        <f t="shared" si="82"/>
        <v>0</v>
      </c>
      <c r="AB186" s="201">
        <f t="shared" si="82"/>
        <v>0</v>
      </c>
      <c r="AC186" s="201">
        <f t="shared" si="82"/>
        <v>0</v>
      </c>
      <c r="AD186" s="201">
        <f t="shared" si="82"/>
        <v>0</v>
      </c>
      <c r="AE186" s="201">
        <f t="shared" si="82"/>
        <v>0</v>
      </c>
      <c r="AF186" s="201">
        <f>SUM(H186:AE186)</f>
        <v>61650.61</v>
      </c>
      <c r="AG186" s="333" t="str">
        <f>IF(ABS(AF186-F186)&lt;1,"ok","err")</f>
        <v>ok</v>
      </c>
    </row>
    <row r="187" spans="1:33">
      <c r="F187" s="203"/>
      <c r="W187" s="165"/>
      <c r="AG187" s="333"/>
    </row>
    <row r="188" spans="1:33">
      <c r="B188" s="165" t="s">
        <v>267</v>
      </c>
      <c r="F188" s="203">
        <f>SUM(F183:F187)</f>
        <v>1067748.1000000001</v>
      </c>
      <c r="H188" s="347">
        <f t="shared" ref="H188:M188" si="83">SUM(H183:H187)</f>
        <v>366821.09829780937</v>
      </c>
      <c r="I188" s="347">
        <f t="shared" si="83"/>
        <v>345794.08709801611</v>
      </c>
      <c r="J188" s="347">
        <f t="shared" si="83"/>
        <v>355132.91460417461</v>
      </c>
      <c r="K188" s="347">
        <f t="shared" si="83"/>
        <v>0</v>
      </c>
      <c r="L188" s="347">
        <f t="shared" si="83"/>
        <v>0</v>
      </c>
      <c r="M188" s="347">
        <f t="shared" si="83"/>
        <v>0</v>
      </c>
      <c r="N188" s="347">
        <f>SUM(N183:N187)</f>
        <v>0</v>
      </c>
      <c r="O188" s="347">
        <f>SUM(O183:O187)</f>
        <v>0</v>
      </c>
      <c r="P188" s="347">
        <f>SUM(P183:P187)</f>
        <v>0</v>
      </c>
      <c r="Q188" s="347">
        <f t="shared" ref="Q188:AB188" si="84">SUM(Q183:Q187)</f>
        <v>0</v>
      </c>
      <c r="R188" s="347">
        <f t="shared" si="84"/>
        <v>0</v>
      </c>
      <c r="S188" s="347">
        <f t="shared" si="84"/>
        <v>0</v>
      </c>
      <c r="T188" s="347">
        <f t="shared" si="84"/>
        <v>0</v>
      </c>
      <c r="U188" s="347">
        <f t="shared" si="84"/>
        <v>0</v>
      </c>
      <c r="V188" s="347">
        <f t="shared" si="84"/>
        <v>0</v>
      </c>
      <c r="W188" s="347">
        <f t="shared" si="84"/>
        <v>0</v>
      </c>
      <c r="X188" s="347">
        <f t="shared" si="84"/>
        <v>0</v>
      </c>
      <c r="Y188" s="347">
        <f t="shared" si="84"/>
        <v>0</v>
      </c>
      <c r="Z188" s="347">
        <f t="shared" si="84"/>
        <v>0</v>
      </c>
      <c r="AA188" s="347">
        <f t="shared" si="84"/>
        <v>0</v>
      </c>
      <c r="AB188" s="347">
        <f t="shared" si="84"/>
        <v>0</v>
      </c>
      <c r="AC188" s="347">
        <f>SUM(AC183:AC187)</f>
        <v>0</v>
      </c>
      <c r="AD188" s="347">
        <f>SUM(AD183:AD187)</f>
        <v>0</v>
      </c>
      <c r="AE188" s="347">
        <f>SUM(AE183:AE187)</f>
        <v>0</v>
      </c>
      <c r="AF188" s="201">
        <f>SUM(H188:AE188)</f>
        <v>1067748.1000000001</v>
      </c>
      <c r="AG188" s="333" t="str">
        <f>IF(ABS(AF188-F188)&lt;1,"ok","err")</f>
        <v>ok</v>
      </c>
    </row>
    <row r="189" spans="1:33">
      <c r="F189" s="203"/>
      <c r="H189" s="347"/>
      <c r="I189" s="347"/>
      <c r="J189" s="347"/>
      <c r="K189" s="347"/>
      <c r="L189" s="347"/>
      <c r="M189" s="347"/>
      <c r="N189" s="347"/>
      <c r="O189" s="347"/>
      <c r="P189" s="347"/>
      <c r="Q189" s="347"/>
      <c r="R189" s="347"/>
      <c r="S189" s="347"/>
      <c r="T189" s="347"/>
      <c r="U189" s="347"/>
      <c r="V189" s="347"/>
      <c r="W189" s="347"/>
      <c r="X189" s="347"/>
      <c r="Y189" s="347"/>
      <c r="Z189" s="347"/>
      <c r="AA189" s="347"/>
      <c r="AB189" s="347"/>
      <c r="AC189" s="347"/>
      <c r="AD189" s="347"/>
      <c r="AE189" s="347"/>
      <c r="AF189" s="201"/>
      <c r="AG189" s="333"/>
    </row>
    <row r="190" spans="1:33">
      <c r="B190" s="165" t="s">
        <v>266</v>
      </c>
      <c r="F190" s="203">
        <f>F178+F188</f>
        <v>18611252.180000003</v>
      </c>
      <c r="H190" s="347">
        <f t="shared" ref="H190:M190" si="85">H178+H188</f>
        <v>457501.13914446416</v>
      </c>
      <c r="I190" s="347">
        <f t="shared" si="85"/>
        <v>431276.14385016746</v>
      </c>
      <c r="J190" s="347">
        <f t="shared" si="85"/>
        <v>442923.57700536848</v>
      </c>
      <c r="K190" s="347">
        <f t="shared" si="85"/>
        <v>17279551.32</v>
      </c>
      <c r="L190" s="347">
        <f t="shared" si="85"/>
        <v>0</v>
      </c>
      <c r="M190" s="347">
        <f t="shared" si="85"/>
        <v>0</v>
      </c>
      <c r="N190" s="347">
        <f>N178+N188</f>
        <v>0</v>
      </c>
      <c r="O190" s="347">
        <f>O178+O188</f>
        <v>0</v>
      </c>
      <c r="P190" s="347">
        <f>P178+P188</f>
        <v>0</v>
      </c>
      <c r="Q190" s="347">
        <f t="shared" ref="Q190:AB190" si="86">Q178+Q188</f>
        <v>0</v>
      </c>
      <c r="R190" s="347">
        <f t="shared" si="86"/>
        <v>0</v>
      </c>
      <c r="S190" s="347">
        <f t="shared" si="86"/>
        <v>0</v>
      </c>
      <c r="T190" s="347">
        <f t="shared" si="86"/>
        <v>0</v>
      </c>
      <c r="U190" s="347">
        <f t="shared" si="86"/>
        <v>0</v>
      </c>
      <c r="V190" s="347">
        <f t="shared" si="86"/>
        <v>0</v>
      </c>
      <c r="W190" s="347">
        <f t="shared" si="86"/>
        <v>0</v>
      </c>
      <c r="X190" s="347">
        <f t="shared" si="86"/>
        <v>0</v>
      </c>
      <c r="Y190" s="347">
        <f t="shared" si="86"/>
        <v>0</v>
      </c>
      <c r="Z190" s="347">
        <f t="shared" si="86"/>
        <v>0</v>
      </c>
      <c r="AA190" s="347">
        <f t="shared" si="86"/>
        <v>0</v>
      </c>
      <c r="AB190" s="347">
        <f t="shared" si="86"/>
        <v>0</v>
      </c>
      <c r="AC190" s="347">
        <f>AC178+AC188</f>
        <v>0</v>
      </c>
      <c r="AD190" s="347">
        <f>AD178+AD188</f>
        <v>0</v>
      </c>
      <c r="AE190" s="347">
        <f>AE178+AE188</f>
        <v>0</v>
      </c>
      <c r="AF190" s="201">
        <f>SUM(H190:AE190)</f>
        <v>18611252.18</v>
      </c>
      <c r="AG190" s="333" t="str">
        <f>IF(ABS(AF190-F190)&lt;1,"ok","err")</f>
        <v>ok</v>
      </c>
    </row>
    <row r="191" spans="1:33">
      <c r="F191" s="203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47"/>
      <c r="S191" s="347"/>
      <c r="T191" s="347"/>
      <c r="U191" s="347"/>
      <c r="V191" s="347"/>
      <c r="W191" s="347"/>
      <c r="X191" s="347"/>
      <c r="Y191" s="347"/>
      <c r="Z191" s="347"/>
      <c r="AA191" s="347"/>
      <c r="AB191" s="347"/>
      <c r="AC191" s="347"/>
      <c r="AD191" s="347"/>
      <c r="AE191" s="347"/>
      <c r="AF191" s="201"/>
      <c r="AG191" s="333"/>
    </row>
    <row r="192" spans="1:33">
      <c r="B192" s="165" t="s">
        <v>268</v>
      </c>
      <c r="F192" s="203">
        <f>F148+F169+F190</f>
        <v>488667487.82999986</v>
      </c>
      <c r="H192" s="347">
        <f t="shared" ref="H192:M192" si="87">H148+H169+H190</f>
        <v>20700668.386709314</v>
      </c>
      <c r="I192" s="347">
        <f t="shared" si="87"/>
        <v>19514059.470181946</v>
      </c>
      <c r="J192" s="347">
        <f t="shared" si="87"/>
        <v>20041073.789213058</v>
      </c>
      <c r="K192" s="347">
        <f t="shared" si="87"/>
        <v>428411686.18389565</v>
      </c>
      <c r="L192" s="347">
        <f t="shared" si="87"/>
        <v>0</v>
      </c>
      <c r="M192" s="347">
        <f t="shared" si="87"/>
        <v>0</v>
      </c>
      <c r="N192" s="347">
        <f>N148+N169+N190</f>
        <v>0</v>
      </c>
      <c r="O192" s="347">
        <f>O148+O169+O190</f>
        <v>0</v>
      </c>
      <c r="P192" s="347">
        <f>P148+P169+P190</f>
        <v>0</v>
      </c>
      <c r="Q192" s="347">
        <f t="shared" ref="Q192:AB192" si="88">Q148+Q169+Q190</f>
        <v>0</v>
      </c>
      <c r="R192" s="347">
        <f t="shared" si="88"/>
        <v>0</v>
      </c>
      <c r="S192" s="347">
        <f t="shared" si="88"/>
        <v>0</v>
      </c>
      <c r="T192" s="347">
        <f t="shared" si="88"/>
        <v>0</v>
      </c>
      <c r="U192" s="347">
        <f t="shared" si="88"/>
        <v>0</v>
      </c>
      <c r="V192" s="347">
        <f t="shared" si="88"/>
        <v>0</v>
      </c>
      <c r="W192" s="347">
        <f t="shared" si="88"/>
        <v>0</v>
      </c>
      <c r="X192" s="347">
        <f t="shared" si="88"/>
        <v>0</v>
      </c>
      <c r="Y192" s="347">
        <f t="shared" si="88"/>
        <v>0</v>
      </c>
      <c r="Z192" s="347">
        <f t="shared" si="88"/>
        <v>0</v>
      </c>
      <c r="AA192" s="347">
        <f t="shared" si="88"/>
        <v>0</v>
      </c>
      <c r="AB192" s="347">
        <f t="shared" si="88"/>
        <v>0</v>
      </c>
      <c r="AC192" s="347">
        <f>AC148+AC169+AC190</f>
        <v>0</v>
      </c>
      <c r="AD192" s="347">
        <f>AD148+AD169+AD190</f>
        <v>0</v>
      </c>
      <c r="AE192" s="347">
        <f>AE148+AE169+AE190</f>
        <v>0</v>
      </c>
      <c r="AF192" s="201">
        <f>SUM(H192:AE192)</f>
        <v>488667487.82999998</v>
      </c>
      <c r="AG192" s="333" t="str">
        <f>IF(ABS(AF192-F192)&lt;1,"ok","err")</f>
        <v>ok</v>
      </c>
    </row>
    <row r="193" spans="1:33">
      <c r="W193" s="165"/>
      <c r="AG193" s="333"/>
    </row>
    <row r="194" spans="1:33">
      <c r="A194" s="5" t="s">
        <v>269</v>
      </c>
      <c r="W194" s="165"/>
      <c r="AG194" s="333"/>
    </row>
    <row r="195" spans="1:33">
      <c r="A195" s="165">
        <v>555</v>
      </c>
      <c r="B195" s="165" t="s">
        <v>1256</v>
      </c>
      <c r="C195" s="165" t="s">
        <v>6</v>
      </c>
      <c r="D195" s="165" t="s">
        <v>1090</v>
      </c>
      <c r="F195" s="203">
        <v>69067179.049999997</v>
      </c>
      <c r="G195" s="347"/>
      <c r="H195" s="201">
        <f t="shared" ref="H195:Q201" si="89">IF(VLOOKUP($D195,$C$6:$AE$598,H$2,)=0,0,((VLOOKUP($D195,$C$6:$AE$598,H$2,)/VLOOKUP($D195,$C$6:$AE$598,4,))*$F195))</f>
        <v>7133945.8540942501</v>
      </c>
      <c r="I195" s="201">
        <f t="shared" si="89"/>
        <v>6725012.0166763877</v>
      </c>
      <c r="J195" s="201">
        <f t="shared" si="89"/>
        <v>6906633.766567043</v>
      </c>
      <c r="K195" s="201">
        <f t="shared" si="89"/>
        <v>48301587.41266232</v>
      </c>
      <c r="L195" s="201">
        <f t="shared" si="89"/>
        <v>0</v>
      </c>
      <c r="M195" s="201">
        <f t="shared" si="89"/>
        <v>0</v>
      </c>
      <c r="N195" s="201">
        <f t="shared" si="89"/>
        <v>0</v>
      </c>
      <c r="O195" s="201">
        <f t="shared" si="89"/>
        <v>0</v>
      </c>
      <c r="P195" s="201">
        <f t="shared" si="89"/>
        <v>0</v>
      </c>
      <c r="Q195" s="201">
        <f t="shared" si="89"/>
        <v>0</v>
      </c>
      <c r="R195" s="201">
        <f t="shared" ref="R195:AE201" si="90">IF(VLOOKUP($D195,$C$6:$AE$598,R$2,)=0,0,((VLOOKUP($D195,$C$6:$AE$598,R$2,)/VLOOKUP($D195,$C$6:$AE$598,4,))*$F195))</f>
        <v>0</v>
      </c>
      <c r="S195" s="201">
        <f t="shared" si="90"/>
        <v>0</v>
      </c>
      <c r="T195" s="201">
        <f t="shared" si="90"/>
        <v>0</v>
      </c>
      <c r="U195" s="201">
        <f t="shared" si="90"/>
        <v>0</v>
      </c>
      <c r="V195" s="201">
        <f t="shared" si="90"/>
        <v>0</v>
      </c>
      <c r="W195" s="201">
        <f t="shared" si="90"/>
        <v>0</v>
      </c>
      <c r="X195" s="201">
        <f t="shared" si="90"/>
        <v>0</v>
      </c>
      <c r="Y195" s="201">
        <f t="shared" si="90"/>
        <v>0</v>
      </c>
      <c r="Z195" s="201">
        <f t="shared" si="90"/>
        <v>0</v>
      </c>
      <c r="AA195" s="201">
        <f t="shared" si="90"/>
        <v>0</v>
      </c>
      <c r="AB195" s="201">
        <f t="shared" si="90"/>
        <v>0</v>
      </c>
      <c r="AC195" s="201">
        <f t="shared" si="90"/>
        <v>0</v>
      </c>
      <c r="AD195" s="201">
        <f t="shared" si="90"/>
        <v>0</v>
      </c>
      <c r="AE195" s="201">
        <f t="shared" si="90"/>
        <v>0</v>
      </c>
      <c r="AF195" s="201">
        <f t="shared" ref="AF195:AF201" si="91">SUM(H195:AE195)</f>
        <v>69067179.049999997</v>
      </c>
      <c r="AG195" s="333" t="str">
        <f t="shared" ref="AG195:AG201" si="92">IF(ABS(AF195-F195)&lt;1,"ok","err")</f>
        <v>ok</v>
      </c>
    </row>
    <row r="196" spans="1:33">
      <c r="A196" s="165">
        <v>555</v>
      </c>
      <c r="B196" s="165" t="s">
        <v>270</v>
      </c>
      <c r="C196" s="165" t="s">
        <v>271</v>
      </c>
      <c r="D196" s="165" t="s">
        <v>1090</v>
      </c>
      <c r="F196" s="340">
        <v>0</v>
      </c>
      <c r="G196" s="347"/>
      <c r="H196" s="201">
        <f t="shared" si="89"/>
        <v>0</v>
      </c>
      <c r="I196" s="201">
        <f t="shared" si="89"/>
        <v>0</v>
      </c>
      <c r="J196" s="201">
        <f t="shared" si="89"/>
        <v>0</v>
      </c>
      <c r="K196" s="201">
        <f t="shared" si="89"/>
        <v>0</v>
      </c>
      <c r="L196" s="201">
        <f t="shared" si="89"/>
        <v>0</v>
      </c>
      <c r="M196" s="201">
        <f t="shared" si="89"/>
        <v>0</v>
      </c>
      <c r="N196" s="201">
        <f t="shared" si="89"/>
        <v>0</v>
      </c>
      <c r="O196" s="201">
        <f t="shared" si="89"/>
        <v>0</v>
      </c>
      <c r="P196" s="201">
        <f t="shared" si="89"/>
        <v>0</v>
      </c>
      <c r="Q196" s="201">
        <f t="shared" si="89"/>
        <v>0</v>
      </c>
      <c r="R196" s="201">
        <f t="shared" si="90"/>
        <v>0</v>
      </c>
      <c r="S196" s="201">
        <f t="shared" si="90"/>
        <v>0</v>
      </c>
      <c r="T196" s="201">
        <f t="shared" si="90"/>
        <v>0</v>
      </c>
      <c r="U196" s="201">
        <f t="shared" si="90"/>
        <v>0</v>
      </c>
      <c r="V196" s="201">
        <f t="shared" si="90"/>
        <v>0</v>
      </c>
      <c r="W196" s="201">
        <f t="shared" si="90"/>
        <v>0</v>
      </c>
      <c r="X196" s="201">
        <f t="shared" si="90"/>
        <v>0</v>
      </c>
      <c r="Y196" s="201">
        <f t="shared" si="90"/>
        <v>0</v>
      </c>
      <c r="Z196" s="201">
        <f t="shared" si="90"/>
        <v>0</v>
      </c>
      <c r="AA196" s="201">
        <f t="shared" si="90"/>
        <v>0</v>
      </c>
      <c r="AB196" s="201">
        <f t="shared" si="90"/>
        <v>0</v>
      </c>
      <c r="AC196" s="201">
        <f t="shared" si="90"/>
        <v>0</v>
      </c>
      <c r="AD196" s="201">
        <f t="shared" si="90"/>
        <v>0</v>
      </c>
      <c r="AE196" s="201">
        <f t="shared" si="90"/>
        <v>0</v>
      </c>
      <c r="AF196" s="201">
        <f t="shared" si="91"/>
        <v>0</v>
      </c>
      <c r="AG196" s="333" t="str">
        <f t="shared" si="92"/>
        <v>ok</v>
      </c>
    </row>
    <row r="197" spans="1:33">
      <c r="A197" s="165">
        <v>555</v>
      </c>
      <c r="B197" s="165" t="s">
        <v>272</v>
      </c>
      <c r="C197" s="165" t="s">
        <v>273</v>
      </c>
      <c r="D197" s="165" t="s">
        <v>1090</v>
      </c>
      <c r="F197" s="340">
        <v>0</v>
      </c>
      <c r="G197" s="347"/>
      <c r="H197" s="201">
        <f t="shared" si="89"/>
        <v>0</v>
      </c>
      <c r="I197" s="201">
        <f t="shared" si="89"/>
        <v>0</v>
      </c>
      <c r="J197" s="201">
        <f t="shared" si="89"/>
        <v>0</v>
      </c>
      <c r="K197" s="201">
        <f t="shared" si="89"/>
        <v>0</v>
      </c>
      <c r="L197" s="201">
        <f t="shared" si="89"/>
        <v>0</v>
      </c>
      <c r="M197" s="201">
        <f t="shared" si="89"/>
        <v>0</v>
      </c>
      <c r="N197" s="201">
        <f t="shared" si="89"/>
        <v>0</v>
      </c>
      <c r="O197" s="201">
        <f t="shared" si="89"/>
        <v>0</v>
      </c>
      <c r="P197" s="201">
        <f t="shared" si="89"/>
        <v>0</v>
      </c>
      <c r="Q197" s="201">
        <f t="shared" si="89"/>
        <v>0</v>
      </c>
      <c r="R197" s="201">
        <f t="shared" si="90"/>
        <v>0</v>
      </c>
      <c r="S197" s="201">
        <f t="shared" si="90"/>
        <v>0</v>
      </c>
      <c r="T197" s="201">
        <f t="shared" si="90"/>
        <v>0</v>
      </c>
      <c r="U197" s="201">
        <f t="shared" si="90"/>
        <v>0</v>
      </c>
      <c r="V197" s="201">
        <f t="shared" si="90"/>
        <v>0</v>
      </c>
      <c r="W197" s="201">
        <f t="shared" si="90"/>
        <v>0</v>
      </c>
      <c r="X197" s="201">
        <f t="shared" si="90"/>
        <v>0</v>
      </c>
      <c r="Y197" s="201">
        <f t="shared" si="90"/>
        <v>0</v>
      </c>
      <c r="Z197" s="201">
        <f t="shared" si="90"/>
        <v>0</v>
      </c>
      <c r="AA197" s="201">
        <f t="shared" si="90"/>
        <v>0</v>
      </c>
      <c r="AB197" s="201">
        <f t="shared" si="90"/>
        <v>0</v>
      </c>
      <c r="AC197" s="201">
        <f t="shared" si="90"/>
        <v>0</v>
      </c>
      <c r="AD197" s="201">
        <f t="shared" si="90"/>
        <v>0</v>
      </c>
      <c r="AE197" s="201">
        <f t="shared" si="90"/>
        <v>0</v>
      </c>
      <c r="AF197" s="201">
        <f t="shared" si="91"/>
        <v>0</v>
      </c>
      <c r="AG197" s="333" t="str">
        <f t="shared" si="92"/>
        <v>ok</v>
      </c>
    </row>
    <row r="198" spans="1:33">
      <c r="A198" s="165">
        <v>555</v>
      </c>
      <c r="B198" s="165" t="s">
        <v>274</v>
      </c>
      <c r="C198" s="165" t="s">
        <v>275</v>
      </c>
      <c r="D198" s="165" t="s">
        <v>1090</v>
      </c>
      <c r="F198" s="340">
        <v>0</v>
      </c>
      <c r="G198" s="347"/>
      <c r="H198" s="201">
        <f t="shared" si="89"/>
        <v>0</v>
      </c>
      <c r="I198" s="201">
        <f t="shared" si="89"/>
        <v>0</v>
      </c>
      <c r="J198" s="201">
        <f t="shared" si="89"/>
        <v>0</v>
      </c>
      <c r="K198" s="201">
        <f t="shared" si="89"/>
        <v>0</v>
      </c>
      <c r="L198" s="201">
        <f t="shared" si="89"/>
        <v>0</v>
      </c>
      <c r="M198" s="201">
        <f t="shared" si="89"/>
        <v>0</v>
      </c>
      <c r="N198" s="201">
        <f t="shared" si="89"/>
        <v>0</v>
      </c>
      <c r="O198" s="201">
        <f t="shared" si="89"/>
        <v>0</v>
      </c>
      <c r="P198" s="201">
        <f t="shared" si="89"/>
        <v>0</v>
      </c>
      <c r="Q198" s="201">
        <f t="shared" si="89"/>
        <v>0</v>
      </c>
      <c r="R198" s="201">
        <f t="shared" si="90"/>
        <v>0</v>
      </c>
      <c r="S198" s="201">
        <f t="shared" si="90"/>
        <v>0</v>
      </c>
      <c r="T198" s="201">
        <f t="shared" si="90"/>
        <v>0</v>
      </c>
      <c r="U198" s="201">
        <f t="shared" si="90"/>
        <v>0</v>
      </c>
      <c r="V198" s="201">
        <f t="shared" si="90"/>
        <v>0</v>
      </c>
      <c r="W198" s="201">
        <f t="shared" si="90"/>
        <v>0</v>
      </c>
      <c r="X198" s="201">
        <f t="shared" si="90"/>
        <v>0</v>
      </c>
      <c r="Y198" s="201">
        <f t="shared" si="90"/>
        <v>0</v>
      </c>
      <c r="Z198" s="201">
        <f t="shared" si="90"/>
        <v>0</v>
      </c>
      <c r="AA198" s="201">
        <f t="shared" si="90"/>
        <v>0</v>
      </c>
      <c r="AB198" s="201">
        <f t="shared" si="90"/>
        <v>0</v>
      </c>
      <c r="AC198" s="201">
        <f t="shared" si="90"/>
        <v>0</v>
      </c>
      <c r="AD198" s="201">
        <f t="shared" si="90"/>
        <v>0</v>
      </c>
      <c r="AE198" s="201">
        <f t="shared" si="90"/>
        <v>0</v>
      </c>
      <c r="AF198" s="201">
        <f t="shared" si="91"/>
        <v>0</v>
      </c>
      <c r="AG198" s="333" t="str">
        <f t="shared" si="92"/>
        <v>ok</v>
      </c>
    </row>
    <row r="199" spans="1:33">
      <c r="A199" s="165">
        <v>556</v>
      </c>
      <c r="B199" s="165" t="s">
        <v>276</v>
      </c>
      <c r="C199" s="165" t="s">
        <v>277</v>
      </c>
      <c r="D199" s="165" t="s">
        <v>679</v>
      </c>
      <c r="F199" s="340">
        <v>1536733.3399999999</v>
      </c>
      <c r="G199" s="347"/>
      <c r="H199" s="201">
        <f t="shared" si="89"/>
        <v>527939.32536116045</v>
      </c>
      <c r="I199" s="201">
        <f t="shared" si="89"/>
        <v>497676.65465139679</v>
      </c>
      <c r="J199" s="201">
        <f t="shared" si="89"/>
        <v>511117.35998744261</v>
      </c>
      <c r="K199" s="201">
        <f t="shared" si="89"/>
        <v>0</v>
      </c>
      <c r="L199" s="201">
        <f t="shared" si="89"/>
        <v>0</v>
      </c>
      <c r="M199" s="201">
        <f t="shared" si="89"/>
        <v>0</v>
      </c>
      <c r="N199" s="201">
        <f t="shared" si="89"/>
        <v>0</v>
      </c>
      <c r="O199" s="201">
        <f t="shared" si="89"/>
        <v>0</v>
      </c>
      <c r="P199" s="201">
        <f t="shared" si="89"/>
        <v>0</v>
      </c>
      <c r="Q199" s="201">
        <f t="shared" si="89"/>
        <v>0</v>
      </c>
      <c r="R199" s="201">
        <f t="shared" si="90"/>
        <v>0</v>
      </c>
      <c r="S199" s="201">
        <f t="shared" si="90"/>
        <v>0</v>
      </c>
      <c r="T199" s="201">
        <f t="shared" si="90"/>
        <v>0</v>
      </c>
      <c r="U199" s="201">
        <f t="shared" si="90"/>
        <v>0</v>
      </c>
      <c r="V199" s="201">
        <f t="shared" si="90"/>
        <v>0</v>
      </c>
      <c r="W199" s="201">
        <f t="shared" si="90"/>
        <v>0</v>
      </c>
      <c r="X199" s="201">
        <f t="shared" si="90"/>
        <v>0</v>
      </c>
      <c r="Y199" s="201">
        <f t="shared" si="90"/>
        <v>0</v>
      </c>
      <c r="Z199" s="201">
        <f t="shared" si="90"/>
        <v>0</v>
      </c>
      <c r="AA199" s="201">
        <f t="shared" si="90"/>
        <v>0</v>
      </c>
      <c r="AB199" s="201">
        <f t="shared" si="90"/>
        <v>0</v>
      </c>
      <c r="AC199" s="201">
        <f t="shared" si="90"/>
        <v>0</v>
      </c>
      <c r="AD199" s="201">
        <f t="shared" si="90"/>
        <v>0</v>
      </c>
      <c r="AE199" s="201">
        <f t="shared" si="90"/>
        <v>0</v>
      </c>
      <c r="AF199" s="201">
        <f t="shared" si="91"/>
        <v>1536733.3399999999</v>
      </c>
      <c r="AG199" s="333" t="str">
        <f t="shared" si="92"/>
        <v>ok</v>
      </c>
    </row>
    <row r="200" spans="1:33">
      <c r="A200" s="165">
        <v>557</v>
      </c>
      <c r="B200" s="165" t="s">
        <v>7</v>
      </c>
      <c r="C200" s="165" t="s">
        <v>8</v>
      </c>
      <c r="D200" s="165" t="s">
        <v>679</v>
      </c>
      <c r="F200" s="340">
        <v>1845857.74</v>
      </c>
      <c r="G200" s="347"/>
      <c r="H200" s="201">
        <f t="shared" si="89"/>
        <v>634137.92399940791</v>
      </c>
      <c r="I200" s="201">
        <f t="shared" si="89"/>
        <v>597787.71052470815</v>
      </c>
      <c r="J200" s="201">
        <f t="shared" si="89"/>
        <v>613932.10547588393</v>
      </c>
      <c r="K200" s="201">
        <f t="shared" si="89"/>
        <v>0</v>
      </c>
      <c r="L200" s="201">
        <f t="shared" si="89"/>
        <v>0</v>
      </c>
      <c r="M200" s="201">
        <f t="shared" si="89"/>
        <v>0</v>
      </c>
      <c r="N200" s="201">
        <f t="shared" si="89"/>
        <v>0</v>
      </c>
      <c r="O200" s="201">
        <f t="shared" si="89"/>
        <v>0</v>
      </c>
      <c r="P200" s="201">
        <f t="shared" si="89"/>
        <v>0</v>
      </c>
      <c r="Q200" s="201">
        <f t="shared" si="89"/>
        <v>0</v>
      </c>
      <c r="R200" s="201">
        <f t="shared" si="90"/>
        <v>0</v>
      </c>
      <c r="S200" s="201">
        <f t="shared" si="90"/>
        <v>0</v>
      </c>
      <c r="T200" s="201">
        <f t="shared" si="90"/>
        <v>0</v>
      </c>
      <c r="U200" s="201">
        <f t="shared" si="90"/>
        <v>0</v>
      </c>
      <c r="V200" s="201">
        <f t="shared" si="90"/>
        <v>0</v>
      </c>
      <c r="W200" s="201">
        <f t="shared" si="90"/>
        <v>0</v>
      </c>
      <c r="X200" s="201">
        <f t="shared" si="90"/>
        <v>0</v>
      </c>
      <c r="Y200" s="201">
        <f t="shared" si="90"/>
        <v>0</v>
      </c>
      <c r="Z200" s="201">
        <f t="shared" si="90"/>
        <v>0</v>
      </c>
      <c r="AA200" s="201">
        <f t="shared" si="90"/>
        <v>0</v>
      </c>
      <c r="AB200" s="201">
        <f t="shared" si="90"/>
        <v>0</v>
      </c>
      <c r="AC200" s="201">
        <f t="shared" si="90"/>
        <v>0</v>
      </c>
      <c r="AD200" s="201">
        <f t="shared" si="90"/>
        <v>0</v>
      </c>
      <c r="AE200" s="201">
        <f t="shared" si="90"/>
        <v>0</v>
      </c>
      <c r="AF200" s="201">
        <f>SUM(H200:AE200)</f>
        <v>1845857.74</v>
      </c>
      <c r="AG200" s="333" t="str">
        <f t="shared" si="92"/>
        <v>ok</v>
      </c>
    </row>
    <row r="201" spans="1:33">
      <c r="A201" s="165">
        <v>558</v>
      </c>
      <c r="B201" s="165" t="s">
        <v>698</v>
      </c>
      <c r="C201" s="165" t="s">
        <v>616</v>
      </c>
      <c r="D201" s="165" t="s">
        <v>1034</v>
      </c>
      <c r="F201" s="340">
        <v>0</v>
      </c>
      <c r="G201" s="347"/>
      <c r="H201" s="201">
        <f t="shared" si="89"/>
        <v>0</v>
      </c>
      <c r="I201" s="201">
        <f t="shared" si="89"/>
        <v>0</v>
      </c>
      <c r="J201" s="201">
        <f t="shared" si="89"/>
        <v>0</v>
      </c>
      <c r="K201" s="201">
        <f t="shared" si="89"/>
        <v>0</v>
      </c>
      <c r="L201" s="201">
        <f t="shared" si="89"/>
        <v>0</v>
      </c>
      <c r="M201" s="201">
        <f t="shared" si="89"/>
        <v>0</v>
      </c>
      <c r="N201" s="201">
        <f t="shared" si="89"/>
        <v>0</v>
      </c>
      <c r="O201" s="201">
        <f t="shared" si="89"/>
        <v>0</v>
      </c>
      <c r="P201" s="201">
        <f t="shared" si="89"/>
        <v>0</v>
      </c>
      <c r="Q201" s="201">
        <f t="shared" si="89"/>
        <v>0</v>
      </c>
      <c r="R201" s="201">
        <f t="shared" si="90"/>
        <v>0</v>
      </c>
      <c r="S201" s="201">
        <f t="shared" si="90"/>
        <v>0</v>
      </c>
      <c r="T201" s="201">
        <f t="shared" si="90"/>
        <v>0</v>
      </c>
      <c r="U201" s="201">
        <f t="shared" si="90"/>
        <v>0</v>
      </c>
      <c r="V201" s="201">
        <f t="shared" si="90"/>
        <v>0</v>
      </c>
      <c r="W201" s="201">
        <f t="shared" si="90"/>
        <v>0</v>
      </c>
      <c r="X201" s="201">
        <f t="shared" si="90"/>
        <v>0</v>
      </c>
      <c r="Y201" s="201">
        <f t="shared" si="90"/>
        <v>0</v>
      </c>
      <c r="Z201" s="201">
        <f t="shared" si="90"/>
        <v>0</v>
      </c>
      <c r="AA201" s="201">
        <f t="shared" si="90"/>
        <v>0</v>
      </c>
      <c r="AB201" s="201">
        <f t="shared" si="90"/>
        <v>0</v>
      </c>
      <c r="AC201" s="201">
        <f t="shared" si="90"/>
        <v>0</v>
      </c>
      <c r="AD201" s="201">
        <f t="shared" si="90"/>
        <v>0</v>
      </c>
      <c r="AE201" s="201">
        <f t="shared" si="90"/>
        <v>0</v>
      </c>
      <c r="AF201" s="201">
        <f t="shared" si="91"/>
        <v>0</v>
      </c>
      <c r="AG201" s="333" t="str">
        <f t="shared" si="92"/>
        <v>ok</v>
      </c>
    </row>
    <row r="202" spans="1:33">
      <c r="F202" s="340"/>
      <c r="G202" s="347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1"/>
      <c r="AF202" s="201"/>
      <c r="AG202" s="333"/>
    </row>
    <row r="203" spans="1:33">
      <c r="B203" s="165" t="s">
        <v>291</v>
      </c>
      <c r="C203" s="165" t="s">
        <v>9</v>
      </c>
      <c r="F203" s="203">
        <f>SUM(F195:F202)</f>
        <v>72449770.129999995</v>
      </c>
      <c r="G203" s="347"/>
      <c r="H203" s="347">
        <f t="shared" ref="H203:M203" si="93">SUM(H195:H202)</f>
        <v>8296023.1034548189</v>
      </c>
      <c r="I203" s="347">
        <f t="shared" si="93"/>
        <v>7820476.3818524927</v>
      </c>
      <c r="J203" s="347">
        <f t="shared" si="93"/>
        <v>8031683.2320303693</v>
      </c>
      <c r="K203" s="347">
        <f t="shared" si="93"/>
        <v>48301587.41266232</v>
      </c>
      <c r="L203" s="347">
        <f t="shared" si="93"/>
        <v>0</v>
      </c>
      <c r="M203" s="347">
        <f t="shared" si="93"/>
        <v>0</v>
      </c>
      <c r="N203" s="347">
        <f>SUM(N195:N202)</f>
        <v>0</v>
      </c>
      <c r="O203" s="347">
        <f>SUM(O195:O202)</f>
        <v>0</v>
      </c>
      <c r="P203" s="347">
        <f>SUM(P195:P202)</f>
        <v>0</v>
      </c>
      <c r="Q203" s="347">
        <f t="shared" ref="Q203:AB203" si="94">SUM(Q195:Q202)</f>
        <v>0</v>
      </c>
      <c r="R203" s="347">
        <f t="shared" si="94"/>
        <v>0</v>
      </c>
      <c r="S203" s="347">
        <f t="shared" si="94"/>
        <v>0</v>
      </c>
      <c r="T203" s="347">
        <f t="shared" si="94"/>
        <v>0</v>
      </c>
      <c r="U203" s="347">
        <f t="shared" si="94"/>
        <v>0</v>
      </c>
      <c r="V203" s="347">
        <f t="shared" si="94"/>
        <v>0</v>
      </c>
      <c r="W203" s="347">
        <f t="shared" si="94"/>
        <v>0</v>
      </c>
      <c r="X203" s="347">
        <f t="shared" si="94"/>
        <v>0</v>
      </c>
      <c r="Y203" s="347">
        <f t="shared" si="94"/>
        <v>0</v>
      </c>
      <c r="Z203" s="347">
        <f t="shared" si="94"/>
        <v>0</v>
      </c>
      <c r="AA203" s="347">
        <f t="shared" si="94"/>
        <v>0</v>
      </c>
      <c r="AB203" s="347">
        <f t="shared" si="94"/>
        <v>0</v>
      </c>
      <c r="AC203" s="347">
        <f>SUM(AC195:AC202)</f>
        <v>0</v>
      </c>
      <c r="AD203" s="347">
        <f>SUM(AD195:AD202)</f>
        <v>0</v>
      </c>
      <c r="AE203" s="347">
        <f>SUM(AE195:AE202)</f>
        <v>0</v>
      </c>
      <c r="AF203" s="201">
        <f>SUM(H203:AE203)</f>
        <v>72449770.129999995</v>
      </c>
      <c r="AG203" s="333" t="str">
        <f>IF(ABS(AF203-F203)&lt;1,"ok","err")</f>
        <v>ok</v>
      </c>
    </row>
    <row r="204" spans="1:33">
      <c r="F204" s="203"/>
      <c r="G204" s="347"/>
      <c r="H204" s="347"/>
      <c r="I204" s="347"/>
      <c r="J204" s="347"/>
      <c r="K204" s="347"/>
      <c r="L204" s="347"/>
      <c r="M204" s="347"/>
      <c r="N204" s="347"/>
      <c r="O204" s="347"/>
      <c r="P204" s="347"/>
      <c r="Q204" s="347"/>
      <c r="R204" s="347"/>
      <c r="S204" s="347"/>
      <c r="T204" s="347"/>
      <c r="U204" s="347"/>
      <c r="V204" s="347"/>
      <c r="W204" s="347"/>
      <c r="X204" s="347"/>
      <c r="Y204" s="347"/>
      <c r="Z204" s="347"/>
      <c r="AA204" s="347"/>
      <c r="AB204" s="347"/>
      <c r="AC204" s="347"/>
      <c r="AD204" s="347"/>
      <c r="AE204" s="347"/>
      <c r="AF204" s="201"/>
      <c r="AG204" s="333"/>
    </row>
    <row r="205" spans="1:33">
      <c r="B205" s="165" t="s">
        <v>278</v>
      </c>
      <c r="F205" s="203">
        <f>F192+F203</f>
        <v>561117257.9599998</v>
      </c>
      <c r="G205" s="347"/>
      <c r="H205" s="347">
        <f t="shared" ref="H205:M205" si="95">H192+H203</f>
        <v>28996691.490164131</v>
      </c>
      <c r="I205" s="347">
        <f t="shared" si="95"/>
        <v>27334535.852034438</v>
      </c>
      <c r="J205" s="347">
        <f t="shared" si="95"/>
        <v>28072757.021243427</v>
      </c>
      <c r="K205" s="347">
        <f t="shared" si="95"/>
        <v>476713273.59655797</v>
      </c>
      <c r="L205" s="347">
        <f t="shared" si="95"/>
        <v>0</v>
      </c>
      <c r="M205" s="347">
        <f t="shared" si="95"/>
        <v>0</v>
      </c>
      <c r="N205" s="347">
        <f>N192+N203</f>
        <v>0</v>
      </c>
      <c r="O205" s="347">
        <f>O192+O203</f>
        <v>0</v>
      </c>
      <c r="P205" s="347">
        <f>P192+P203</f>
        <v>0</v>
      </c>
      <c r="Q205" s="347">
        <f t="shared" ref="Q205:AB205" si="96">Q192+Q203</f>
        <v>0</v>
      </c>
      <c r="R205" s="347">
        <f t="shared" si="96"/>
        <v>0</v>
      </c>
      <c r="S205" s="347">
        <f t="shared" si="96"/>
        <v>0</v>
      </c>
      <c r="T205" s="347">
        <f t="shared" si="96"/>
        <v>0</v>
      </c>
      <c r="U205" s="347">
        <f t="shared" si="96"/>
        <v>0</v>
      </c>
      <c r="V205" s="347">
        <f t="shared" si="96"/>
        <v>0</v>
      </c>
      <c r="W205" s="347">
        <f t="shared" si="96"/>
        <v>0</v>
      </c>
      <c r="X205" s="347">
        <f t="shared" si="96"/>
        <v>0</v>
      </c>
      <c r="Y205" s="347">
        <f t="shared" si="96"/>
        <v>0</v>
      </c>
      <c r="Z205" s="347">
        <f t="shared" si="96"/>
        <v>0</v>
      </c>
      <c r="AA205" s="347">
        <f t="shared" si="96"/>
        <v>0</v>
      </c>
      <c r="AB205" s="347">
        <f t="shared" si="96"/>
        <v>0</v>
      </c>
      <c r="AC205" s="347">
        <f>AC192+AC203</f>
        <v>0</v>
      </c>
      <c r="AD205" s="347">
        <f>AD192+AD203</f>
        <v>0</v>
      </c>
      <c r="AE205" s="347">
        <f>AE192+AE203</f>
        <v>0</v>
      </c>
      <c r="AF205" s="201">
        <f>SUM(H205:AE205)</f>
        <v>561117257.95999992</v>
      </c>
      <c r="AG205" s="333" t="str">
        <f>IF(ABS(AF205-F205)&lt;1,"ok","err")</f>
        <v>ok</v>
      </c>
    </row>
    <row r="206" spans="1:33">
      <c r="F206" s="203"/>
      <c r="G206" s="347"/>
      <c r="H206" s="347"/>
      <c r="I206" s="347"/>
      <c r="J206" s="347"/>
      <c r="K206" s="347"/>
      <c r="L206" s="347"/>
      <c r="M206" s="347"/>
      <c r="N206" s="347"/>
      <c r="O206" s="347"/>
      <c r="P206" s="347"/>
      <c r="Q206" s="347"/>
      <c r="R206" s="347"/>
      <c r="S206" s="347"/>
      <c r="T206" s="347"/>
      <c r="U206" s="347"/>
      <c r="V206" s="347"/>
      <c r="W206" s="347"/>
      <c r="X206" s="347"/>
      <c r="Y206" s="347"/>
      <c r="Z206" s="347"/>
      <c r="AA206" s="347"/>
      <c r="AB206" s="347"/>
      <c r="AC206" s="347"/>
      <c r="AD206" s="347"/>
      <c r="AE206" s="347"/>
      <c r="AF206" s="201"/>
      <c r="AG206" s="333"/>
    </row>
    <row r="207" spans="1:33">
      <c r="A207" s="5" t="s">
        <v>1248</v>
      </c>
      <c r="F207" s="203"/>
      <c r="G207" s="347"/>
      <c r="H207" s="347"/>
      <c r="I207" s="347"/>
      <c r="J207" s="347"/>
      <c r="K207" s="347"/>
      <c r="L207" s="347"/>
      <c r="M207" s="347"/>
      <c r="N207" s="347"/>
      <c r="O207" s="347"/>
      <c r="P207" s="347"/>
      <c r="Q207" s="347"/>
      <c r="R207" s="347"/>
      <c r="S207" s="347"/>
      <c r="T207" s="347"/>
      <c r="U207" s="347"/>
      <c r="V207" s="347"/>
      <c r="W207" s="347"/>
      <c r="X207" s="347"/>
      <c r="Y207" s="347"/>
      <c r="Z207" s="347"/>
      <c r="AA207" s="347"/>
      <c r="AB207" s="347"/>
      <c r="AC207" s="347"/>
      <c r="AD207" s="347"/>
      <c r="AE207" s="347"/>
      <c r="AF207" s="201"/>
      <c r="AG207" s="333"/>
    </row>
    <row r="208" spans="1:33">
      <c r="A208" s="165">
        <v>560</v>
      </c>
      <c r="B208" s="165" t="s">
        <v>1251</v>
      </c>
      <c r="C208" s="165" t="s">
        <v>11</v>
      </c>
      <c r="D208" s="165" t="s">
        <v>699</v>
      </c>
      <c r="F208" s="203">
        <v>1024768.52</v>
      </c>
      <c r="G208" s="347"/>
      <c r="H208" s="201">
        <f t="shared" ref="H208:Q221" si="97">IF(VLOOKUP($D208,$C$6:$AE$598,H$2,)=0,0,((VLOOKUP($D208,$C$6:$AE$598,H$2,)/VLOOKUP($D208,$C$6:$AE$598,4,))*$F208))</f>
        <v>0</v>
      </c>
      <c r="I208" s="201">
        <f t="shared" si="97"/>
        <v>0</v>
      </c>
      <c r="J208" s="201">
        <f t="shared" si="97"/>
        <v>0</v>
      </c>
      <c r="K208" s="201">
        <f t="shared" si="97"/>
        <v>0</v>
      </c>
      <c r="L208" s="201">
        <f t="shared" si="97"/>
        <v>0</v>
      </c>
      <c r="M208" s="201">
        <f t="shared" si="97"/>
        <v>0</v>
      </c>
      <c r="N208" s="201">
        <f t="shared" si="97"/>
        <v>352055.61499703967</v>
      </c>
      <c r="O208" s="201">
        <f t="shared" si="97"/>
        <v>331874.99454242544</v>
      </c>
      <c r="P208" s="201">
        <f t="shared" si="97"/>
        <v>340837.91046053497</v>
      </c>
      <c r="Q208" s="201">
        <f t="shared" si="97"/>
        <v>0</v>
      </c>
      <c r="R208" s="201">
        <f t="shared" ref="R208:AE221" si="98">IF(VLOOKUP($D208,$C$6:$AE$598,R$2,)=0,0,((VLOOKUP($D208,$C$6:$AE$598,R$2,)/VLOOKUP($D208,$C$6:$AE$598,4,))*$F208))</f>
        <v>0</v>
      </c>
      <c r="S208" s="201">
        <f t="shared" si="98"/>
        <v>0</v>
      </c>
      <c r="T208" s="201">
        <f t="shared" si="98"/>
        <v>0</v>
      </c>
      <c r="U208" s="201">
        <f t="shared" si="98"/>
        <v>0</v>
      </c>
      <c r="V208" s="201">
        <f t="shared" si="98"/>
        <v>0</v>
      </c>
      <c r="W208" s="201">
        <f t="shared" si="98"/>
        <v>0</v>
      </c>
      <c r="X208" s="201">
        <f t="shared" si="98"/>
        <v>0</v>
      </c>
      <c r="Y208" s="201">
        <f t="shared" si="98"/>
        <v>0</v>
      </c>
      <c r="Z208" s="201">
        <f t="shared" si="98"/>
        <v>0</v>
      </c>
      <c r="AA208" s="201">
        <f t="shared" si="98"/>
        <v>0</v>
      </c>
      <c r="AB208" s="201">
        <f t="shared" si="98"/>
        <v>0</v>
      </c>
      <c r="AC208" s="201">
        <f t="shared" si="98"/>
        <v>0</v>
      </c>
      <c r="AD208" s="201">
        <f t="shared" si="98"/>
        <v>0</v>
      </c>
      <c r="AE208" s="201">
        <f t="shared" si="98"/>
        <v>0</v>
      </c>
      <c r="AF208" s="201">
        <f t="shared" ref="AF208:AF213" si="99">SUM(H208:AE208)</f>
        <v>1024768.52</v>
      </c>
      <c r="AG208" s="333" t="str">
        <f t="shared" ref="AG208:AG221" si="100">IF(ABS(AF208-F208)&lt;1,"ok","err")</f>
        <v>ok</v>
      </c>
    </row>
    <row r="209" spans="1:33">
      <c r="A209" s="165">
        <v>561</v>
      </c>
      <c r="B209" s="165" t="s">
        <v>1094</v>
      </c>
      <c r="C209" s="165" t="s">
        <v>12</v>
      </c>
      <c r="D209" s="165" t="s">
        <v>699</v>
      </c>
      <c r="F209" s="340">
        <v>1912858.9</v>
      </c>
      <c r="G209" s="347"/>
      <c r="H209" s="201">
        <f t="shared" si="97"/>
        <v>0</v>
      </c>
      <c r="I209" s="201">
        <f t="shared" si="97"/>
        <v>0</v>
      </c>
      <c r="J209" s="201">
        <f t="shared" si="97"/>
        <v>0</v>
      </c>
      <c r="K209" s="201">
        <f t="shared" si="97"/>
        <v>0</v>
      </c>
      <c r="L209" s="201">
        <f t="shared" si="97"/>
        <v>0</v>
      </c>
      <c r="M209" s="201">
        <f t="shared" si="97"/>
        <v>0</v>
      </c>
      <c r="N209" s="201">
        <f t="shared" si="97"/>
        <v>657155.93648608646</v>
      </c>
      <c r="O209" s="201">
        <f t="shared" si="97"/>
        <v>619486.27871387952</v>
      </c>
      <c r="P209" s="201">
        <f t="shared" si="97"/>
        <v>636216.68480003404</v>
      </c>
      <c r="Q209" s="201">
        <f t="shared" si="97"/>
        <v>0</v>
      </c>
      <c r="R209" s="201">
        <f t="shared" si="98"/>
        <v>0</v>
      </c>
      <c r="S209" s="201">
        <f t="shared" si="98"/>
        <v>0</v>
      </c>
      <c r="T209" s="201">
        <f t="shared" si="98"/>
        <v>0</v>
      </c>
      <c r="U209" s="201">
        <f t="shared" si="98"/>
        <v>0</v>
      </c>
      <c r="V209" s="201">
        <f t="shared" si="98"/>
        <v>0</v>
      </c>
      <c r="W209" s="201">
        <f t="shared" si="98"/>
        <v>0</v>
      </c>
      <c r="X209" s="201">
        <f t="shared" si="98"/>
        <v>0</v>
      </c>
      <c r="Y209" s="201">
        <f t="shared" si="98"/>
        <v>0</v>
      </c>
      <c r="Z209" s="201">
        <f t="shared" si="98"/>
        <v>0</v>
      </c>
      <c r="AA209" s="201">
        <f t="shared" si="98"/>
        <v>0</v>
      </c>
      <c r="AB209" s="201">
        <f t="shared" si="98"/>
        <v>0</v>
      </c>
      <c r="AC209" s="201">
        <f t="shared" si="98"/>
        <v>0</v>
      </c>
      <c r="AD209" s="201">
        <f t="shared" si="98"/>
        <v>0</v>
      </c>
      <c r="AE209" s="201">
        <f t="shared" si="98"/>
        <v>0</v>
      </c>
      <c r="AF209" s="201">
        <f t="shared" si="99"/>
        <v>1912858.9</v>
      </c>
      <c r="AG209" s="333" t="str">
        <f t="shared" si="100"/>
        <v>ok</v>
      </c>
    </row>
    <row r="210" spans="1:33">
      <c r="A210" s="165">
        <v>562</v>
      </c>
      <c r="B210" s="165" t="s">
        <v>1249</v>
      </c>
      <c r="C210" s="165" t="s">
        <v>13</v>
      </c>
      <c r="D210" s="165" t="s">
        <v>699</v>
      </c>
      <c r="F210" s="340">
        <v>1302918.23</v>
      </c>
      <c r="G210" s="347"/>
      <c r="H210" s="201">
        <f t="shared" si="97"/>
        <v>0</v>
      </c>
      <c r="I210" s="201">
        <f t="shared" si="97"/>
        <v>0</v>
      </c>
      <c r="J210" s="201">
        <f t="shared" si="97"/>
        <v>0</v>
      </c>
      <c r="K210" s="201">
        <f t="shared" si="97"/>
        <v>0</v>
      </c>
      <c r="L210" s="201">
        <f t="shared" si="97"/>
        <v>0</v>
      </c>
      <c r="M210" s="201">
        <f t="shared" si="97"/>
        <v>0</v>
      </c>
      <c r="N210" s="201">
        <f t="shared" si="97"/>
        <v>447612.96800325636</v>
      </c>
      <c r="O210" s="201">
        <f t="shared" si="97"/>
        <v>421954.78494058008</v>
      </c>
      <c r="P210" s="201">
        <f t="shared" si="97"/>
        <v>433350.4770561636</v>
      </c>
      <c r="Q210" s="201">
        <f t="shared" si="97"/>
        <v>0</v>
      </c>
      <c r="R210" s="201">
        <f t="shared" si="98"/>
        <v>0</v>
      </c>
      <c r="S210" s="201">
        <f t="shared" si="98"/>
        <v>0</v>
      </c>
      <c r="T210" s="201">
        <f t="shared" si="98"/>
        <v>0</v>
      </c>
      <c r="U210" s="201">
        <f t="shared" si="98"/>
        <v>0</v>
      </c>
      <c r="V210" s="201">
        <f t="shared" si="98"/>
        <v>0</v>
      </c>
      <c r="W210" s="201">
        <f t="shared" si="98"/>
        <v>0</v>
      </c>
      <c r="X210" s="201">
        <f t="shared" si="98"/>
        <v>0</v>
      </c>
      <c r="Y210" s="201">
        <f t="shared" si="98"/>
        <v>0</v>
      </c>
      <c r="Z210" s="201">
        <f t="shared" si="98"/>
        <v>0</v>
      </c>
      <c r="AA210" s="201">
        <f t="shared" si="98"/>
        <v>0</v>
      </c>
      <c r="AB210" s="201">
        <f t="shared" si="98"/>
        <v>0</v>
      </c>
      <c r="AC210" s="201">
        <f t="shared" si="98"/>
        <v>0</v>
      </c>
      <c r="AD210" s="201">
        <f t="shared" si="98"/>
        <v>0</v>
      </c>
      <c r="AE210" s="201">
        <f t="shared" si="98"/>
        <v>0</v>
      </c>
      <c r="AF210" s="201">
        <f t="shared" si="99"/>
        <v>1302918.23</v>
      </c>
      <c r="AG210" s="333" t="str">
        <f t="shared" si="100"/>
        <v>ok</v>
      </c>
    </row>
    <row r="211" spans="1:33">
      <c r="A211" s="165">
        <v>563</v>
      </c>
      <c r="B211" s="165" t="s">
        <v>1096</v>
      </c>
      <c r="C211" s="165" t="s">
        <v>14</v>
      </c>
      <c r="D211" s="165" t="s">
        <v>699</v>
      </c>
      <c r="F211" s="340">
        <v>145908.85</v>
      </c>
      <c r="G211" s="347"/>
      <c r="H211" s="201">
        <f t="shared" si="97"/>
        <v>0</v>
      </c>
      <c r="I211" s="201">
        <f t="shared" si="97"/>
        <v>0</v>
      </c>
      <c r="J211" s="201">
        <f t="shared" si="97"/>
        <v>0</v>
      </c>
      <c r="K211" s="201">
        <f t="shared" si="97"/>
        <v>0</v>
      </c>
      <c r="L211" s="201">
        <f t="shared" si="97"/>
        <v>0</v>
      </c>
      <c r="M211" s="201">
        <f t="shared" si="97"/>
        <v>0</v>
      </c>
      <c r="N211" s="201">
        <f t="shared" si="97"/>
        <v>50126.471410597987</v>
      </c>
      <c r="O211" s="201">
        <f t="shared" si="97"/>
        <v>47253.109216744451</v>
      </c>
      <c r="P211" s="201">
        <f t="shared" si="97"/>
        <v>48529.269372657574</v>
      </c>
      <c r="Q211" s="201">
        <f t="shared" si="97"/>
        <v>0</v>
      </c>
      <c r="R211" s="201">
        <f t="shared" si="98"/>
        <v>0</v>
      </c>
      <c r="S211" s="201">
        <f t="shared" si="98"/>
        <v>0</v>
      </c>
      <c r="T211" s="201">
        <f t="shared" si="98"/>
        <v>0</v>
      </c>
      <c r="U211" s="201">
        <f t="shared" si="98"/>
        <v>0</v>
      </c>
      <c r="V211" s="201">
        <f t="shared" si="98"/>
        <v>0</v>
      </c>
      <c r="W211" s="201">
        <f t="shared" si="98"/>
        <v>0</v>
      </c>
      <c r="X211" s="201">
        <f t="shared" si="98"/>
        <v>0</v>
      </c>
      <c r="Y211" s="201">
        <f t="shared" si="98"/>
        <v>0</v>
      </c>
      <c r="Z211" s="201">
        <f t="shared" si="98"/>
        <v>0</v>
      </c>
      <c r="AA211" s="201">
        <f t="shared" si="98"/>
        <v>0</v>
      </c>
      <c r="AB211" s="201">
        <f t="shared" si="98"/>
        <v>0</v>
      </c>
      <c r="AC211" s="201">
        <f t="shared" si="98"/>
        <v>0</v>
      </c>
      <c r="AD211" s="201">
        <f t="shared" si="98"/>
        <v>0</v>
      </c>
      <c r="AE211" s="201">
        <f t="shared" si="98"/>
        <v>0</v>
      </c>
      <c r="AF211" s="201">
        <f t="shared" si="99"/>
        <v>145908.85</v>
      </c>
      <c r="AG211" s="333" t="str">
        <f t="shared" si="100"/>
        <v>ok</v>
      </c>
    </row>
    <row r="212" spans="1:33">
      <c r="A212" s="165">
        <v>565</v>
      </c>
      <c r="B212" s="165" t="s">
        <v>279</v>
      </c>
      <c r="C212" s="165" t="s">
        <v>280</v>
      </c>
      <c r="D212" s="165" t="s">
        <v>699</v>
      </c>
      <c r="F212" s="340">
        <v>2891641.58</v>
      </c>
      <c r="G212" s="347"/>
      <c r="H212" s="201">
        <f t="shared" si="97"/>
        <v>0</v>
      </c>
      <c r="I212" s="201">
        <f t="shared" si="97"/>
        <v>0</v>
      </c>
      <c r="J212" s="201">
        <f t="shared" si="97"/>
        <v>0</v>
      </c>
      <c r="K212" s="201">
        <f t="shared" si="97"/>
        <v>0</v>
      </c>
      <c r="L212" s="201">
        <f t="shared" si="97"/>
        <v>0</v>
      </c>
      <c r="M212" s="201">
        <f t="shared" si="97"/>
        <v>0</v>
      </c>
      <c r="N212" s="201">
        <f t="shared" si="97"/>
        <v>993413.27814979281</v>
      </c>
      <c r="O212" s="201">
        <f t="shared" si="97"/>
        <v>936468.59251799656</v>
      </c>
      <c r="P212" s="201">
        <f t="shared" si="97"/>
        <v>961759.70933221083</v>
      </c>
      <c r="Q212" s="201">
        <f t="shared" si="97"/>
        <v>0</v>
      </c>
      <c r="R212" s="201">
        <f t="shared" si="98"/>
        <v>0</v>
      </c>
      <c r="S212" s="201">
        <f t="shared" si="98"/>
        <v>0</v>
      </c>
      <c r="T212" s="201">
        <f t="shared" si="98"/>
        <v>0</v>
      </c>
      <c r="U212" s="201">
        <f t="shared" si="98"/>
        <v>0</v>
      </c>
      <c r="V212" s="201">
        <f t="shared" si="98"/>
        <v>0</v>
      </c>
      <c r="W212" s="201">
        <f t="shared" si="98"/>
        <v>0</v>
      </c>
      <c r="X212" s="201">
        <f t="shared" si="98"/>
        <v>0</v>
      </c>
      <c r="Y212" s="201">
        <f t="shared" si="98"/>
        <v>0</v>
      </c>
      <c r="Z212" s="201">
        <f t="shared" si="98"/>
        <v>0</v>
      </c>
      <c r="AA212" s="201">
        <f t="shared" si="98"/>
        <v>0</v>
      </c>
      <c r="AB212" s="201">
        <f t="shared" si="98"/>
        <v>0</v>
      </c>
      <c r="AC212" s="201">
        <f t="shared" si="98"/>
        <v>0</v>
      </c>
      <c r="AD212" s="201">
        <f t="shared" si="98"/>
        <v>0</v>
      </c>
      <c r="AE212" s="201">
        <f t="shared" si="98"/>
        <v>0</v>
      </c>
      <c r="AF212" s="201">
        <f t="shared" si="99"/>
        <v>2891641.58</v>
      </c>
      <c r="AG212" s="333" t="str">
        <f t="shared" si="100"/>
        <v>ok</v>
      </c>
    </row>
    <row r="213" spans="1:33">
      <c r="A213" s="165">
        <v>566</v>
      </c>
      <c r="B213" s="165" t="s">
        <v>149</v>
      </c>
      <c r="C213" s="165" t="s">
        <v>150</v>
      </c>
      <c r="D213" s="165" t="s">
        <v>1266</v>
      </c>
      <c r="F213" s="340">
        <v>6311825.5</v>
      </c>
      <c r="G213" s="347"/>
      <c r="H213" s="201">
        <f t="shared" si="97"/>
        <v>0</v>
      </c>
      <c r="I213" s="201">
        <f t="shared" si="97"/>
        <v>0</v>
      </c>
      <c r="J213" s="201">
        <f t="shared" si="97"/>
        <v>0</v>
      </c>
      <c r="K213" s="201">
        <f t="shared" si="97"/>
        <v>0</v>
      </c>
      <c r="L213" s="201">
        <f t="shared" si="97"/>
        <v>0</v>
      </c>
      <c r="M213" s="201">
        <f t="shared" si="97"/>
        <v>0</v>
      </c>
      <c r="N213" s="201">
        <f t="shared" si="97"/>
        <v>2168405.4152605091</v>
      </c>
      <c r="O213" s="201">
        <f t="shared" si="97"/>
        <v>2044107.5350023839</v>
      </c>
      <c r="P213" s="201">
        <f t="shared" si="97"/>
        <v>2099312.549737107</v>
      </c>
      <c r="Q213" s="201">
        <f t="shared" si="97"/>
        <v>0</v>
      </c>
      <c r="R213" s="201">
        <f t="shared" si="98"/>
        <v>0</v>
      </c>
      <c r="S213" s="201">
        <f t="shared" si="98"/>
        <v>0</v>
      </c>
      <c r="T213" s="201">
        <f t="shared" si="98"/>
        <v>0</v>
      </c>
      <c r="U213" s="201">
        <f t="shared" si="98"/>
        <v>0</v>
      </c>
      <c r="V213" s="201">
        <f t="shared" si="98"/>
        <v>0</v>
      </c>
      <c r="W213" s="201">
        <f t="shared" si="98"/>
        <v>0</v>
      </c>
      <c r="X213" s="201">
        <f t="shared" si="98"/>
        <v>0</v>
      </c>
      <c r="Y213" s="201">
        <f t="shared" si="98"/>
        <v>0</v>
      </c>
      <c r="Z213" s="201">
        <f t="shared" si="98"/>
        <v>0</v>
      </c>
      <c r="AA213" s="201">
        <f t="shared" si="98"/>
        <v>0</v>
      </c>
      <c r="AB213" s="201">
        <f t="shared" si="98"/>
        <v>0</v>
      </c>
      <c r="AC213" s="201">
        <f t="shared" si="98"/>
        <v>0</v>
      </c>
      <c r="AD213" s="201">
        <f t="shared" si="98"/>
        <v>0</v>
      </c>
      <c r="AE213" s="201">
        <f t="shared" si="98"/>
        <v>0</v>
      </c>
      <c r="AF213" s="201">
        <f t="shared" si="99"/>
        <v>6311825.5</v>
      </c>
      <c r="AG213" s="333" t="str">
        <f t="shared" si="100"/>
        <v>ok</v>
      </c>
    </row>
    <row r="214" spans="1:33">
      <c r="A214" s="165">
        <v>567</v>
      </c>
      <c r="B214" s="165" t="s">
        <v>1108</v>
      </c>
      <c r="C214" s="165" t="s">
        <v>281</v>
      </c>
      <c r="D214" s="165" t="s">
        <v>1266</v>
      </c>
      <c r="F214" s="340">
        <v>25477.75</v>
      </c>
      <c r="G214" s="347"/>
      <c r="H214" s="201">
        <f t="shared" si="97"/>
        <v>0</v>
      </c>
      <c r="I214" s="201">
        <f t="shared" si="97"/>
        <v>0</v>
      </c>
      <c r="J214" s="201">
        <f t="shared" si="97"/>
        <v>0</v>
      </c>
      <c r="K214" s="201">
        <f t="shared" si="97"/>
        <v>0</v>
      </c>
      <c r="L214" s="201">
        <f t="shared" si="97"/>
        <v>0</v>
      </c>
      <c r="M214" s="201">
        <f t="shared" si="97"/>
        <v>0</v>
      </c>
      <c r="N214" s="201">
        <f t="shared" si="97"/>
        <v>8752.7912596210772</v>
      </c>
      <c r="O214" s="201">
        <f t="shared" si="97"/>
        <v>8251.0615589589706</v>
      </c>
      <c r="P214" s="201">
        <f t="shared" si="97"/>
        <v>8473.8971814199522</v>
      </c>
      <c r="Q214" s="201">
        <f t="shared" si="97"/>
        <v>0</v>
      </c>
      <c r="R214" s="201">
        <f t="shared" si="98"/>
        <v>0</v>
      </c>
      <c r="S214" s="201">
        <f t="shared" si="98"/>
        <v>0</v>
      </c>
      <c r="T214" s="201">
        <f t="shared" si="98"/>
        <v>0</v>
      </c>
      <c r="U214" s="201">
        <f t="shared" si="98"/>
        <v>0</v>
      </c>
      <c r="V214" s="201">
        <f t="shared" si="98"/>
        <v>0</v>
      </c>
      <c r="W214" s="201">
        <f t="shared" si="98"/>
        <v>0</v>
      </c>
      <c r="X214" s="201">
        <f t="shared" si="98"/>
        <v>0</v>
      </c>
      <c r="Y214" s="201">
        <f t="shared" si="98"/>
        <v>0</v>
      </c>
      <c r="Z214" s="201">
        <f t="shared" si="98"/>
        <v>0</v>
      </c>
      <c r="AA214" s="201">
        <f t="shared" si="98"/>
        <v>0</v>
      </c>
      <c r="AB214" s="201">
        <f t="shared" si="98"/>
        <v>0</v>
      </c>
      <c r="AC214" s="201">
        <f t="shared" si="98"/>
        <v>0</v>
      </c>
      <c r="AD214" s="201">
        <f t="shared" si="98"/>
        <v>0</v>
      </c>
      <c r="AE214" s="201">
        <f t="shared" si="98"/>
        <v>0</v>
      </c>
      <c r="AF214" s="201">
        <f t="shared" ref="AF214:AF220" si="101">SUM(H214:AE214)</f>
        <v>25477.75</v>
      </c>
      <c r="AG214" s="333" t="str">
        <f t="shared" si="100"/>
        <v>ok</v>
      </c>
    </row>
    <row r="215" spans="1:33">
      <c r="A215" s="165">
        <v>568</v>
      </c>
      <c r="B215" s="165" t="s">
        <v>1250</v>
      </c>
      <c r="C215" s="165" t="s">
        <v>15</v>
      </c>
      <c r="D215" s="165" t="s">
        <v>699</v>
      </c>
      <c r="F215" s="340">
        <v>0</v>
      </c>
      <c r="G215" s="347"/>
      <c r="H215" s="201">
        <f t="shared" si="97"/>
        <v>0</v>
      </c>
      <c r="I215" s="201">
        <f t="shared" si="97"/>
        <v>0</v>
      </c>
      <c r="J215" s="201">
        <f t="shared" si="97"/>
        <v>0</v>
      </c>
      <c r="K215" s="201">
        <f t="shared" si="97"/>
        <v>0</v>
      </c>
      <c r="L215" s="201">
        <f t="shared" si="97"/>
        <v>0</v>
      </c>
      <c r="M215" s="201">
        <f t="shared" si="97"/>
        <v>0</v>
      </c>
      <c r="N215" s="201">
        <f t="shared" si="97"/>
        <v>0</v>
      </c>
      <c r="O215" s="201">
        <f t="shared" si="97"/>
        <v>0</v>
      </c>
      <c r="P215" s="201">
        <f t="shared" si="97"/>
        <v>0</v>
      </c>
      <c r="Q215" s="201">
        <f t="shared" si="97"/>
        <v>0</v>
      </c>
      <c r="R215" s="201">
        <f t="shared" si="98"/>
        <v>0</v>
      </c>
      <c r="S215" s="201">
        <f t="shared" si="98"/>
        <v>0</v>
      </c>
      <c r="T215" s="201">
        <f t="shared" si="98"/>
        <v>0</v>
      </c>
      <c r="U215" s="201">
        <f t="shared" si="98"/>
        <v>0</v>
      </c>
      <c r="V215" s="201">
        <f t="shared" si="98"/>
        <v>0</v>
      </c>
      <c r="W215" s="201">
        <f t="shared" si="98"/>
        <v>0</v>
      </c>
      <c r="X215" s="201">
        <f t="shared" si="98"/>
        <v>0</v>
      </c>
      <c r="Y215" s="201">
        <f t="shared" si="98"/>
        <v>0</v>
      </c>
      <c r="Z215" s="201">
        <f t="shared" si="98"/>
        <v>0</v>
      </c>
      <c r="AA215" s="201">
        <f t="shared" si="98"/>
        <v>0</v>
      </c>
      <c r="AB215" s="201">
        <f t="shared" si="98"/>
        <v>0</v>
      </c>
      <c r="AC215" s="201">
        <f t="shared" si="98"/>
        <v>0</v>
      </c>
      <c r="AD215" s="201">
        <f t="shared" si="98"/>
        <v>0</v>
      </c>
      <c r="AE215" s="201">
        <f t="shared" si="98"/>
        <v>0</v>
      </c>
      <c r="AF215" s="201">
        <f t="shared" si="101"/>
        <v>0</v>
      </c>
      <c r="AG215" s="333" t="str">
        <f t="shared" si="100"/>
        <v>ok</v>
      </c>
    </row>
    <row r="216" spans="1:33">
      <c r="A216" s="165">
        <v>569</v>
      </c>
      <c r="B216" s="165" t="s">
        <v>282</v>
      </c>
      <c r="C216" s="165" t="s">
        <v>283</v>
      </c>
      <c r="D216" s="165" t="s">
        <v>699</v>
      </c>
      <c r="F216" s="340">
        <v>1011.77</v>
      </c>
      <c r="G216" s="347"/>
      <c r="H216" s="201">
        <f t="shared" si="97"/>
        <v>0</v>
      </c>
      <c r="I216" s="201">
        <f t="shared" si="97"/>
        <v>0</v>
      </c>
      <c r="J216" s="201">
        <f t="shared" si="97"/>
        <v>0</v>
      </c>
      <c r="K216" s="201">
        <f t="shared" si="97"/>
        <v>0</v>
      </c>
      <c r="L216" s="201">
        <f t="shared" si="97"/>
        <v>0</v>
      </c>
      <c r="M216" s="201">
        <f t="shared" si="97"/>
        <v>0</v>
      </c>
      <c r="N216" s="201">
        <f t="shared" si="97"/>
        <v>347.59001924215511</v>
      </c>
      <c r="O216" s="201">
        <f t="shared" si="97"/>
        <v>327.66537678986248</v>
      </c>
      <c r="P216" s="201">
        <f t="shared" si="97"/>
        <v>336.5146039679824</v>
      </c>
      <c r="Q216" s="201">
        <f t="shared" si="97"/>
        <v>0</v>
      </c>
      <c r="R216" s="201">
        <f t="shared" si="98"/>
        <v>0</v>
      </c>
      <c r="S216" s="201">
        <f t="shared" si="98"/>
        <v>0</v>
      </c>
      <c r="T216" s="201">
        <f t="shared" si="98"/>
        <v>0</v>
      </c>
      <c r="U216" s="201">
        <f t="shared" si="98"/>
        <v>0</v>
      </c>
      <c r="V216" s="201">
        <f t="shared" si="98"/>
        <v>0</v>
      </c>
      <c r="W216" s="201">
        <f t="shared" si="98"/>
        <v>0</v>
      </c>
      <c r="X216" s="201">
        <f t="shared" si="98"/>
        <v>0</v>
      </c>
      <c r="Y216" s="201">
        <f t="shared" si="98"/>
        <v>0</v>
      </c>
      <c r="Z216" s="201">
        <f t="shared" si="98"/>
        <v>0</v>
      </c>
      <c r="AA216" s="201">
        <f t="shared" si="98"/>
        <v>0</v>
      </c>
      <c r="AB216" s="201">
        <f t="shared" si="98"/>
        <v>0</v>
      </c>
      <c r="AC216" s="201">
        <f t="shared" si="98"/>
        <v>0</v>
      </c>
      <c r="AD216" s="201">
        <f t="shared" si="98"/>
        <v>0</v>
      </c>
      <c r="AE216" s="201">
        <f t="shared" si="98"/>
        <v>0</v>
      </c>
      <c r="AF216" s="201">
        <f t="shared" si="101"/>
        <v>1011.77</v>
      </c>
      <c r="AG216" s="333" t="str">
        <f t="shared" si="100"/>
        <v>ok</v>
      </c>
    </row>
    <row r="217" spans="1:33">
      <c r="A217" s="165">
        <v>570</v>
      </c>
      <c r="B217" s="165" t="s">
        <v>1252</v>
      </c>
      <c r="C217" s="165" t="s">
        <v>16</v>
      </c>
      <c r="D217" s="165" t="s">
        <v>699</v>
      </c>
      <c r="F217" s="340">
        <v>1320530.8799999999</v>
      </c>
      <c r="G217" s="347"/>
      <c r="H217" s="201">
        <f t="shared" si="97"/>
        <v>0</v>
      </c>
      <c r="I217" s="201">
        <f t="shared" si="97"/>
        <v>0</v>
      </c>
      <c r="J217" s="201">
        <f t="shared" si="97"/>
        <v>0</v>
      </c>
      <c r="K217" s="201">
        <f t="shared" si="97"/>
        <v>0</v>
      </c>
      <c r="L217" s="201">
        <f t="shared" si="97"/>
        <v>0</v>
      </c>
      <c r="M217" s="201">
        <f t="shared" si="97"/>
        <v>0</v>
      </c>
      <c r="N217" s="201">
        <f t="shared" si="97"/>
        <v>453663.73186500883</v>
      </c>
      <c r="O217" s="201">
        <f t="shared" si="97"/>
        <v>427658.70539534546</v>
      </c>
      <c r="P217" s="201">
        <f t="shared" si="97"/>
        <v>439208.44273964566</v>
      </c>
      <c r="Q217" s="201">
        <f t="shared" si="97"/>
        <v>0</v>
      </c>
      <c r="R217" s="201">
        <f t="shared" si="98"/>
        <v>0</v>
      </c>
      <c r="S217" s="201">
        <f t="shared" si="98"/>
        <v>0</v>
      </c>
      <c r="T217" s="201">
        <f t="shared" si="98"/>
        <v>0</v>
      </c>
      <c r="U217" s="201">
        <f t="shared" si="98"/>
        <v>0</v>
      </c>
      <c r="V217" s="201">
        <f t="shared" si="98"/>
        <v>0</v>
      </c>
      <c r="W217" s="201">
        <f t="shared" si="98"/>
        <v>0</v>
      </c>
      <c r="X217" s="201">
        <f t="shared" si="98"/>
        <v>0</v>
      </c>
      <c r="Y217" s="201">
        <f t="shared" si="98"/>
        <v>0</v>
      </c>
      <c r="Z217" s="201">
        <f t="shared" si="98"/>
        <v>0</v>
      </c>
      <c r="AA217" s="201">
        <f t="shared" si="98"/>
        <v>0</v>
      </c>
      <c r="AB217" s="201">
        <f t="shared" si="98"/>
        <v>0</v>
      </c>
      <c r="AC217" s="201">
        <f t="shared" si="98"/>
        <v>0</v>
      </c>
      <c r="AD217" s="201">
        <f t="shared" si="98"/>
        <v>0</v>
      </c>
      <c r="AE217" s="201">
        <f t="shared" si="98"/>
        <v>0</v>
      </c>
      <c r="AF217" s="201">
        <f t="shared" si="101"/>
        <v>1320530.8799999999</v>
      </c>
      <c r="AG217" s="333" t="str">
        <f t="shared" si="100"/>
        <v>ok</v>
      </c>
    </row>
    <row r="218" spans="1:33">
      <c r="A218" s="165">
        <v>571</v>
      </c>
      <c r="B218" s="165" t="s">
        <v>1253</v>
      </c>
      <c r="C218" s="165" t="s">
        <v>17</v>
      </c>
      <c r="D218" s="165" t="s">
        <v>699</v>
      </c>
      <c r="F218" s="340">
        <v>1037323.94</v>
      </c>
      <c r="G218" s="347"/>
      <c r="H218" s="201">
        <f t="shared" si="97"/>
        <v>0</v>
      </c>
      <c r="I218" s="201">
        <f t="shared" si="97"/>
        <v>0</v>
      </c>
      <c r="J218" s="201">
        <f t="shared" si="97"/>
        <v>0</v>
      </c>
      <c r="K218" s="201">
        <f t="shared" si="97"/>
        <v>0</v>
      </c>
      <c r="L218" s="201">
        <f t="shared" si="97"/>
        <v>0</v>
      </c>
      <c r="M218" s="201">
        <f t="shared" si="97"/>
        <v>0</v>
      </c>
      <c r="N218" s="201">
        <f t="shared" si="97"/>
        <v>356368.98530787445</v>
      </c>
      <c r="O218" s="201">
        <f t="shared" si="97"/>
        <v>335941.11275610537</v>
      </c>
      <c r="P218" s="201">
        <f t="shared" si="97"/>
        <v>345013.84193602018</v>
      </c>
      <c r="Q218" s="201">
        <f t="shared" si="97"/>
        <v>0</v>
      </c>
      <c r="R218" s="201">
        <f t="shared" si="98"/>
        <v>0</v>
      </c>
      <c r="S218" s="201">
        <f t="shared" si="98"/>
        <v>0</v>
      </c>
      <c r="T218" s="201">
        <f t="shared" si="98"/>
        <v>0</v>
      </c>
      <c r="U218" s="201">
        <f t="shared" si="98"/>
        <v>0</v>
      </c>
      <c r="V218" s="201">
        <f t="shared" si="98"/>
        <v>0</v>
      </c>
      <c r="W218" s="201">
        <f t="shared" si="98"/>
        <v>0</v>
      </c>
      <c r="X218" s="201">
        <f t="shared" si="98"/>
        <v>0</v>
      </c>
      <c r="Y218" s="201">
        <f t="shared" si="98"/>
        <v>0</v>
      </c>
      <c r="Z218" s="201">
        <f t="shared" si="98"/>
        <v>0</v>
      </c>
      <c r="AA218" s="201">
        <f t="shared" si="98"/>
        <v>0</v>
      </c>
      <c r="AB218" s="201">
        <f t="shared" si="98"/>
        <v>0</v>
      </c>
      <c r="AC218" s="201">
        <f t="shared" si="98"/>
        <v>0</v>
      </c>
      <c r="AD218" s="201">
        <f t="shared" si="98"/>
        <v>0</v>
      </c>
      <c r="AE218" s="201">
        <f t="shared" si="98"/>
        <v>0</v>
      </c>
      <c r="AF218" s="201">
        <f t="shared" si="101"/>
        <v>1037323.94</v>
      </c>
      <c r="AG218" s="333" t="str">
        <f t="shared" si="100"/>
        <v>ok</v>
      </c>
    </row>
    <row r="219" spans="1:33">
      <c r="A219" s="165">
        <v>572</v>
      </c>
      <c r="B219" s="165" t="s">
        <v>284</v>
      </c>
      <c r="C219" s="165" t="s">
        <v>285</v>
      </c>
      <c r="D219" s="165" t="s">
        <v>699</v>
      </c>
      <c r="F219" s="340">
        <v>0</v>
      </c>
      <c r="G219" s="347"/>
      <c r="H219" s="201">
        <f t="shared" si="97"/>
        <v>0</v>
      </c>
      <c r="I219" s="201">
        <f t="shared" si="97"/>
        <v>0</v>
      </c>
      <c r="J219" s="201">
        <f t="shared" si="97"/>
        <v>0</v>
      </c>
      <c r="K219" s="201">
        <f t="shared" si="97"/>
        <v>0</v>
      </c>
      <c r="L219" s="201">
        <f t="shared" si="97"/>
        <v>0</v>
      </c>
      <c r="M219" s="201">
        <f t="shared" si="97"/>
        <v>0</v>
      </c>
      <c r="N219" s="201">
        <f t="shared" si="97"/>
        <v>0</v>
      </c>
      <c r="O219" s="201">
        <f t="shared" si="97"/>
        <v>0</v>
      </c>
      <c r="P219" s="201">
        <f t="shared" si="97"/>
        <v>0</v>
      </c>
      <c r="Q219" s="201">
        <f t="shared" si="97"/>
        <v>0</v>
      </c>
      <c r="R219" s="201">
        <f t="shared" si="98"/>
        <v>0</v>
      </c>
      <c r="S219" s="201">
        <f t="shared" si="98"/>
        <v>0</v>
      </c>
      <c r="T219" s="201">
        <f t="shared" si="98"/>
        <v>0</v>
      </c>
      <c r="U219" s="201">
        <f t="shared" si="98"/>
        <v>0</v>
      </c>
      <c r="V219" s="201">
        <f t="shared" si="98"/>
        <v>0</v>
      </c>
      <c r="W219" s="201">
        <f t="shared" si="98"/>
        <v>0</v>
      </c>
      <c r="X219" s="201">
        <f t="shared" si="98"/>
        <v>0</v>
      </c>
      <c r="Y219" s="201">
        <f t="shared" si="98"/>
        <v>0</v>
      </c>
      <c r="Z219" s="201">
        <f t="shared" si="98"/>
        <v>0</v>
      </c>
      <c r="AA219" s="201">
        <f t="shared" si="98"/>
        <v>0</v>
      </c>
      <c r="AB219" s="201">
        <f t="shared" si="98"/>
        <v>0</v>
      </c>
      <c r="AC219" s="201">
        <f t="shared" si="98"/>
        <v>0</v>
      </c>
      <c r="AD219" s="201">
        <f t="shared" si="98"/>
        <v>0</v>
      </c>
      <c r="AE219" s="201">
        <f t="shared" si="98"/>
        <v>0</v>
      </c>
      <c r="AF219" s="201">
        <f t="shared" si="101"/>
        <v>0</v>
      </c>
      <c r="AG219" s="333" t="str">
        <f t="shared" si="100"/>
        <v>ok</v>
      </c>
    </row>
    <row r="220" spans="1:33">
      <c r="A220" s="165">
        <v>573</v>
      </c>
      <c r="B220" s="165" t="s">
        <v>286</v>
      </c>
      <c r="C220" s="165" t="s">
        <v>287</v>
      </c>
      <c r="D220" s="165" t="s">
        <v>1266</v>
      </c>
      <c r="F220" s="340">
        <v>14481.65</v>
      </c>
      <c r="G220" s="347"/>
      <c r="H220" s="201">
        <f t="shared" si="97"/>
        <v>0</v>
      </c>
      <c r="I220" s="201">
        <f t="shared" si="97"/>
        <v>0</v>
      </c>
      <c r="J220" s="201">
        <f t="shared" si="97"/>
        <v>0</v>
      </c>
      <c r="K220" s="201">
        <f t="shared" si="97"/>
        <v>0</v>
      </c>
      <c r="L220" s="201">
        <f t="shared" si="97"/>
        <v>0</v>
      </c>
      <c r="M220" s="201">
        <f t="shared" si="97"/>
        <v>0</v>
      </c>
      <c r="N220" s="201">
        <f t="shared" si="97"/>
        <v>4975.1198416222614</v>
      </c>
      <c r="O220" s="201">
        <f t="shared" si="97"/>
        <v>4689.9347715280264</v>
      </c>
      <c r="P220" s="201">
        <f t="shared" si="97"/>
        <v>4816.5953868497118</v>
      </c>
      <c r="Q220" s="201">
        <f t="shared" si="97"/>
        <v>0</v>
      </c>
      <c r="R220" s="201">
        <f t="shared" si="98"/>
        <v>0</v>
      </c>
      <c r="S220" s="201">
        <f t="shared" si="98"/>
        <v>0</v>
      </c>
      <c r="T220" s="201">
        <f t="shared" si="98"/>
        <v>0</v>
      </c>
      <c r="U220" s="201">
        <f t="shared" si="98"/>
        <v>0</v>
      </c>
      <c r="V220" s="201">
        <f t="shared" si="98"/>
        <v>0</v>
      </c>
      <c r="W220" s="201">
        <f t="shared" si="98"/>
        <v>0</v>
      </c>
      <c r="X220" s="201">
        <f t="shared" si="98"/>
        <v>0</v>
      </c>
      <c r="Y220" s="201">
        <f t="shared" si="98"/>
        <v>0</v>
      </c>
      <c r="Z220" s="201">
        <f t="shared" si="98"/>
        <v>0</v>
      </c>
      <c r="AA220" s="201">
        <f t="shared" si="98"/>
        <v>0</v>
      </c>
      <c r="AB220" s="201">
        <f t="shared" si="98"/>
        <v>0</v>
      </c>
      <c r="AC220" s="201">
        <f t="shared" si="98"/>
        <v>0</v>
      </c>
      <c r="AD220" s="201">
        <f t="shared" si="98"/>
        <v>0</v>
      </c>
      <c r="AE220" s="201">
        <f t="shared" si="98"/>
        <v>0</v>
      </c>
      <c r="AF220" s="201">
        <f t="shared" si="101"/>
        <v>14481.650000000001</v>
      </c>
      <c r="AG220" s="333" t="str">
        <f t="shared" si="100"/>
        <v>ok</v>
      </c>
    </row>
    <row r="221" spans="1:33">
      <c r="A221" s="318">
        <v>575</v>
      </c>
      <c r="B221" s="318" t="s">
        <v>1020</v>
      </c>
      <c r="C221" s="318" t="s">
        <v>1021</v>
      </c>
      <c r="D221" s="165" t="s">
        <v>699</v>
      </c>
      <c r="F221" s="340">
        <v>753466.99</v>
      </c>
      <c r="G221" s="347"/>
      <c r="H221" s="201">
        <f t="shared" si="97"/>
        <v>0</v>
      </c>
      <c r="I221" s="201">
        <f t="shared" si="97"/>
        <v>0</v>
      </c>
      <c r="J221" s="201">
        <f t="shared" si="97"/>
        <v>0</v>
      </c>
      <c r="K221" s="201">
        <f t="shared" si="97"/>
        <v>0</v>
      </c>
      <c r="L221" s="201">
        <f t="shared" si="97"/>
        <v>0</v>
      </c>
      <c r="M221" s="201">
        <f t="shared" si="97"/>
        <v>0</v>
      </c>
      <c r="N221" s="201">
        <f t="shared" si="97"/>
        <v>258850.93010509177</v>
      </c>
      <c r="O221" s="201">
        <f t="shared" si="97"/>
        <v>244013.01202553304</v>
      </c>
      <c r="P221" s="201">
        <f t="shared" si="97"/>
        <v>250603.04786937524</v>
      </c>
      <c r="Q221" s="201">
        <f t="shared" si="97"/>
        <v>0</v>
      </c>
      <c r="R221" s="201">
        <f t="shared" si="98"/>
        <v>0</v>
      </c>
      <c r="S221" s="201">
        <f t="shared" si="98"/>
        <v>0</v>
      </c>
      <c r="T221" s="201">
        <f t="shared" si="98"/>
        <v>0</v>
      </c>
      <c r="U221" s="201">
        <f t="shared" si="98"/>
        <v>0</v>
      </c>
      <c r="V221" s="201">
        <f t="shared" si="98"/>
        <v>0</v>
      </c>
      <c r="W221" s="201">
        <f t="shared" si="98"/>
        <v>0</v>
      </c>
      <c r="X221" s="201">
        <f t="shared" si="98"/>
        <v>0</v>
      </c>
      <c r="Y221" s="201">
        <f t="shared" si="98"/>
        <v>0</v>
      </c>
      <c r="Z221" s="201">
        <f t="shared" si="98"/>
        <v>0</v>
      </c>
      <c r="AA221" s="201">
        <f t="shared" si="98"/>
        <v>0</v>
      </c>
      <c r="AB221" s="201">
        <f t="shared" si="98"/>
        <v>0</v>
      </c>
      <c r="AC221" s="201">
        <f t="shared" si="98"/>
        <v>0</v>
      </c>
      <c r="AD221" s="201">
        <f t="shared" si="98"/>
        <v>0</v>
      </c>
      <c r="AE221" s="201">
        <f t="shared" si="98"/>
        <v>0</v>
      </c>
      <c r="AF221" s="201">
        <f>SUM(H221:AE221)</f>
        <v>753466.99</v>
      </c>
      <c r="AG221" s="333" t="str">
        <f t="shared" si="100"/>
        <v>ok</v>
      </c>
    </row>
    <row r="222" spans="1:33">
      <c r="F222" s="203"/>
      <c r="G222" s="347"/>
      <c r="H222" s="347"/>
      <c r="I222" s="347"/>
      <c r="J222" s="347"/>
      <c r="K222" s="347"/>
      <c r="L222" s="347"/>
      <c r="M222" s="347"/>
      <c r="N222" s="347"/>
      <c r="O222" s="347"/>
      <c r="P222" s="347"/>
      <c r="Q222" s="347"/>
      <c r="R222" s="347"/>
      <c r="S222" s="347"/>
      <c r="T222" s="347"/>
      <c r="U222" s="347"/>
      <c r="V222" s="347"/>
      <c r="W222" s="347"/>
      <c r="X222" s="347"/>
      <c r="Y222" s="347"/>
      <c r="Z222" s="347"/>
      <c r="AA222" s="347"/>
      <c r="AB222" s="347"/>
      <c r="AC222" s="347"/>
      <c r="AD222" s="347"/>
      <c r="AE222" s="347"/>
      <c r="AF222" s="201"/>
      <c r="AG222" s="333"/>
    </row>
    <row r="223" spans="1:33">
      <c r="A223" s="165" t="s">
        <v>1254</v>
      </c>
      <c r="F223" s="342">
        <f>SUM(F208:F221)</f>
        <v>16742214.560000001</v>
      </c>
      <c r="G223" s="343">
        <f>SUM(G208:G218)</f>
        <v>0</v>
      </c>
      <c r="H223" s="343">
        <f t="shared" ref="H223:N223" si="102">SUM(H208:H221)</f>
        <v>0</v>
      </c>
      <c r="I223" s="343">
        <f t="shared" si="102"/>
        <v>0</v>
      </c>
      <c r="J223" s="343">
        <f t="shared" si="102"/>
        <v>0</v>
      </c>
      <c r="K223" s="343">
        <f t="shared" si="102"/>
        <v>0</v>
      </c>
      <c r="L223" s="343">
        <f t="shared" si="102"/>
        <v>0</v>
      </c>
      <c r="M223" s="343">
        <f t="shared" si="102"/>
        <v>0</v>
      </c>
      <c r="N223" s="343">
        <f t="shared" si="102"/>
        <v>5751728.8327057436</v>
      </c>
      <c r="O223" s="343">
        <f t="shared" ref="O223:AE223" si="103">SUM(O208:O221)</f>
        <v>5422026.7868182715</v>
      </c>
      <c r="P223" s="343">
        <f t="shared" si="103"/>
        <v>5568458.9404759863</v>
      </c>
      <c r="Q223" s="343">
        <f t="shared" si="103"/>
        <v>0</v>
      </c>
      <c r="R223" s="343">
        <f t="shared" si="103"/>
        <v>0</v>
      </c>
      <c r="S223" s="343">
        <f t="shared" si="103"/>
        <v>0</v>
      </c>
      <c r="T223" s="343">
        <f t="shared" si="103"/>
        <v>0</v>
      </c>
      <c r="U223" s="343">
        <f t="shared" si="103"/>
        <v>0</v>
      </c>
      <c r="V223" s="343">
        <f t="shared" si="103"/>
        <v>0</v>
      </c>
      <c r="W223" s="343">
        <f t="shared" si="103"/>
        <v>0</v>
      </c>
      <c r="X223" s="343">
        <f t="shared" si="103"/>
        <v>0</v>
      </c>
      <c r="Y223" s="343">
        <f t="shared" si="103"/>
        <v>0</v>
      </c>
      <c r="Z223" s="343">
        <f t="shared" si="103"/>
        <v>0</v>
      </c>
      <c r="AA223" s="343">
        <f t="shared" si="103"/>
        <v>0</v>
      </c>
      <c r="AB223" s="343">
        <f t="shared" si="103"/>
        <v>0</v>
      </c>
      <c r="AC223" s="343">
        <f t="shared" si="103"/>
        <v>0</v>
      </c>
      <c r="AD223" s="343">
        <f t="shared" si="103"/>
        <v>0</v>
      </c>
      <c r="AE223" s="343">
        <f t="shared" si="103"/>
        <v>0</v>
      </c>
      <c r="AF223" s="347">
        <f>SUM(H223:AE223)</f>
        <v>16742214.560000002</v>
      </c>
      <c r="AG223" s="333" t="str">
        <f>IF(ABS(AF223-F223)&lt;1,"ok","err")</f>
        <v>ok</v>
      </c>
    </row>
    <row r="224" spans="1:33">
      <c r="W224" s="165"/>
      <c r="AG224" s="333"/>
    </row>
    <row r="225" spans="1:33">
      <c r="A225" s="6" t="s">
        <v>1128</v>
      </c>
      <c r="W225" s="165"/>
      <c r="AG225" s="333"/>
    </row>
    <row r="226" spans="1:33">
      <c r="W226" s="165"/>
      <c r="AG226" s="333"/>
    </row>
    <row r="227" spans="1:33">
      <c r="A227" s="5" t="s">
        <v>1091</v>
      </c>
      <c r="W227" s="165"/>
      <c r="AG227" s="333"/>
    </row>
    <row r="228" spans="1:33">
      <c r="A228" s="165">
        <v>580</v>
      </c>
      <c r="B228" s="165" t="s">
        <v>1092</v>
      </c>
      <c r="C228" s="165" t="s">
        <v>1093</v>
      </c>
      <c r="D228" s="165" t="s">
        <v>64</v>
      </c>
      <c r="F228" s="203">
        <v>2530733.4699999997</v>
      </c>
      <c r="H228" s="201">
        <f t="shared" ref="H228:Q239" si="104">IF(VLOOKUP($D228,$C$6:$AE$598,H$2,)=0,0,((VLOOKUP($D228,$C$6:$AE$598,H$2,)/VLOOKUP($D228,$C$6:$AE$598,4,))*$F228))</f>
        <v>0</v>
      </c>
      <c r="I228" s="201">
        <f t="shared" si="104"/>
        <v>0</v>
      </c>
      <c r="J228" s="201">
        <f t="shared" si="104"/>
        <v>0</v>
      </c>
      <c r="K228" s="201">
        <f t="shared" si="104"/>
        <v>0</v>
      </c>
      <c r="L228" s="201">
        <f t="shared" si="104"/>
        <v>0</v>
      </c>
      <c r="M228" s="201">
        <f t="shared" si="104"/>
        <v>0</v>
      </c>
      <c r="N228" s="201">
        <f t="shared" si="104"/>
        <v>0</v>
      </c>
      <c r="O228" s="201">
        <f t="shared" si="104"/>
        <v>0</v>
      </c>
      <c r="P228" s="201">
        <f t="shared" si="104"/>
        <v>0</v>
      </c>
      <c r="Q228" s="201">
        <f t="shared" si="104"/>
        <v>0</v>
      </c>
      <c r="R228" s="201">
        <f t="shared" ref="R228:AE239" si="105">IF(VLOOKUP($D228,$C$6:$AE$598,R$2,)=0,0,((VLOOKUP($D228,$C$6:$AE$598,R$2,)/VLOOKUP($D228,$C$6:$AE$598,4,))*$F228))</f>
        <v>348850.29753507674</v>
      </c>
      <c r="S228" s="201">
        <f t="shared" si="105"/>
        <v>0</v>
      </c>
      <c r="T228" s="201">
        <f t="shared" si="105"/>
        <v>352808.57928291417</v>
      </c>
      <c r="U228" s="201">
        <f t="shared" si="105"/>
        <v>474665.66696007724</v>
      </c>
      <c r="V228" s="201">
        <f t="shared" si="105"/>
        <v>117602.85976097138</v>
      </c>
      <c r="W228" s="201">
        <f t="shared" si="105"/>
        <v>158221.88898669241</v>
      </c>
      <c r="X228" s="201">
        <f t="shared" si="105"/>
        <v>33159.206428043333</v>
      </c>
      <c r="Y228" s="201">
        <f t="shared" si="105"/>
        <v>26372.582491244513</v>
      </c>
      <c r="Z228" s="201">
        <f t="shared" si="105"/>
        <v>12074.962119618272</v>
      </c>
      <c r="AA228" s="201">
        <f t="shared" si="105"/>
        <v>971188.35812543554</v>
      </c>
      <c r="AB228" s="201">
        <f t="shared" si="105"/>
        <v>35789.068309926341</v>
      </c>
      <c r="AC228" s="201">
        <f t="shared" si="105"/>
        <v>0</v>
      </c>
      <c r="AD228" s="201">
        <f t="shared" si="105"/>
        <v>0</v>
      </c>
      <c r="AE228" s="201">
        <f t="shared" si="105"/>
        <v>0</v>
      </c>
      <c r="AF228" s="201">
        <f t="shared" ref="AF228:AF239" si="106">SUM(H228:AE228)</f>
        <v>2530733.4699999997</v>
      </c>
      <c r="AG228" s="333" t="str">
        <f t="shared" ref="AG228:AG239" si="107">IF(ABS(AF228-F228)&lt;1,"ok","err")</f>
        <v>ok</v>
      </c>
    </row>
    <row r="229" spans="1:33">
      <c r="A229" s="165">
        <v>581</v>
      </c>
      <c r="B229" s="165" t="s">
        <v>1094</v>
      </c>
      <c r="C229" s="165" t="s">
        <v>1095</v>
      </c>
      <c r="D229" s="165" t="s">
        <v>1043</v>
      </c>
      <c r="F229" s="340">
        <v>583899.48</v>
      </c>
      <c r="H229" s="201">
        <f t="shared" si="104"/>
        <v>0</v>
      </c>
      <c r="I229" s="201">
        <f t="shared" si="104"/>
        <v>0</v>
      </c>
      <c r="J229" s="201">
        <f t="shared" si="104"/>
        <v>0</v>
      </c>
      <c r="K229" s="201">
        <f t="shared" si="104"/>
        <v>0</v>
      </c>
      <c r="L229" s="201">
        <f t="shared" si="104"/>
        <v>0</v>
      </c>
      <c r="M229" s="201">
        <f t="shared" si="104"/>
        <v>0</v>
      </c>
      <c r="N229" s="201">
        <f t="shared" si="104"/>
        <v>0</v>
      </c>
      <c r="O229" s="201">
        <f t="shared" si="104"/>
        <v>0</v>
      </c>
      <c r="P229" s="201">
        <f t="shared" si="104"/>
        <v>0</v>
      </c>
      <c r="Q229" s="201">
        <f t="shared" si="104"/>
        <v>0</v>
      </c>
      <c r="R229" s="201">
        <f t="shared" si="105"/>
        <v>583899.48</v>
      </c>
      <c r="S229" s="201">
        <f t="shared" si="105"/>
        <v>0</v>
      </c>
      <c r="T229" s="201">
        <f t="shared" si="105"/>
        <v>0</v>
      </c>
      <c r="U229" s="201">
        <f t="shared" si="105"/>
        <v>0</v>
      </c>
      <c r="V229" s="201">
        <f t="shared" si="105"/>
        <v>0</v>
      </c>
      <c r="W229" s="201">
        <f t="shared" si="105"/>
        <v>0</v>
      </c>
      <c r="X229" s="201">
        <f t="shared" si="105"/>
        <v>0</v>
      </c>
      <c r="Y229" s="201">
        <f t="shared" si="105"/>
        <v>0</v>
      </c>
      <c r="Z229" s="201">
        <f t="shared" si="105"/>
        <v>0</v>
      </c>
      <c r="AA229" s="201">
        <f t="shared" si="105"/>
        <v>0</v>
      </c>
      <c r="AB229" s="201">
        <f t="shared" si="105"/>
        <v>0</v>
      </c>
      <c r="AC229" s="201">
        <f t="shared" si="105"/>
        <v>0</v>
      </c>
      <c r="AD229" s="201">
        <f t="shared" si="105"/>
        <v>0</v>
      </c>
      <c r="AE229" s="201">
        <f t="shared" si="105"/>
        <v>0</v>
      </c>
      <c r="AF229" s="201">
        <f t="shared" si="106"/>
        <v>583899.48</v>
      </c>
      <c r="AG229" s="333" t="str">
        <f t="shared" si="107"/>
        <v>ok</v>
      </c>
    </row>
    <row r="230" spans="1:33">
      <c r="A230" s="165">
        <v>582</v>
      </c>
      <c r="B230" s="165" t="s">
        <v>1249</v>
      </c>
      <c r="C230" s="165" t="s">
        <v>1255</v>
      </c>
      <c r="D230" s="165" t="s">
        <v>1043</v>
      </c>
      <c r="F230" s="340">
        <v>1131097.92</v>
      </c>
      <c r="H230" s="201">
        <f t="shared" si="104"/>
        <v>0</v>
      </c>
      <c r="I230" s="201">
        <f t="shared" si="104"/>
        <v>0</v>
      </c>
      <c r="J230" s="201">
        <f t="shared" si="104"/>
        <v>0</v>
      </c>
      <c r="K230" s="201">
        <f t="shared" si="104"/>
        <v>0</v>
      </c>
      <c r="L230" s="201">
        <f t="shared" si="104"/>
        <v>0</v>
      </c>
      <c r="M230" s="201">
        <f t="shared" si="104"/>
        <v>0</v>
      </c>
      <c r="N230" s="201">
        <f t="shared" si="104"/>
        <v>0</v>
      </c>
      <c r="O230" s="201">
        <f t="shared" si="104"/>
        <v>0</v>
      </c>
      <c r="P230" s="201">
        <f t="shared" si="104"/>
        <v>0</v>
      </c>
      <c r="Q230" s="201">
        <f t="shared" si="104"/>
        <v>0</v>
      </c>
      <c r="R230" s="201">
        <f t="shared" si="105"/>
        <v>1131097.92</v>
      </c>
      <c r="S230" s="201">
        <f t="shared" si="105"/>
        <v>0</v>
      </c>
      <c r="T230" s="201">
        <f t="shared" si="105"/>
        <v>0</v>
      </c>
      <c r="U230" s="201">
        <f t="shared" si="105"/>
        <v>0</v>
      </c>
      <c r="V230" s="201">
        <f t="shared" si="105"/>
        <v>0</v>
      </c>
      <c r="W230" s="201">
        <f t="shared" si="105"/>
        <v>0</v>
      </c>
      <c r="X230" s="201">
        <f t="shared" si="105"/>
        <v>0</v>
      </c>
      <c r="Y230" s="201">
        <f t="shared" si="105"/>
        <v>0</v>
      </c>
      <c r="Z230" s="201">
        <f t="shared" si="105"/>
        <v>0</v>
      </c>
      <c r="AA230" s="201">
        <f t="shared" si="105"/>
        <v>0</v>
      </c>
      <c r="AB230" s="201">
        <f t="shared" si="105"/>
        <v>0</v>
      </c>
      <c r="AC230" s="201">
        <f t="shared" si="105"/>
        <v>0</v>
      </c>
      <c r="AD230" s="201">
        <f t="shared" si="105"/>
        <v>0</v>
      </c>
      <c r="AE230" s="201">
        <f t="shared" si="105"/>
        <v>0</v>
      </c>
      <c r="AF230" s="201">
        <f t="shared" si="106"/>
        <v>1131097.92</v>
      </c>
      <c r="AG230" s="333" t="str">
        <f t="shared" si="107"/>
        <v>ok</v>
      </c>
    </row>
    <row r="231" spans="1:33">
      <c r="A231" s="165">
        <v>583</v>
      </c>
      <c r="B231" s="165" t="s">
        <v>1096</v>
      </c>
      <c r="C231" s="165" t="s">
        <v>1097</v>
      </c>
      <c r="D231" s="165" t="s">
        <v>1046</v>
      </c>
      <c r="F231" s="340">
        <v>4528694.93</v>
      </c>
      <c r="H231" s="201">
        <f t="shared" si="104"/>
        <v>0</v>
      </c>
      <c r="I231" s="201">
        <f t="shared" si="104"/>
        <v>0</v>
      </c>
      <c r="J231" s="201">
        <f t="shared" si="104"/>
        <v>0</v>
      </c>
      <c r="K231" s="201">
        <f t="shared" si="104"/>
        <v>0</v>
      </c>
      <c r="L231" s="201">
        <f t="shared" si="104"/>
        <v>0</v>
      </c>
      <c r="M231" s="201">
        <f t="shared" si="104"/>
        <v>0</v>
      </c>
      <c r="N231" s="201">
        <f t="shared" si="104"/>
        <v>0</v>
      </c>
      <c r="O231" s="201">
        <f t="shared" si="104"/>
        <v>0</v>
      </c>
      <c r="P231" s="201">
        <f t="shared" si="104"/>
        <v>0</v>
      </c>
      <c r="Q231" s="201">
        <f t="shared" si="104"/>
        <v>0</v>
      </c>
      <c r="R231" s="201">
        <f t="shared" si="105"/>
        <v>0</v>
      </c>
      <c r="S231" s="201">
        <f t="shared" si="105"/>
        <v>0</v>
      </c>
      <c r="T231" s="201">
        <f t="shared" si="105"/>
        <v>1543039.5800242499</v>
      </c>
      <c r="U231" s="201">
        <f t="shared" si="105"/>
        <v>1853481.6174757497</v>
      </c>
      <c r="V231" s="201">
        <f t="shared" si="105"/>
        <v>514346.52667474997</v>
      </c>
      <c r="W231" s="201">
        <f t="shared" si="105"/>
        <v>617827.2058252499</v>
      </c>
      <c r="X231" s="201">
        <f t="shared" si="105"/>
        <v>0</v>
      </c>
      <c r="Y231" s="201">
        <f t="shared" si="105"/>
        <v>0</v>
      </c>
      <c r="Z231" s="201">
        <f t="shared" si="105"/>
        <v>0</v>
      </c>
      <c r="AA231" s="201">
        <f t="shared" si="105"/>
        <v>0</v>
      </c>
      <c r="AB231" s="201">
        <f t="shared" si="105"/>
        <v>0</v>
      </c>
      <c r="AC231" s="201">
        <f t="shared" si="105"/>
        <v>0</v>
      </c>
      <c r="AD231" s="201">
        <f t="shared" si="105"/>
        <v>0</v>
      </c>
      <c r="AE231" s="201">
        <f t="shared" si="105"/>
        <v>0</v>
      </c>
      <c r="AF231" s="201">
        <f t="shared" si="106"/>
        <v>4528694.93</v>
      </c>
      <c r="AG231" s="333" t="str">
        <f t="shared" si="107"/>
        <v>ok</v>
      </c>
    </row>
    <row r="232" spans="1:33">
      <c r="A232" s="165">
        <v>584</v>
      </c>
      <c r="B232" s="165" t="s">
        <v>1098</v>
      </c>
      <c r="C232" s="165" t="s">
        <v>1099</v>
      </c>
      <c r="D232" s="165" t="s">
        <v>1049</v>
      </c>
      <c r="F232" s="340">
        <v>674009.92</v>
      </c>
      <c r="H232" s="201">
        <f t="shared" si="104"/>
        <v>0</v>
      </c>
      <c r="I232" s="201">
        <f t="shared" si="104"/>
        <v>0</v>
      </c>
      <c r="J232" s="201">
        <f t="shared" si="104"/>
        <v>0</v>
      </c>
      <c r="K232" s="201">
        <f t="shared" si="104"/>
        <v>0</v>
      </c>
      <c r="L232" s="201">
        <f t="shared" si="104"/>
        <v>0</v>
      </c>
      <c r="M232" s="201">
        <f t="shared" si="104"/>
        <v>0</v>
      </c>
      <c r="N232" s="201">
        <f t="shared" si="104"/>
        <v>0</v>
      </c>
      <c r="O232" s="201">
        <f t="shared" si="104"/>
        <v>0</v>
      </c>
      <c r="P232" s="201">
        <f t="shared" si="104"/>
        <v>0</v>
      </c>
      <c r="Q232" s="201">
        <f t="shared" si="104"/>
        <v>0</v>
      </c>
      <c r="R232" s="201">
        <f t="shared" si="105"/>
        <v>0</v>
      </c>
      <c r="S232" s="201">
        <f t="shared" si="105"/>
        <v>0</v>
      </c>
      <c r="T232" s="201">
        <f t="shared" si="105"/>
        <v>125315.29437600001</v>
      </c>
      <c r="U232" s="201">
        <f t="shared" si="105"/>
        <v>380192.145624</v>
      </c>
      <c r="V232" s="201">
        <f t="shared" si="105"/>
        <v>41771.764792000002</v>
      </c>
      <c r="W232" s="201">
        <f t="shared" si="105"/>
        <v>126730.71520800001</v>
      </c>
      <c r="X232" s="201">
        <f t="shared" si="105"/>
        <v>0</v>
      </c>
      <c r="Y232" s="201">
        <f t="shared" si="105"/>
        <v>0</v>
      </c>
      <c r="Z232" s="201">
        <f t="shared" si="105"/>
        <v>0</v>
      </c>
      <c r="AA232" s="201">
        <f t="shared" si="105"/>
        <v>0</v>
      </c>
      <c r="AB232" s="201">
        <f t="shared" si="105"/>
        <v>0</v>
      </c>
      <c r="AC232" s="201">
        <f t="shared" si="105"/>
        <v>0</v>
      </c>
      <c r="AD232" s="201">
        <f t="shared" si="105"/>
        <v>0</v>
      </c>
      <c r="AE232" s="201">
        <f t="shared" si="105"/>
        <v>0</v>
      </c>
      <c r="AF232" s="201">
        <f t="shared" si="106"/>
        <v>674009.92</v>
      </c>
      <c r="AG232" s="333" t="str">
        <f t="shared" si="107"/>
        <v>ok</v>
      </c>
    </row>
    <row r="233" spans="1:33">
      <c r="A233" s="165">
        <v>585</v>
      </c>
      <c r="B233" s="165" t="s">
        <v>1100</v>
      </c>
      <c r="C233" s="165" t="s">
        <v>1101</v>
      </c>
      <c r="D233" s="165" t="s">
        <v>1057</v>
      </c>
      <c r="F233" s="340">
        <v>0</v>
      </c>
      <c r="H233" s="201">
        <f t="shared" si="104"/>
        <v>0</v>
      </c>
      <c r="I233" s="201">
        <f t="shared" si="104"/>
        <v>0</v>
      </c>
      <c r="J233" s="201">
        <f t="shared" si="104"/>
        <v>0</v>
      </c>
      <c r="K233" s="201">
        <f t="shared" si="104"/>
        <v>0</v>
      </c>
      <c r="L233" s="201">
        <f t="shared" si="104"/>
        <v>0</v>
      </c>
      <c r="M233" s="201">
        <f t="shared" si="104"/>
        <v>0</v>
      </c>
      <c r="N233" s="201">
        <f t="shared" si="104"/>
        <v>0</v>
      </c>
      <c r="O233" s="201">
        <f t="shared" si="104"/>
        <v>0</v>
      </c>
      <c r="P233" s="201">
        <f t="shared" si="104"/>
        <v>0</v>
      </c>
      <c r="Q233" s="201">
        <f t="shared" si="104"/>
        <v>0</v>
      </c>
      <c r="R233" s="201">
        <f t="shared" si="105"/>
        <v>0</v>
      </c>
      <c r="S233" s="201">
        <f t="shared" si="105"/>
        <v>0</v>
      </c>
      <c r="T233" s="201">
        <f t="shared" si="105"/>
        <v>0</v>
      </c>
      <c r="U233" s="201">
        <f t="shared" si="105"/>
        <v>0</v>
      </c>
      <c r="V233" s="201">
        <f t="shared" si="105"/>
        <v>0</v>
      </c>
      <c r="W233" s="201">
        <f t="shared" si="105"/>
        <v>0</v>
      </c>
      <c r="X233" s="201">
        <f t="shared" si="105"/>
        <v>0</v>
      </c>
      <c r="Y233" s="201">
        <f t="shared" si="105"/>
        <v>0</v>
      </c>
      <c r="Z233" s="201">
        <f t="shared" si="105"/>
        <v>0</v>
      </c>
      <c r="AA233" s="201">
        <f t="shared" si="105"/>
        <v>0</v>
      </c>
      <c r="AB233" s="201">
        <f t="shared" si="105"/>
        <v>0</v>
      </c>
      <c r="AC233" s="201">
        <f t="shared" si="105"/>
        <v>0</v>
      </c>
      <c r="AD233" s="201">
        <f t="shared" si="105"/>
        <v>0</v>
      </c>
      <c r="AE233" s="201">
        <f t="shared" si="105"/>
        <v>0</v>
      </c>
      <c r="AF233" s="201">
        <f t="shared" si="106"/>
        <v>0</v>
      </c>
      <c r="AG233" s="333" t="str">
        <f t="shared" si="107"/>
        <v>ok</v>
      </c>
    </row>
    <row r="234" spans="1:33">
      <c r="A234" s="165">
        <v>586</v>
      </c>
      <c r="B234" s="165" t="s">
        <v>1102</v>
      </c>
      <c r="C234" s="165" t="s">
        <v>1103</v>
      </c>
      <c r="D234" s="165" t="s">
        <v>1054</v>
      </c>
      <c r="F234" s="340">
        <v>6212508.4299999997</v>
      </c>
      <c r="H234" s="201">
        <f t="shared" si="104"/>
        <v>0</v>
      </c>
      <c r="I234" s="201">
        <f t="shared" si="104"/>
        <v>0</v>
      </c>
      <c r="J234" s="201">
        <f t="shared" si="104"/>
        <v>0</v>
      </c>
      <c r="K234" s="201">
        <f t="shared" si="104"/>
        <v>0</v>
      </c>
      <c r="L234" s="201">
        <f t="shared" si="104"/>
        <v>0</v>
      </c>
      <c r="M234" s="201">
        <f t="shared" si="104"/>
        <v>0</v>
      </c>
      <c r="N234" s="201">
        <f t="shared" si="104"/>
        <v>0</v>
      </c>
      <c r="O234" s="201">
        <f t="shared" si="104"/>
        <v>0</v>
      </c>
      <c r="P234" s="201">
        <f t="shared" si="104"/>
        <v>0</v>
      </c>
      <c r="Q234" s="201">
        <f t="shared" si="104"/>
        <v>0</v>
      </c>
      <c r="R234" s="201">
        <f t="shared" si="105"/>
        <v>0</v>
      </c>
      <c r="S234" s="201">
        <f t="shared" si="105"/>
        <v>0</v>
      </c>
      <c r="T234" s="201">
        <f t="shared" si="105"/>
        <v>0</v>
      </c>
      <c r="U234" s="201">
        <f t="shared" si="105"/>
        <v>0</v>
      </c>
      <c r="V234" s="201">
        <f t="shared" si="105"/>
        <v>0</v>
      </c>
      <c r="W234" s="201">
        <f t="shared" si="105"/>
        <v>0</v>
      </c>
      <c r="X234" s="201">
        <f t="shared" si="105"/>
        <v>0</v>
      </c>
      <c r="Y234" s="201">
        <f t="shared" si="105"/>
        <v>0</v>
      </c>
      <c r="Z234" s="201">
        <f t="shared" si="105"/>
        <v>0</v>
      </c>
      <c r="AA234" s="201">
        <f t="shared" si="105"/>
        <v>6212508.4299999997</v>
      </c>
      <c r="AB234" s="201">
        <f t="shared" si="105"/>
        <v>0</v>
      </c>
      <c r="AC234" s="201">
        <f t="shared" si="105"/>
        <v>0</v>
      </c>
      <c r="AD234" s="201">
        <f t="shared" si="105"/>
        <v>0</v>
      </c>
      <c r="AE234" s="201">
        <f t="shared" si="105"/>
        <v>0</v>
      </c>
      <c r="AF234" s="201">
        <f t="shared" si="106"/>
        <v>6212508.4299999997</v>
      </c>
      <c r="AG234" s="333" t="str">
        <f t="shared" si="107"/>
        <v>ok</v>
      </c>
    </row>
    <row r="235" spans="1:33">
      <c r="A235" s="165">
        <v>586</v>
      </c>
      <c r="B235" s="165" t="s">
        <v>27</v>
      </c>
      <c r="C235" s="165" t="s">
        <v>28</v>
      </c>
      <c r="D235" s="165" t="s">
        <v>42</v>
      </c>
      <c r="F235" s="340">
        <v>0</v>
      </c>
      <c r="H235" s="201">
        <f t="shared" si="104"/>
        <v>0</v>
      </c>
      <c r="I235" s="201">
        <f t="shared" si="104"/>
        <v>0</v>
      </c>
      <c r="J235" s="201">
        <f t="shared" si="104"/>
        <v>0</v>
      </c>
      <c r="K235" s="201">
        <f t="shared" si="104"/>
        <v>0</v>
      </c>
      <c r="L235" s="201">
        <f t="shared" si="104"/>
        <v>0</v>
      </c>
      <c r="M235" s="201">
        <f t="shared" si="104"/>
        <v>0</v>
      </c>
      <c r="N235" s="201">
        <f t="shared" si="104"/>
        <v>0</v>
      </c>
      <c r="O235" s="201">
        <f t="shared" si="104"/>
        <v>0</v>
      </c>
      <c r="P235" s="201">
        <f t="shared" si="104"/>
        <v>0</v>
      </c>
      <c r="Q235" s="201">
        <f t="shared" si="104"/>
        <v>0</v>
      </c>
      <c r="R235" s="201">
        <f t="shared" si="105"/>
        <v>0</v>
      </c>
      <c r="S235" s="201">
        <f t="shared" si="105"/>
        <v>0</v>
      </c>
      <c r="T235" s="201">
        <f t="shared" si="105"/>
        <v>0</v>
      </c>
      <c r="U235" s="201">
        <f t="shared" si="105"/>
        <v>0</v>
      </c>
      <c r="V235" s="201">
        <f t="shared" si="105"/>
        <v>0</v>
      </c>
      <c r="W235" s="201">
        <f t="shared" si="105"/>
        <v>0</v>
      </c>
      <c r="X235" s="201">
        <f t="shared" si="105"/>
        <v>0</v>
      </c>
      <c r="Y235" s="201">
        <f t="shared" si="105"/>
        <v>0</v>
      </c>
      <c r="Z235" s="201">
        <f t="shared" si="105"/>
        <v>0</v>
      </c>
      <c r="AA235" s="201">
        <f t="shared" si="105"/>
        <v>0</v>
      </c>
      <c r="AB235" s="201">
        <f t="shared" si="105"/>
        <v>0</v>
      </c>
      <c r="AC235" s="201">
        <f t="shared" si="105"/>
        <v>0</v>
      </c>
      <c r="AD235" s="201">
        <f t="shared" si="105"/>
        <v>0</v>
      </c>
      <c r="AE235" s="201">
        <f t="shared" si="105"/>
        <v>0</v>
      </c>
      <c r="AF235" s="201">
        <f t="shared" si="106"/>
        <v>0</v>
      </c>
      <c r="AG235" s="333" t="str">
        <f t="shared" si="107"/>
        <v>ok</v>
      </c>
    </row>
    <row r="236" spans="1:33">
      <c r="A236" s="165">
        <v>587</v>
      </c>
      <c r="B236" s="165" t="s">
        <v>1104</v>
      </c>
      <c r="C236" s="165" t="s">
        <v>1105</v>
      </c>
      <c r="D236" s="165" t="s">
        <v>1039</v>
      </c>
      <c r="F236" s="340">
        <v>-192841.99</v>
      </c>
      <c r="H236" s="201">
        <f t="shared" si="104"/>
        <v>0</v>
      </c>
      <c r="I236" s="201">
        <f t="shared" si="104"/>
        <v>0</v>
      </c>
      <c r="J236" s="201">
        <f t="shared" si="104"/>
        <v>0</v>
      </c>
      <c r="K236" s="201">
        <f t="shared" si="104"/>
        <v>0</v>
      </c>
      <c r="L236" s="201">
        <f t="shared" si="104"/>
        <v>0</v>
      </c>
      <c r="M236" s="201">
        <f t="shared" si="104"/>
        <v>0</v>
      </c>
      <c r="N236" s="201">
        <f t="shared" si="104"/>
        <v>0</v>
      </c>
      <c r="O236" s="201">
        <f t="shared" si="104"/>
        <v>0</v>
      </c>
      <c r="P236" s="201">
        <f t="shared" si="104"/>
        <v>0</v>
      </c>
      <c r="Q236" s="201">
        <f t="shared" si="104"/>
        <v>0</v>
      </c>
      <c r="R236" s="201">
        <f t="shared" si="105"/>
        <v>-21202.467968817185</v>
      </c>
      <c r="S236" s="201">
        <f t="shared" si="105"/>
        <v>0</v>
      </c>
      <c r="T236" s="201">
        <f t="shared" si="105"/>
        <v>-32647.459808736639</v>
      </c>
      <c r="U236" s="201">
        <f t="shared" si="105"/>
        <v>-53446.736833117015</v>
      </c>
      <c r="V236" s="201">
        <f t="shared" si="105"/>
        <v>-10882.486602912211</v>
      </c>
      <c r="W236" s="201">
        <f t="shared" si="105"/>
        <v>-17815.578944372337</v>
      </c>
      <c r="X236" s="201">
        <f t="shared" si="105"/>
        <v>-15242.594400969863</v>
      </c>
      <c r="Y236" s="201">
        <f t="shared" si="105"/>
        <v>-12122.925169891651</v>
      </c>
      <c r="Z236" s="201">
        <f t="shared" si="105"/>
        <v>-5550.6078046777129</v>
      </c>
      <c r="AA236" s="201">
        <f t="shared" si="105"/>
        <v>-7479.6455040352294</v>
      </c>
      <c r="AB236" s="201">
        <f t="shared" si="105"/>
        <v>-16451.486962470153</v>
      </c>
      <c r="AC236" s="201">
        <f t="shared" si="105"/>
        <v>0</v>
      </c>
      <c r="AD236" s="201">
        <f t="shared" si="105"/>
        <v>0</v>
      </c>
      <c r="AE236" s="201">
        <f t="shared" si="105"/>
        <v>0</v>
      </c>
      <c r="AF236" s="201">
        <f t="shared" si="106"/>
        <v>-192841.99</v>
      </c>
      <c r="AG236" s="333" t="str">
        <f t="shared" si="107"/>
        <v>ok</v>
      </c>
    </row>
    <row r="237" spans="1:33">
      <c r="A237" s="165">
        <v>588</v>
      </c>
      <c r="B237" s="165" t="s">
        <v>1106</v>
      </c>
      <c r="C237" s="165" t="s">
        <v>1107</v>
      </c>
      <c r="D237" s="165" t="s">
        <v>1039</v>
      </c>
      <c r="F237" s="340">
        <v>2989236.87</v>
      </c>
      <c r="H237" s="201">
        <f t="shared" si="104"/>
        <v>0</v>
      </c>
      <c r="I237" s="201">
        <f t="shared" si="104"/>
        <v>0</v>
      </c>
      <c r="J237" s="201">
        <f t="shared" si="104"/>
        <v>0</v>
      </c>
      <c r="K237" s="201">
        <f t="shared" si="104"/>
        <v>0</v>
      </c>
      <c r="L237" s="201">
        <f t="shared" si="104"/>
        <v>0</v>
      </c>
      <c r="M237" s="201">
        <f t="shared" si="104"/>
        <v>0</v>
      </c>
      <c r="N237" s="201">
        <f t="shared" si="104"/>
        <v>0</v>
      </c>
      <c r="O237" s="201">
        <f t="shared" si="104"/>
        <v>0</v>
      </c>
      <c r="P237" s="201">
        <f t="shared" si="104"/>
        <v>0</v>
      </c>
      <c r="Q237" s="201">
        <f t="shared" si="104"/>
        <v>0</v>
      </c>
      <c r="R237" s="201">
        <f t="shared" si="105"/>
        <v>328658.70647457195</v>
      </c>
      <c r="S237" s="201">
        <f t="shared" si="105"/>
        <v>0</v>
      </c>
      <c r="T237" s="201">
        <f t="shared" si="105"/>
        <v>506067.12040317943</v>
      </c>
      <c r="U237" s="201">
        <f t="shared" si="105"/>
        <v>828475.97830088995</v>
      </c>
      <c r="V237" s="201">
        <f t="shared" si="105"/>
        <v>168689.04013439312</v>
      </c>
      <c r="W237" s="201">
        <f t="shared" si="105"/>
        <v>276158.65943362995</v>
      </c>
      <c r="X237" s="201">
        <f t="shared" si="105"/>
        <v>236274.91698169411</v>
      </c>
      <c r="Y237" s="201">
        <f t="shared" si="105"/>
        <v>187917.03451147303</v>
      </c>
      <c r="Z237" s="201">
        <f t="shared" si="105"/>
        <v>86039.775365584952</v>
      </c>
      <c r="AA237" s="201">
        <f t="shared" si="105"/>
        <v>115941.72055158654</v>
      </c>
      <c r="AB237" s="201">
        <f t="shared" si="105"/>
        <v>255013.91784299721</v>
      </c>
      <c r="AC237" s="201">
        <f t="shared" si="105"/>
        <v>0</v>
      </c>
      <c r="AD237" s="201">
        <f t="shared" si="105"/>
        <v>0</v>
      </c>
      <c r="AE237" s="201">
        <f t="shared" si="105"/>
        <v>0</v>
      </c>
      <c r="AF237" s="201">
        <f t="shared" si="106"/>
        <v>2989236.8700000006</v>
      </c>
      <c r="AG237" s="333" t="str">
        <f t="shared" si="107"/>
        <v>ok</v>
      </c>
    </row>
    <row r="238" spans="1:33">
      <c r="A238" s="165">
        <v>588</v>
      </c>
      <c r="B238" s="165" t="s">
        <v>189</v>
      </c>
      <c r="C238" s="165" t="s">
        <v>118</v>
      </c>
      <c r="D238" s="165" t="s">
        <v>1039</v>
      </c>
      <c r="F238" s="340">
        <v>0</v>
      </c>
      <c r="H238" s="201">
        <f t="shared" si="104"/>
        <v>0</v>
      </c>
      <c r="I238" s="201">
        <f t="shared" si="104"/>
        <v>0</v>
      </c>
      <c r="J238" s="201">
        <f t="shared" si="104"/>
        <v>0</v>
      </c>
      <c r="K238" s="201">
        <f t="shared" si="104"/>
        <v>0</v>
      </c>
      <c r="L238" s="201">
        <f t="shared" si="104"/>
        <v>0</v>
      </c>
      <c r="M238" s="201">
        <f t="shared" si="104"/>
        <v>0</v>
      </c>
      <c r="N238" s="201">
        <f t="shared" si="104"/>
        <v>0</v>
      </c>
      <c r="O238" s="201">
        <f t="shared" si="104"/>
        <v>0</v>
      </c>
      <c r="P238" s="201">
        <f t="shared" si="104"/>
        <v>0</v>
      </c>
      <c r="Q238" s="201">
        <f t="shared" si="104"/>
        <v>0</v>
      </c>
      <c r="R238" s="201">
        <f t="shared" si="105"/>
        <v>0</v>
      </c>
      <c r="S238" s="201">
        <f t="shared" si="105"/>
        <v>0</v>
      </c>
      <c r="T238" s="201">
        <f t="shared" si="105"/>
        <v>0</v>
      </c>
      <c r="U238" s="201">
        <f t="shared" si="105"/>
        <v>0</v>
      </c>
      <c r="V238" s="201">
        <f t="shared" si="105"/>
        <v>0</v>
      </c>
      <c r="W238" s="201">
        <f t="shared" si="105"/>
        <v>0</v>
      </c>
      <c r="X238" s="201">
        <f t="shared" si="105"/>
        <v>0</v>
      </c>
      <c r="Y238" s="201">
        <f t="shared" si="105"/>
        <v>0</v>
      </c>
      <c r="Z238" s="201">
        <f t="shared" si="105"/>
        <v>0</v>
      </c>
      <c r="AA238" s="201">
        <f t="shared" si="105"/>
        <v>0</v>
      </c>
      <c r="AB238" s="201">
        <f t="shared" si="105"/>
        <v>0</v>
      </c>
      <c r="AC238" s="201">
        <f t="shared" si="105"/>
        <v>0</v>
      </c>
      <c r="AD238" s="201">
        <f t="shared" si="105"/>
        <v>0</v>
      </c>
      <c r="AE238" s="201">
        <f t="shared" si="105"/>
        <v>0</v>
      </c>
      <c r="AF238" s="201">
        <f t="shared" si="106"/>
        <v>0</v>
      </c>
      <c r="AG238" s="333" t="str">
        <f t="shared" si="107"/>
        <v>ok</v>
      </c>
    </row>
    <row r="239" spans="1:33">
      <c r="A239" s="165">
        <v>589</v>
      </c>
      <c r="B239" s="165" t="s">
        <v>1108</v>
      </c>
      <c r="C239" s="165" t="s">
        <v>1109</v>
      </c>
      <c r="D239" s="165" t="s">
        <v>1039</v>
      </c>
      <c r="F239" s="340">
        <v>13308.66</v>
      </c>
      <c r="H239" s="201">
        <f t="shared" si="104"/>
        <v>0</v>
      </c>
      <c r="I239" s="201">
        <f t="shared" si="104"/>
        <v>0</v>
      </c>
      <c r="J239" s="201">
        <f t="shared" si="104"/>
        <v>0</v>
      </c>
      <c r="K239" s="201">
        <f t="shared" si="104"/>
        <v>0</v>
      </c>
      <c r="L239" s="201">
        <f t="shared" si="104"/>
        <v>0</v>
      </c>
      <c r="M239" s="201">
        <f t="shared" si="104"/>
        <v>0</v>
      </c>
      <c r="N239" s="201">
        <f t="shared" si="104"/>
        <v>0</v>
      </c>
      <c r="O239" s="201">
        <f t="shared" si="104"/>
        <v>0</v>
      </c>
      <c r="P239" s="201">
        <f t="shared" si="104"/>
        <v>0</v>
      </c>
      <c r="Q239" s="201">
        <f t="shared" si="104"/>
        <v>0</v>
      </c>
      <c r="R239" s="201">
        <f t="shared" si="105"/>
        <v>1463.2520508519879</v>
      </c>
      <c r="S239" s="201">
        <f t="shared" si="105"/>
        <v>0</v>
      </c>
      <c r="T239" s="201">
        <f t="shared" si="105"/>
        <v>2253.1085810623558</v>
      </c>
      <c r="U239" s="201">
        <f t="shared" si="105"/>
        <v>3688.5350987169918</v>
      </c>
      <c r="V239" s="201">
        <f t="shared" si="105"/>
        <v>751.03619368745171</v>
      </c>
      <c r="W239" s="201">
        <f t="shared" si="105"/>
        <v>1229.5116995723306</v>
      </c>
      <c r="X239" s="201">
        <f t="shared" si="105"/>
        <v>1051.9415735152475</v>
      </c>
      <c r="Y239" s="201">
        <f t="shared" si="105"/>
        <v>836.64293907945159</v>
      </c>
      <c r="Z239" s="201">
        <f t="shared" si="105"/>
        <v>383.06570091815632</v>
      </c>
      <c r="AA239" s="201">
        <f t="shared" si="105"/>
        <v>516.19493728380166</v>
      </c>
      <c r="AB239" s="201">
        <f t="shared" si="105"/>
        <v>1135.371225312226</v>
      </c>
      <c r="AC239" s="201">
        <f t="shared" si="105"/>
        <v>0</v>
      </c>
      <c r="AD239" s="201">
        <f t="shared" si="105"/>
        <v>0</v>
      </c>
      <c r="AE239" s="201">
        <f t="shared" si="105"/>
        <v>0</v>
      </c>
      <c r="AF239" s="201">
        <f t="shared" si="106"/>
        <v>13308.659999999998</v>
      </c>
      <c r="AG239" s="333" t="str">
        <f t="shared" si="107"/>
        <v>ok</v>
      </c>
    </row>
    <row r="240" spans="1:33">
      <c r="F240" s="340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G240" s="333"/>
    </row>
    <row r="241" spans="1:33">
      <c r="A241" s="165" t="s">
        <v>1110</v>
      </c>
      <c r="C241" s="165" t="s">
        <v>1111</v>
      </c>
      <c r="F241" s="203">
        <f t="shared" ref="F241:M241" si="108">SUM(F228:F240)</f>
        <v>18470647.689999998</v>
      </c>
      <c r="G241" s="347">
        <f t="shared" si="108"/>
        <v>0</v>
      </c>
      <c r="H241" s="347">
        <f t="shared" si="108"/>
        <v>0</v>
      </c>
      <c r="I241" s="347">
        <f t="shared" si="108"/>
        <v>0</v>
      </c>
      <c r="J241" s="347">
        <f t="shared" si="108"/>
        <v>0</v>
      </c>
      <c r="K241" s="347">
        <f t="shared" si="108"/>
        <v>0</v>
      </c>
      <c r="L241" s="347">
        <f t="shared" si="108"/>
        <v>0</v>
      </c>
      <c r="M241" s="347">
        <f t="shared" si="108"/>
        <v>0</v>
      </c>
      <c r="N241" s="347">
        <f>SUM(N228:N240)</f>
        <v>0</v>
      </c>
      <c r="O241" s="347">
        <f>SUM(O228:O240)</f>
        <v>0</v>
      </c>
      <c r="P241" s="347">
        <f>SUM(P228:P240)</f>
        <v>0</v>
      </c>
      <c r="Q241" s="347">
        <f t="shared" ref="Q241:AB241" si="109">SUM(Q228:Q240)</f>
        <v>0</v>
      </c>
      <c r="R241" s="347">
        <f t="shared" si="109"/>
        <v>2372767.1880916837</v>
      </c>
      <c r="S241" s="347">
        <f t="shared" si="109"/>
        <v>0</v>
      </c>
      <c r="T241" s="347">
        <f t="shared" si="109"/>
        <v>2496836.2228586692</v>
      </c>
      <c r="U241" s="347">
        <f t="shared" si="109"/>
        <v>3487057.206626317</v>
      </c>
      <c r="V241" s="347">
        <f t="shared" si="109"/>
        <v>832278.74095288967</v>
      </c>
      <c r="W241" s="347">
        <f t="shared" si="109"/>
        <v>1162352.4022087723</v>
      </c>
      <c r="X241" s="347">
        <f t="shared" si="109"/>
        <v>255243.47058228281</v>
      </c>
      <c r="Y241" s="347">
        <f t="shared" si="109"/>
        <v>203003.33477190536</v>
      </c>
      <c r="Z241" s="347">
        <f t="shared" si="109"/>
        <v>92947.195381443671</v>
      </c>
      <c r="AA241" s="347">
        <f t="shared" si="109"/>
        <v>7292675.0581102706</v>
      </c>
      <c r="AB241" s="347">
        <f t="shared" si="109"/>
        <v>275486.87041576562</v>
      </c>
      <c r="AC241" s="347">
        <f>SUM(AC228:AC240)</f>
        <v>0</v>
      </c>
      <c r="AD241" s="347">
        <f>SUM(AD228:AD240)</f>
        <v>0</v>
      </c>
      <c r="AE241" s="347">
        <f>SUM(AE228:AE240)</f>
        <v>0</v>
      </c>
      <c r="AF241" s="201">
        <f>SUM(H241:AE241)</f>
        <v>18470647.690000001</v>
      </c>
      <c r="AG241" s="333" t="str">
        <f>IF(ABS(AF241-F241)&lt;1,"ok","err")</f>
        <v>ok</v>
      </c>
    </row>
    <row r="242" spans="1:33">
      <c r="F242" s="203"/>
      <c r="G242" s="347"/>
      <c r="H242" s="347"/>
      <c r="I242" s="347"/>
      <c r="J242" s="347"/>
      <c r="K242" s="347"/>
      <c r="L242" s="347"/>
      <c r="M242" s="347"/>
      <c r="N242" s="347"/>
      <c r="O242" s="347"/>
      <c r="P242" s="347"/>
      <c r="Q242" s="347"/>
      <c r="R242" s="347"/>
      <c r="S242" s="347"/>
      <c r="T242" s="347"/>
      <c r="U242" s="347"/>
      <c r="V242" s="347"/>
      <c r="W242" s="347"/>
      <c r="X242" s="347"/>
      <c r="Y242" s="347"/>
      <c r="Z242" s="347"/>
      <c r="AA242" s="347"/>
      <c r="AB242" s="347"/>
      <c r="AC242" s="347"/>
      <c r="AD242" s="347"/>
      <c r="AE242" s="347"/>
      <c r="AF242" s="201"/>
      <c r="AG242" s="333"/>
    </row>
    <row r="243" spans="1:33">
      <c r="F243" s="340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  <c r="S243" s="201"/>
      <c r="T243" s="201"/>
      <c r="U243" s="201"/>
      <c r="V243" s="201"/>
      <c r="W243" s="201"/>
      <c r="X243" s="201"/>
      <c r="Y243" s="201"/>
      <c r="Z243" s="201"/>
      <c r="AA243" s="201"/>
      <c r="AB243" s="201"/>
      <c r="AC243" s="201"/>
      <c r="AD243" s="201"/>
      <c r="AE243" s="201"/>
      <c r="AG243" s="333"/>
    </row>
    <row r="244" spans="1:33">
      <c r="A244" s="5" t="s">
        <v>1112</v>
      </c>
      <c r="F244" s="340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  <c r="S244" s="201"/>
      <c r="T244" s="201"/>
      <c r="U244" s="201"/>
      <c r="V244" s="201"/>
      <c r="W244" s="201"/>
      <c r="X244" s="201"/>
      <c r="Y244" s="201"/>
      <c r="Z244" s="201"/>
      <c r="AA244" s="201"/>
      <c r="AB244" s="201"/>
      <c r="AC244" s="201"/>
      <c r="AD244" s="201"/>
      <c r="AE244" s="201"/>
      <c r="AG244" s="333"/>
    </row>
    <row r="245" spans="1:33">
      <c r="A245" s="318">
        <v>590</v>
      </c>
      <c r="B245" s="318" t="s">
        <v>1113</v>
      </c>
      <c r="C245" s="165" t="s">
        <v>1114</v>
      </c>
      <c r="D245" s="165" t="s">
        <v>73</v>
      </c>
      <c r="F245" s="203">
        <v>351678.76</v>
      </c>
      <c r="H245" s="201">
        <f t="shared" ref="H245:Q253" si="110">IF(VLOOKUP($D245,$C$6:$AE$598,H$2,)=0,0,((VLOOKUP($D245,$C$6:$AE$598,H$2,)/VLOOKUP($D245,$C$6:$AE$598,4,))*$F245))</f>
        <v>0</v>
      </c>
      <c r="I245" s="201">
        <f t="shared" si="110"/>
        <v>0</v>
      </c>
      <c r="J245" s="201">
        <f t="shared" si="110"/>
        <v>0</v>
      </c>
      <c r="K245" s="201">
        <f t="shared" si="110"/>
        <v>0</v>
      </c>
      <c r="L245" s="201">
        <f t="shared" si="110"/>
        <v>0</v>
      </c>
      <c r="M245" s="201">
        <f t="shared" si="110"/>
        <v>0</v>
      </c>
      <c r="N245" s="201">
        <f t="shared" si="110"/>
        <v>0</v>
      </c>
      <c r="O245" s="201">
        <f t="shared" si="110"/>
        <v>0</v>
      </c>
      <c r="P245" s="201">
        <f t="shared" si="110"/>
        <v>0</v>
      </c>
      <c r="Q245" s="201">
        <f t="shared" si="110"/>
        <v>0</v>
      </c>
      <c r="R245" s="201">
        <f t="shared" ref="R245:AE253" si="111">IF(VLOOKUP($D245,$C$6:$AE$598,R$2,)=0,0,((VLOOKUP($D245,$C$6:$AE$598,R$2,)/VLOOKUP($D245,$C$6:$AE$598,4,))*$F245))</f>
        <v>26180.140283441593</v>
      </c>
      <c r="S245" s="201">
        <f t="shared" si="111"/>
        <v>0</v>
      </c>
      <c r="T245" s="201">
        <f t="shared" si="111"/>
        <v>97319.45142151945</v>
      </c>
      <c r="U245" s="201">
        <f t="shared" si="111"/>
        <v>134714.8243692253</v>
      </c>
      <c r="V245" s="201">
        <f t="shared" si="111"/>
        <v>32439.817140506486</v>
      </c>
      <c r="W245" s="201">
        <f t="shared" si="111"/>
        <v>44904.941456408444</v>
      </c>
      <c r="X245" s="201">
        <f t="shared" si="111"/>
        <v>7885.3647123588098</v>
      </c>
      <c r="Y245" s="201">
        <f t="shared" si="111"/>
        <v>6271.4839633302554</v>
      </c>
      <c r="Z245" s="201">
        <f t="shared" si="111"/>
        <v>193.0997578888547</v>
      </c>
      <c r="AA245" s="201">
        <f t="shared" si="111"/>
        <v>260.20893328231199</v>
      </c>
      <c r="AB245" s="201">
        <f t="shared" si="111"/>
        <v>1509.4279620384887</v>
      </c>
      <c r="AC245" s="201">
        <f t="shared" si="111"/>
        <v>0</v>
      </c>
      <c r="AD245" s="201">
        <f t="shared" si="111"/>
        <v>0</v>
      </c>
      <c r="AE245" s="201">
        <f t="shared" si="111"/>
        <v>0</v>
      </c>
      <c r="AF245" s="201">
        <f t="shared" ref="AF245:AF253" si="112">SUM(H245:AE245)</f>
        <v>351678.76</v>
      </c>
      <c r="AG245" s="333" t="str">
        <f>IF(ABS(AF245-F245)&lt;1,"ok","err")</f>
        <v>ok</v>
      </c>
    </row>
    <row r="246" spans="1:33">
      <c r="A246" s="318">
        <v>591</v>
      </c>
      <c r="B246" s="318" t="s">
        <v>282</v>
      </c>
      <c r="C246" s="165" t="s">
        <v>288</v>
      </c>
      <c r="D246" s="165" t="s">
        <v>1043</v>
      </c>
      <c r="F246" s="340">
        <v>784052.8</v>
      </c>
      <c r="H246" s="201">
        <f t="shared" si="110"/>
        <v>0</v>
      </c>
      <c r="I246" s="201">
        <f t="shared" si="110"/>
        <v>0</v>
      </c>
      <c r="J246" s="201">
        <f t="shared" si="110"/>
        <v>0</v>
      </c>
      <c r="K246" s="201">
        <f t="shared" si="110"/>
        <v>0</v>
      </c>
      <c r="L246" s="201">
        <f t="shared" si="110"/>
        <v>0</v>
      </c>
      <c r="M246" s="201">
        <f t="shared" si="110"/>
        <v>0</v>
      </c>
      <c r="N246" s="201">
        <f t="shared" si="110"/>
        <v>0</v>
      </c>
      <c r="O246" s="201">
        <f t="shared" si="110"/>
        <v>0</v>
      </c>
      <c r="P246" s="201">
        <f t="shared" si="110"/>
        <v>0</v>
      </c>
      <c r="Q246" s="201">
        <f t="shared" si="110"/>
        <v>0</v>
      </c>
      <c r="R246" s="201">
        <f t="shared" si="111"/>
        <v>784052.8</v>
      </c>
      <c r="S246" s="201">
        <f t="shared" si="111"/>
        <v>0</v>
      </c>
      <c r="T246" s="201">
        <f t="shared" si="111"/>
        <v>0</v>
      </c>
      <c r="U246" s="201">
        <f t="shared" si="111"/>
        <v>0</v>
      </c>
      <c r="V246" s="201">
        <f t="shared" si="111"/>
        <v>0</v>
      </c>
      <c r="W246" s="201">
        <f t="shared" si="111"/>
        <v>0</v>
      </c>
      <c r="X246" s="201">
        <f t="shared" si="111"/>
        <v>0</v>
      </c>
      <c r="Y246" s="201">
        <f t="shared" si="111"/>
        <v>0</v>
      </c>
      <c r="Z246" s="201">
        <f t="shared" si="111"/>
        <v>0</v>
      </c>
      <c r="AA246" s="201">
        <f t="shared" si="111"/>
        <v>0</v>
      </c>
      <c r="AB246" s="201">
        <f t="shared" si="111"/>
        <v>0</v>
      </c>
      <c r="AC246" s="201">
        <f t="shared" si="111"/>
        <v>0</v>
      </c>
      <c r="AD246" s="201">
        <f t="shared" si="111"/>
        <v>0</v>
      </c>
      <c r="AE246" s="201">
        <f t="shared" si="111"/>
        <v>0</v>
      </c>
      <c r="AF246" s="201"/>
      <c r="AG246" s="333"/>
    </row>
    <row r="247" spans="1:33">
      <c r="A247" s="318">
        <v>592</v>
      </c>
      <c r="B247" s="318" t="s">
        <v>1115</v>
      </c>
      <c r="C247" s="165" t="s">
        <v>1116</v>
      </c>
      <c r="D247" s="165" t="s">
        <v>1043</v>
      </c>
      <c r="F247" s="340">
        <v>901231.78</v>
      </c>
      <c r="H247" s="201">
        <f t="shared" si="110"/>
        <v>0</v>
      </c>
      <c r="I247" s="201">
        <f t="shared" si="110"/>
        <v>0</v>
      </c>
      <c r="J247" s="201">
        <f t="shared" si="110"/>
        <v>0</v>
      </c>
      <c r="K247" s="201">
        <f t="shared" si="110"/>
        <v>0</v>
      </c>
      <c r="L247" s="201">
        <f t="shared" si="110"/>
        <v>0</v>
      </c>
      <c r="M247" s="201">
        <f t="shared" si="110"/>
        <v>0</v>
      </c>
      <c r="N247" s="201">
        <f t="shared" si="110"/>
        <v>0</v>
      </c>
      <c r="O247" s="201">
        <f t="shared" si="110"/>
        <v>0</v>
      </c>
      <c r="P247" s="201">
        <f t="shared" si="110"/>
        <v>0</v>
      </c>
      <c r="Q247" s="201">
        <f t="shared" si="110"/>
        <v>0</v>
      </c>
      <c r="R247" s="201">
        <f t="shared" si="111"/>
        <v>901231.78</v>
      </c>
      <c r="S247" s="201">
        <f t="shared" si="111"/>
        <v>0</v>
      </c>
      <c r="T247" s="201">
        <f t="shared" si="111"/>
        <v>0</v>
      </c>
      <c r="U247" s="201">
        <f t="shared" si="111"/>
        <v>0</v>
      </c>
      <c r="V247" s="201">
        <f t="shared" si="111"/>
        <v>0</v>
      </c>
      <c r="W247" s="201">
        <f t="shared" si="111"/>
        <v>0</v>
      </c>
      <c r="X247" s="201">
        <f t="shared" si="111"/>
        <v>0</v>
      </c>
      <c r="Y247" s="201">
        <f t="shared" si="111"/>
        <v>0</v>
      </c>
      <c r="Z247" s="201">
        <f t="shared" si="111"/>
        <v>0</v>
      </c>
      <c r="AA247" s="201">
        <f t="shared" si="111"/>
        <v>0</v>
      </c>
      <c r="AB247" s="201">
        <f t="shared" si="111"/>
        <v>0</v>
      </c>
      <c r="AC247" s="201">
        <f t="shared" si="111"/>
        <v>0</v>
      </c>
      <c r="AD247" s="201">
        <f t="shared" si="111"/>
        <v>0</v>
      </c>
      <c r="AE247" s="201">
        <f t="shared" si="111"/>
        <v>0</v>
      </c>
      <c r="AF247" s="201">
        <f t="shared" si="112"/>
        <v>901231.78</v>
      </c>
      <c r="AG247" s="333" t="str">
        <f t="shared" ref="AG247:AG253" si="113">IF(ABS(AF247-F247)&lt;1,"ok","err")</f>
        <v>ok</v>
      </c>
    </row>
    <row r="248" spans="1:33">
      <c r="A248" s="318">
        <v>593</v>
      </c>
      <c r="B248" s="318" t="s">
        <v>1117</v>
      </c>
      <c r="C248" s="165" t="s">
        <v>1118</v>
      </c>
      <c r="D248" s="165" t="s">
        <v>1046</v>
      </c>
      <c r="F248" s="340">
        <v>20552385.41</v>
      </c>
      <c r="H248" s="201">
        <f t="shared" si="110"/>
        <v>0</v>
      </c>
      <c r="I248" s="201">
        <f t="shared" si="110"/>
        <v>0</v>
      </c>
      <c r="J248" s="201">
        <f t="shared" si="110"/>
        <v>0</v>
      </c>
      <c r="K248" s="201">
        <f t="shared" si="110"/>
        <v>0</v>
      </c>
      <c r="L248" s="201">
        <f t="shared" si="110"/>
        <v>0</v>
      </c>
      <c r="M248" s="201">
        <f t="shared" si="110"/>
        <v>0</v>
      </c>
      <c r="N248" s="201">
        <f t="shared" si="110"/>
        <v>0</v>
      </c>
      <c r="O248" s="201">
        <f t="shared" si="110"/>
        <v>0</v>
      </c>
      <c r="P248" s="201">
        <f t="shared" si="110"/>
        <v>0</v>
      </c>
      <c r="Q248" s="201">
        <f t="shared" si="110"/>
        <v>0</v>
      </c>
      <c r="R248" s="201">
        <f t="shared" si="111"/>
        <v>0</v>
      </c>
      <c r="S248" s="201">
        <f t="shared" si="111"/>
        <v>0</v>
      </c>
      <c r="T248" s="201">
        <f t="shared" si="111"/>
        <v>7002711.51882225</v>
      </c>
      <c r="U248" s="201">
        <f t="shared" si="111"/>
        <v>8411577.5386777483</v>
      </c>
      <c r="V248" s="201">
        <f t="shared" si="111"/>
        <v>2334237.1729407501</v>
      </c>
      <c r="W248" s="201">
        <f t="shared" si="111"/>
        <v>2803859.1795592499</v>
      </c>
      <c r="X248" s="201">
        <f t="shared" si="111"/>
        <v>0</v>
      </c>
      <c r="Y248" s="201">
        <f t="shared" si="111"/>
        <v>0</v>
      </c>
      <c r="Z248" s="201">
        <f t="shared" si="111"/>
        <v>0</v>
      </c>
      <c r="AA248" s="201">
        <f t="shared" si="111"/>
        <v>0</v>
      </c>
      <c r="AB248" s="201">
        <f t="shared" si="111"/>
        <v>0</v>
      </c>
      <c r="AC248" s="201">
        <f t="shared" si="111"/>
        <v>0</v>
      </c>
      <c r="AD248" s="201">
        <f t="shared" si="111"/>
        <v>0</v>
      </c>
      <c r="AE248" s="201">
        <f t="shared" si="111"/>
        <v>0</v>
      </c>
      <c r="AF248" s="201">
        <f t="shared" si="112"/>
        <v>20552385.409999996</v>
      </c>
      <c r="AG248" s="333" t="str">
        <f t="shared" si="113"/>
        <v>ok</v>
      </c>
    </row>
    <row r="249" spans="1:33">
      <c r="A249" s="318">
        <v>594</v>
      </c>
      <c r="B249" s="318" t="s">
        <v>1119</v>
      </c>
      <c r="C249" s="165" t="s">
        <v>1120</v>
      </c>
      <c r="D249" s="165" t="s">
        <v>1049</v>
      </c>
      <c r="F249" s="340">
        <v>1784777.94</v>
      </c>
      <c r="H249" s="201">
        <f t="shared" si="110"/>
        <v>0</v>
      </c>
      <c r="I249" s="201">
        <f t="shared" si="110"/>
        <v>0</v>
      </c>
      <c r="J249" s="201">
        <f t="shared" si="110"/>
        <v>0</v>
      </c>
      <c r="K249" s="201">
        <f t="shared" si="110"/>
        <v>0</v>
      </c>
      <c r="L249" s="201">
        <f t="shared" si="110"/>
        <v>0</v>
      </c>
      <c r="M249" s="201">
        <f t="shared" si="110"/>
        <v>0</v>
      </c>
      <c r="N249" s="201">
        <f t="shared" si="110"/>
        <v>0</v>
      </c>
      <c r="O249" s="201">
        <f t="shared" si="110"/>
        <v>0</v>
      </c>
      <c r="P249" s="201">
        <f t="shared" si="110"/>
        <v>0</v>
      </c>
      <c r="Q249" s="201">
        <f t="shared" si="110"/>
        <v>0</v>
      </c>
      <c r="R249" s="201">
        <f t="shared" si="111"/>
        <v>0</v>
      </c>
      <c r="S249" s="201">
        <f t="shared" si="111"/>
        <v>0</v>
      </c>
      <c r="T249" s="201">
        <f t="shared" si="111"/>
        <v>331834.83849450003</v>
      </c>
      <c r="U249" s="201">
        <f t="shared" si="111"/>
        <v>1006748.6165054999</v>
      </c>
      <c r="V249" s="201">
        <f t="shared" si="111"/>
        <v>110611.6128315</v>
      </c>
      <c r="W249" s="201">
        <f t="shared" si="111"/>
        <v>335582.87216849998</v>
      </c>
      <c r="X249" s="201">
        <f t="shared" si="111"/>
        <v>0</v>
      </c>
      <c r="Y249" s="201">
        <f t="shared" si="111"/>
        <v>0</v>
      </c>
      <c r="Z249" s="201">
        <f t="shared" si="111"/>
        <v>0</v>
      </c>
      <c r="AA249" s="201">
        <f t="shared" si="111"/>
        <v>0</v>
      </c>
      <c r="AB249" s="201">
        <f t="shared" si="111"/>
        <v>0</v>
      </c>
      <c r="AC249" s="201">
        <f t="shared" si="111"/>
        <v>0</v>
      </c>
      <c r="AD249" s="201">
        <f t="shared" si="111"/>
        <v>0</v>
      </c>
      <c r="AE249" s="201">
        <f t="shared" si="111"/>
        <v>0</v>
      </c>
      <c r="AF249" s="201">
        <f t="shared" si="112"/>
        <v>1784777.94</v>
      </c>
      <c r="AG249" s="333" t="str">
        <f t="shared" si="113"/>
        <v>ok</v>
      </c>
    </row>
    <row r="250" spans="1:33">
      <c r="A250" s="318">
        <v>595</v>
      </c>
      <c r="B250" s="318" t="s">
        <v>1121</v>
      </c>
      <c r="C250" s="165" t="s">
        <v>1122</v>
      </c>
      <c r="D250" s="165" t="s">
        <v>1050</v>
      </c>
      <c r="F250" s="340">
        <v>212120.75</v>
      </c>
      <c r="H250" s="201">
        <f t="shared" si="110"/>
        <v>0</v>
      </c>
      <c r="I250" s="201">
        <f t="shared" si="110"/>
        <v>0</v>
      </c>
      <c r="J250" s="201">
        <f t="shared" si="110"/>
        <v>0</v>
      </c>
      <c r="K250" s="201">
        <f t="shared" si="110"/>
        <v>0</v>
      </c>
      <c r="L250" s="201">
        <f t="shared" si="110"/>
        <v>0</v>
      </c>
      <c r="M250" s="201">
        <f t="shared" si="110"/>
        <v>0</v>
      </c>
      <c r="N250" s="201">
        <f t="shared" si="110"/>
        <v>0</v>
      </c>
      <c r="O250" s="201">
        <f t="shared" si="110"/>
        <v>0</v>
      </c>
      <c r="P250" s="201">
        <f t="shared" si="110"/>
        <v>0</v>
      </c>
      <c r="Q250" s="201">
        <f t="shared" si="110"/>
        <v>0</v>
      </c>
      <c r="R250" s="201">
        <f t="shared" si="111"/>
        <v>0</v>
      </c>
      <c r="S250" s="201">
        <f t="shared" si="111"/>
        <v>0</v>
      </c>
      <c r="T250" s="201">
        <f t="shared" si="111"/>
        <v>0</v>
      </c>
      <c r="U250" s="201">
        <f t="shared" si="111"/>
        <v>0</v>
      </c>
      <c r="V250" s="201">
        <f t="shared" si="111"/>
        <v>0</v>
      </c>
      <c r="W250" s="201">
        <f t="shared" si="111"/>
        <v>0</v>
      </c>
      <c r="X250" s="201">
        <f t="shared" si="111"/>
        <v>118151.25775</v>
      </c>
      <c r="Y250" s="201">
        <f t="shared" si="111"/>
        <v>93969.492249999996</v>
      </c>
      <c r="Z250" s="201">
        <f t="shared" si="111"/>
        <v>0</v>
      </c>
      <c r="AA250" s="201">
        <f t="shared" si="111"/>
        <v>0</v>
      </c>
      <c r="AB250" s="201">
        <f t="shared" si="111"/>
        <v>0</v>
      </c>
      <c r="AC250" s="201">
        <f t="shared" si="111"/>
        <v>0</v>
      </c>
      <c r="AD250" s="201">
        <f t="shared" si="111"/>
        <v>0</v>
      </c>
      <c r="AE250" s="201">
        <f t="shared" si="111"/>
        <v>0</v>
      </c>
      <c r="AF250" s="201">
        <f t="shared" si="112"/>
        <v>212120.75</v>
      </c>
      <c r="AG250" s="333" t="str">
        <f t="shared" si="113"/>
        <v>ok</v>
      </c>
    </row>
    <row r="251" spans="1:33">
      <c r="A251" s="318">
        <v>596</v>
      </c>
      <c r="B251" s="318" t="s">
        <v>1257</v>
      </c>
      <c r="C251" s="165" t="s">
        <v>1258</v>
      </c>
      <c r="D251" s="165" t="s">
        <v>1057</v>
      </c>
      <c r="F251" s="340">
        <v>331958.19</v>
      </c>
      <c r="H251" s="201">
        <f t="shared" si="110"/>
        <v>0</v>
      </c>
      <c r="I251" s="201">
        <f t="shared" si="110"/>
        <v>0</v>
      </c>
      <c r="J251" s="201">
        <f t="shared" si="110"/>
        <v>0</v>
      </c>
      <c r="K251" s="201">
        <f t="shared" si="110"/>
        <v>0</v>
      </c>
      <c r="L251" s="201">
        <f t="shared" si="110"/>
        <v>0</v>
      </c>
      <c r="M251" s="201">
        <f t="shared" si="110"/>
        <v>0</v>
      </c>
      <c r="N251" s="201">
        <f t="shared" si="110"/>
        <v>0</v>
      </c>
      <c r="O251" s="201">
        <f t="shared" si="110"/>
        <v>0</v>
      </c>
      <c r="P251" s="201">
        <f t="shared" si="110"/>
        <v>0</v>
      </c>
      <c r="Q251" s="201">
        <f t="shared" si="110"/>
        <v>0</v>
      </c>
      <c r="R251" s="201">
        <f t="shared" si="111"/>
        <v>0</v>
      </c>
      <c r="S251" s="201">
        <f t="shared" si="111"/>
        <v>0</v>
      </c>
      <c r="T251" s="201">
        <f t="shared" si="111"/>
        <v>0</v>
      </c>
      <c r="U251" s="201">
        <f t="shared" si="111"/>
        <v>0</v>
      </c>
      <c r="V251" s="201">
        <f t="shared" si="111"/>
        <v>0</v>
      </c>
      <c r="W251" s="201">
        <f t="shared" si="111"/>
        <v>0</v>
      </c>
      <c r="X251" s="201">
        <f t="shared" si="111"/>
        <v>0</v>
      </c>
      <c r="Y251" s="201">
        <f t="shared" si="111"/>
        <v>0</v>
      </c>
      <c r="Z251" s="201">
        <f t="shared" si="111"/>
        <v>0</v>
      </c>
      <c r="AA251" s="201">
        <f t="shared" si="111"/>
        <v>0</v>
      </c>
      <c r="AB251" s="201">
        <f t="shared" si="111"/>
        <v>331958.19</v>
      </c>
      <c r="AC251" s="201">
        <f t="shared" si="111"/>
        <v>0</v>
      </c>
      <c r="AD251" s="201">
        <f t="shared" si="111"/>
        <v>0</v>
      </c>
      <c r="AE251" s="201">
        <f t="shared" si="111"/>
        <v>0</v>
      </c>
      <c r="AF251" s="201">
        <f t="shared" si="112"/>
        <v>331958.19</v>
      </c>
      <c r="AG251" s="333" t="str">
        <f t="shared" si="113"/>
        <v>ok</v>
      </c>
    </row>
    <row r="252" spans="1:33">
      <c r="A252" s="318">
        <v>597</v>
      </c>
      <c r="B252" s="318" t="s">
        <v>1123</v>
      </c>
      <c r="C252" s="165" t="s">
        <v>1124</v>
      </c>
      <c r="D252" s="165" t="s">
        <v>1054</v>
      </c>
      <c r="F252" s="340">
        <v>0</v>
      </c>
      <c r="H252" s="201">
        <f t="shared" si="110"/>
        <v>0</v>
      </c>
      <c r="I252" s="201">
        <f t="shared" si="110"/>
        <v>0</v>
      </c>
      <c r="J252" s="201">
        <f t="shared" si="110"/>
        <v>0</v>
      </c>
      <c r="K252" s="201">
        <f t="shared" si="110"/>
        <v>0</v>
      </c>
      <c r="L252" s="201">
        <f t="shared" si="110"/>
        <v>0</v>
      </c>
      <c r="M252" s="201">
        <f t="shared" si="110"/>
        <v>0</v>
      </c>
      <c r="N252" s="201">
        <f t="shared" si="110"/>
        <v>0</v>
      </c>
      <c r="O252" s="201">
        <f t="shared" si="110"/>
        <v>0</v>
      </c>
      <c r="P252" s="201">
        <f t="shared" si="110"/>
        <v>0</v>
      </c>
      <c r="Q252" s="201">
        <f t="shared" si="110"/>
        <v>0</v>
      </c>
      <c r="R252" s="201">
        <f t="shared" si="111"/>
        <v>0</v>
      </c>
      <c r="S252" s="201">
        <f t="shared" si="111"/>
        <v>0</v>
      </c>
      <c r="T252" s="201">
        <f t="shared" si="111"/>
        <v>0</v>
      </c>
      <c r="U252" s="201">
        <f t="shared" si="111"/>
        <v>0</v>
      </c>
      <c r="V252" s="201">
        <f t="shared" si="111"/>
        <v>0</v>
      </c>
      <c r="W252" s="201">
        <f t="shared" si="111"/>
        <v>0</v>
      </c>
      <c r="X252" s="201">
        <f t="shared" si="111"/>
        <v>0</v>
      </c>
      <c r="Y252" s="201">
        <f t="shared" si="111"/>
        <v>0</v>
      </c>
      <c r="Z252" s="201">
        <f t="shared" si="111"/>
        <v>0</v>
      </c>
      <c r="AA252" s="201">
        <f t="shared" si="111"/>
        <v>0</v>
      </c>
      <c r="AB252" s="201">
        <f t="shared" si="111"/>
        <v>0</v>
      </c>
      <c r="AC252" s="201">
        <f t="shared" si="111"/>
        <v>0</v>
      </c>
      <c r="AD252" s="201">
        <f t="shared" si="111"/>
        <v>0</v>
      </c>
      <c r="AE252" s="201">
        <f t="shared" si="111"/>
        <v>0</v>
      </c>
      <c r="AF252" s="201">
        <f t="shared" si="112"/>
        <v>0</v>
      </c>
      <c r="AG252" s="333" t="str">
        <f t="shared" si="113"/>
        <v>ok</v>
      </c>
    </row>
    <row r="253" spans="1:33">
      <c r="A253" s="318">
        <v>598</v>
      </c>
      <c r="B253" s="318" t="s">
        <v>289</v>
      </c>
      <c r="C253" s="165" t="s">
        <v>290</v>
      </c>
      <c r="D253" s="165" t="s">
        <v>1039</v>
      </c>
      <c r="F253" s="340">
        <v>400476.04000000004</v>
      </c>
      <c r="H253" s="201">
        <f t="shared" si="110"/>
        <v>0</v>
      </c>
      <c r="I253" s="201">
        <f t="shared" si="110"/>
        <v>0</v>
      </c>
      <c r="J253" s="201">
        <f t="shared" si="110"/>
        <v>0</v>
      </c>
      <c r="K253" s="201">
        <f t="shared" si="110"/>
        <v>0</v>
      </c>
      <c r="L253" s="201">
        <f t="shared" si="110"/>
        <v>0</v>
      </c>
      <c r="M253" s="201">
        <f t="shared" si="110"/>
        <v>0</v>
      </c>
      <c r="N253" s="201">
        <f t="shared" si="110"/>
        <v>0</v>
      </c>
      <c r="O253" s="201">
        <f t="shared" si="110"/>
        <v>0</v>
      </c>
      <c r="P253" s="201">
        <f t="shared" si="110"/>
        <v>0</v>
      </c>
      <c r="Q253" s="201">
        <f t="shared" si="110"/>
        <v>0</v>
      </c>
      <c r="R253" s="201">
        <f t="shared" si="111"/>
        <v>44031.283904396289</v>
      </c>
      <c r="S253" s="201">
        <f t="shared" si="111"/>
        <v>0</v>
      </c>
      <c r="T253" s="201">
        <f t="shared" si="111"/>
        <v>67799.162517779492</v>
      </c>
      <c r="U253" s="201">
        <f t="shared" si="111"/>
        <v>110993.13753114063</v>
      </c>
      <c r="V253" s="201">
        <f t="shared" si="111"/>
        <v>22599.72083925983</v>
      </c>
      <c r="W253" s="201">
        <f t="shared" si="111"/>
        <v>36997.71251038021</v>
      </c>
      <c r="X253" s="201">
        <f t="shared" si="111"/>
        <v>31654.38110769643</v>
      </c>
      <c r="Y253" s="201">
        <f t="shared" si="111"/>
        <v>25175.746554236117</v>
      </c>
      <c r="Z253" s="201">
        <f t="shared" si="111"/>
        <v>11526.97829560058</v>
      </c>
      <c r="AA253" s="201">
        <f t="shared" si="111"/>
        <v>15533.021682984256</v>
      </c>
      <c r="AB253" s="201">
        <f t="shared" si="111"/>
        <v>34164.895056526206</v>
      </c>
      <c r="AC253" s="201">
        <f t="shared" si="111"/>
        <v>0</v>
      </c>
      <c r="AD253" s="201">
        <f t="shared" si="111"/>
        <v>0</v>
      </c>
      <c r="AE253" s="201">
        <f t="shared" si="111"/>
        <v>0</v>
      </c>
      <c r="AF253" s="201">
        <f t="shared" si="112"/>
        <v>400476.04000000004</v>
      </c>
      <c r="AG253" s="333" t="str">
        <f t="shared" si="113"/>
        <v>ok</v>
      </c>
    </row>
    <row r="254" spans="1:33">
      <c r="A254" s="318"/>
      <c r="B254" s="318"/>
      <c r="F254" s="340"/>
      <c r="H254" s="201"/>
      <c r="I254" s="201"/>
      <c r="J254" s="201"/>
      <c r="K254" s="201"/>
      <c r="L254" s="201"/>
      <c r="M254" s="201"/>
      <c r="N254" s="201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  <c r="AA254" s="201"/>
      <c r="AB254" s="201"/>
      <c r="AC254" s="201"/>
      <c r="AD254" s="201"/>
      <c r="AE254" s="201"/>
      <c r="AF254" s="201"/>
      <c r="AG254" s="333"/>
    </row>
    <row r="255" spans="1:33">
      <c r="A255" s="318" t="s">
        <v>1125</v>
      </c>
      <c r="B255" s="318"/>
      <c r="C255" s="165" t="s">
        <v>1126</v>
      </c>
      <c r="F255" s="203">
        <f t="shared" ref="F255:M255" si="114">SUM(F245:F254)</f>
        <v>25318681.670000002</v>
      </c>
      <c r="G255" s="347">
        <f t="shared" si="114"/>
        <v>0</v>
      </c>
      <c r="H255" s="347">
        <f t="shared" si="114"/>
        <v>0</v>
      </c>
      <c r="I255" s="347">
        <f t="shared" si="114"/>
        <v>0</v>
      </c>
      <c r="J255" s="347">
        <f t="shared" si="114"/>
        <v>0</v>
      </c>
      <c r="K255" s="347">
        <f t="shared" si="114"/>
        <v>0</v>
      </c>
      <c r="L255" s="347">
        <f t="shared" si="114"/>
        <v>0</v>
      </c>
      <c r="M255" s="347">
        <f t="shared" si="114"/>
        <v>0</v>
      </c>
      <c r="N255" s="347">
        <f>SUM(N245:N254)</f>
        <v>0</v>
      </c>
      <c r="O255" s="347">
        <f>SUM(O245:O254)</f>
        <v>0</v>
      </c>
      <c r="P255" s="347">
        <f>SUM(P245:P254)</f>
        <v>0</v>
      </c>
      <c r="Q255" s="347">
        <f t="shared" ref="Q255:AB255" si="115">SUM(Q245:Q254)</f>
        <v>0</v>
      </c>
      <c r="R255" s="347">
        <f t="shared" si="115"/>
        <v>1755496.0041878379</v>
      </c>
      <c r="S255" s="347">
        <f t="shared" si="115"/>
        <v>0</v>
      </c>
      <c r="T255" s="347">
        <f t="shared" si="115"/>
        <v>7499664.9712560493</v>
      </c>
      <c r="U255" s="347">
        <f t="shared" si="115"/>
        <v>9664034.1170836147</v>
      </c>
      <c r="V255" s="347">
        <f t="shared" si="115"/>
        <v>2499888.3237520163</v>
      </c>
      <c r="W255" s="347">
        <f t="shared" si="115"/>
        <v>3221344.7056945385</v>
      </c>
      <c r="X255" s="347">
        <f t="shared" si="115"/>
        <v>157691.00357005524</v>
      </c>
      <c r="Y255" s="347">
        <f t="shared" si="115"/>
        <v>125416.72276756637</v>
      </c>
      <c r="Z255" s="347">
        <f t="shared" si="115"/>
        <v>11720.078053489435</v>
      </c>
      <c r="AA255" s="347">
        <f t="shared" si="115"/>
        <v>15793.230616266568</v>
      </c>
      <c r="AB255" s="347">
        <f t="shared" si="115"/>
        <v>367632.51301856467</v>
      </c>
      <c r="AC255" s="347">
        <f>SUM(AC245:AC254)</f>
        <v>0</v>
      </c>
      <c r="AD255" s="347">
        <f>SUM(AD245:AD254)</f>
        <v>0</v>
      </c>
      <c r="AE255" s="347">
        <f>SUM(AE245:AE254)</f>
        <v>0</v>
      </c>
      <c r="AF255" s="201">
        <f>SUM(H255:AE255)</f>
        <v>25318681.669999994</v>
      </c>
      <c r="AG255" s="333" t="str">
        <f>IF(ABS(AF255-F255)&lt;1,"ok","err")</f>
        <v>ok</v>
      </c>
    </row>
    <row r="256" spans="1:33">
      <c r="A256" s="318"/>
      <c r="B256" s="318"/>
      <c r="F256" s="340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  <c r="AB256" s="201"/>
      <c r="AC256" s="201"/>
      <c r="AD256" s="201"/>
      <c r="AE256" s="201"/>
      <c r="AG256" s="333"/>
    </row>
    <row r="257" spans="1:33">
      <c r="A257" s="318" t="s">
        <v>1259</v>
      </c>
      <c r="B257" s="318"/>
      <c r="F257" s="203">
        <f>F241+F255</f>
        <v>43789329.359999999</v>
      </c>
      <c r="G257" s="201">
        <f t="shared" ref="G257:M257" si="116">G241+G255</f>
        <v>0</v>
      </c>
      <c r="H257" s="201">
        <f t="shared" si="116"/>
        <v>0</v>
      </c>
      <c r="I257" s="201">
        <f t="shared" si="116"/>
        <v>0</v>
      </c>
      <c r="J257" s="201">
        <f t="shared" si="116"/>
        <v>0</v>
      </c>
      <c r="K257" s="201">
        <f t="shared" si="116"/>
        <v>0</v>
      </c>
      <c r="L257" s="201">
        <f t="shared" si="116"/>
        <v>0</v>
      </c>
      <c r="M257" s="201">
        <f t="shared" si="116"/>
        <v>0</v>
      </c>
      <c r="N257" s="201">
        <f>N241+N255</f>
        <v>0</v>
      </c>
      <c r="O257" s="201">
        <f>O241+O255</f>
        <v>0</v>
      </c>
      <c r="P257" s="201">
        <f>P241+P255</f>
        <v>0</v>
      </c>
      <c r="Q257" s="201">
        <f t="shared" ref="Q257:AB257" si="117">Q241+Q255</f>
        <v>0</v>
      </c>
      <c r="R257" s="201">
        <f t="shared" si="117"/>
        <v>4128263.1922795214</v>
      </c>
      <c r="S257" s="201">
        <f t="shared" si="117"/>
        <v>0</v>
      </c>
      <c r="T257" s="201">
        <f t="shared" si="117"/>
        <v>9996501.1941147186</v>
      </c>
      <c r="U257" s="201">
        <f t="shared" si="117"/>
        <v>13151091.323709931</v>
      </c>
      <c r="V257" s="201">
        <f t="shared" si="117"/>
        <v>3332167.0647049062</v>
      </c>
      <c r="W257" s="201">
        <f t="shared" si="117"/>
        <v>4383697.107903311</v>
      </c>
      <c r="X257" s="201">
        <f t="shared" si="117"/>
        <v>412934.47415233805</v>
      </c>
      <c r="Y257" s="201">
        <f t="shared" si="117"/>
        <v>328420.05753947172</v>
      </c>
      <c r="Z257" s="201">
        <f t="shared" si="117"/>
        <v>104667.2734349331</v>
      </c>
      <c r="AA257" s="201">
        <f t="shared" si="117"/>
        <v>7308468.2887265375</v>
      </c>
      <c r="AB257" s="201">
        <f t="shared" si="117"/>
        <v>643119.38343433035</v>
      </c>
      <c r="AC257" s="201">
        <f>AC241+AC255</f>
        <v>0</v>
      </c>
      <c r="AD257" s="201">
        <f>AD241+AD255</f>
        <v>0</v>
      </c>
      <c r="AE257" s="201">
        <f>AE241+AE255</f>
        <v>0</v>
      </c>
      <c r="AF257" s="201">
        <f>SUM(H257:AE257)</f>
        <v>43789329.359999999</v>
      </c>
      <c r="AG257" s="333" t="str">
        <f>IF(ABS(AF257-F257)&lt;1,"ok","err")</f>
        <v>ok</v>
      </c>
    </row>
    <row r="258" spans="1:33">
      <c r="A258" s="318"/>
      <c r="B258" s="318"/>
      <c r="F258" s="340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  <c r="AA258" s="201"/>
      <c r="AB258" s="201"/>
      <c r="AC258" s="201"/>
      <c r="AD258" s="201"/>
      <c r="AE258" s="201"/>
      <c r="AG258" s="333"/>
    </row>
    <row r="259" spans="1:33">
      <c r="A259" s="318" t="s">
        <v>1260</v>
      </c>
      <c r="B259" s="318"/>
      <c r="F259" s="203">
        <f t="shared" ref="F259:M259" si="118">F257+F223</f>
        <v>60531543.920000002</v>
      </c>
      <c r="G259" s="201">
        <f t="shared" si="118"/>
        <v>0</v>
      </c>
      <c r="H259" s="201">
        <f t="shared" si="118"/>
        <v>0</v>
      </c>
      <c r="I259" s="201">
        <f t="shared" si="118"/>
        <v>0</v>
      </c>
      <c r="J259" s="201">
        <f t="shared" si="118"/>
        <v>0</v>
      </c>
      <c r="K259" s="201">
        <f t="shared" si="118"/>
        <v>0</v>
      </c>
      <c r="L259" s="201">
        <f t="shared" si="118"/>
        <v>0</v>
      </c>
      <c r="M259" s="201">
        <f t="shared" si="118"/>
        <v>0</v>
      </c>
      <c r="N259" s="201">
        <f>N257+N223</f>
        <v>5751728.8327057436</v>
      </c>
      <c r="O259" s="201">
        <f>O257+O223</f>
        <v>5422026.7868182715</v>
      </c>
      <c r="P259" s="201">
        <f>P257+P223</f>
        <v>5568458.9404759863</v>
      </c>
      <c r="Q259" s="201">
        <f t="shared" ref="Q259:AB259" si="119">Q257+Q223</f>
        <v>0</v>
      </c>
      <c r="R259" s="201">
        <f t="shared" si="119"/>
        <v>4128263.1922795214</v>
      </c>
      <c r="S259" s="201">
        <f t="shared" si="119"/>
        <v>0</v>
      </c>
      <c r="T259" s="201">
        <f t="shared" si="119"/>
        <v>9996501.1941147186</v>
      </c>
      <c r="U259" s="201">
        <f t="shared" si="119"/>
        <v>13151091.323709931</v>
      </c>
      <c r="V259" s="201">
        <f t="shared" si="119"/>
        <v>3332167.0647049062</v>
      </c>
      <c r="W259" s="201">
        <f t="shared" si="119"/>
        <v>4383697.107903311</v>
      </c>
      <c r="X259" s="201">
        <f t="shared" si="119"/>
        <v>412934.47415233805</v>
      </c>
      <c r="Y259" s="201">
        <f t="shared" si="119"/>
        <v>328420.05753947172</v>
      </c>
      <c r="Z259" s="201">
        <f t="shared" si="119"/>
        <v>104667.2734349331</v>
      </c>
      <c r="AA259" s="201">
        <f t="shared" si="119"/>
        <v>7308468.2887265375</v>
      </c>
      <c r="AB259" s="201">
        <f t="shared" si="119"/>
        <v>643119.38343433035</v>
      </c>
      <c r="AC259" s="201">
        <f>AC257+AC223</f>
        <v>0</v>
      </c>
      <c r="AD259" s="201">
        <f>AD257+AD223</f>
        <v>0</v>
      </c>
      <c r="AE259" s="201">
        <f>AE257+AE223</f>
        <v>0</v>
      </c>
      <c r="AF259" s="201">
        <f>SUM(H259:AE259)</f>
        <v>60531543.920000002</v>
      </c>
      <c r="AG259" s="333" t="str">
        <f>IF(ABS(AF259-F259)&lt;1,"ok","err")</f>
        <v>ok</v>
      </c>
    </row>
    <row r="260" spans="1:33">
      <c r="A260" s="318"/>
      <c r="B260" s="318"/>
      <c r="F260" s="340"/>
      <c r="G260" s="201"/>
      <c r="H260" s="201"/>
      <c r="I260" s="201"/>
      <c r="J260" s="201"/>
      <c r="K260" s="201"/>
      <c r="L260" s="201"/>
      <c r="M260" s="201"/>
      <c r="N260" s="201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  <c r="AA260" s="201"/>
      <c r="AB260" s="201"/>
      <c r="AC260" s="201"/>
      <c r="AD260" s="201"/>
      <c r="AE260" s="201"/>
      <c r="AG260" s="333"/>
    </row>
    <row r="261" spans="1:33">
      <c r="A261" s="318" t="s">
        <v>292</v>
      </c>
      <c r="B261" s="318"/>
      <c r="C261" s="165" t="s">
        <v>1127</v>
      </c>
      <c r="F261" s="203">
        <f>F205+F223+F257</f>
        <v>621648801.87999976</v>
      </c>
      <c r="G261" s="347">
        <f>G259+G203</f>
        <v>0</v>
      </c>
      <c r="H261" s="347">
        <f t="shared" ref="H261:M261" si="120">H205+H223+H257</f>
        <v>28996691.490164131</v>
      </c>
      <c r="I261" s="347">
        <f t="shared" si="120"/>
        <v>27334535.852034438</v>
      </c>
      <c r="J261" s="347">
        <f t="shared" si="120"/>
        <v>28072757.021243427</v>
      </c>
      <c r="K261" s="347">
        <f t="shared" si="120"/>
        <v>476713273.59655797</v>
      </c>
      <c r="L261" s="347">
        <f t="shared" si="120"/>
        <v>0</v>
      </c>
      <c r="M261" s="347">
        <f t="shared" si="120"/>
        <v>0</v>
      </c>
      <c r="N261" s="347">
        <f>N205+N223+N257</f>
        <v>5751728.8327057436</v>
      </c>
      <c r="O261" s="347">
        <f>O205+O223+O257</f>
        <v>5422026.7868182715</v>
      </c>
      <c r="P261" s="347">
        <f>P205+P223+P257</f>
        <v>5568458.9404759863</v>
      </c>
      <c r="Q261" s="347">
        <f t="shared" ref="Q261:AB261" si="121">Q205+Q223+Q257</f>
        <v>0</v>
      </c>
      <c r="R261" s="347">
        <f t="shared" si="121"/>
        <v>4128263.1922795214</v>
      </c>
      <c r="S261" s="347">
        <f t="shared" si="121"/>
        <v>0</v>
      </c>
      <c r="T261" s="347">
        <f t="shared" si="121"/>
        <v>9996501.1941147186</v>
      </c>
      <c r="U261" s="347">
        <f t="shared" si="121"/>
        <v>13151091.323709931</v>
      </c>
      <c r="V261" s="347">
        <f t="shared" si="121"/>
        <v>3332167.0647049062</v>
      </c>
      <c r="W261" s="347">
        <f t="shared" si="121"/>
        <v>4383697.107903311</v>
      </c>
      <c r="X261" s="347">
        <f t="shared" si="121"/>
        <v>412934.47415233805</v>
      </c>
      <c r="Y261" s="347">
        <f t="shared" si="121"/>
        <v>328420.05753947172</v>
      </c>
      <c r="Z261" s="347">
        <f t="shared" si="121"/>
        <v>104667.2734349331</v>
      </c>
      <c r="AA261" s="347">
        <f t="shared" si="121"/>
        <v>7308468.2887265375</v>
      </c>
      <c r="AB261" s="347">
        <f t="shared" si="121"/>
        <v>643119.38343433035</v>
      </c>
      <c r="AC261" s="347">
        <f>AC205+AC223+AC257</f>
        <v>0</v>
      </c>
      <c r="AD261" s="347">
        <f>AD205+AD223+AD257</f>
        <v>0</v>
      </c>
      <c r="AE261" s="347">
        <f>AE205+AE223+AE257</f>
        <v>0</v>
      </c>
      <c r="AF261" s="201">
        <f>SUM(H261:AE261)</f>
        <v>621648801.87999988</v>
      </c>
      <c r="AG261" s="333" t="str">
        <f>IF(ABS(AF261-F261)&lt;1,"ok","err")</f>
        <v>ok</v>
      </c>
    </row>
    <row r="262" spans="1:33">
      <c r="A262" s="87"/>
      <c r="B262" s="318"/>
      <c r="F262" s="340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1"/>
      <c r="AC262" s="201"/>
      <c r="AD262" s="201"/>
      <c r="AE262" s="201"/>
      <c r="AG262" s="333"/>
    </row>
    <row r="263" spans="1:33">
      <c r="A263" s="6" t="s">
        <v>1128</v>
      </c>
      <c r="W263" s="165"/>
      <c r="AG263" s="333"/>
    </row>
    <row r="264" spans="1:33">
      <c r="W264" s="165"/>
      <c r="AG264" s="333"/>
    </row>
    <row r="265" spans="1:33">
      <c r="A265" s="87" t="s">
        <v>1129</v>
      </c>
      <c r="B265" s="318"/>
      <c r="F265" s="340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  <c r="S265" s="201"/>
      <c r="T265" s="201"/>
      <c r="U265" s="201"/>
      <c r="V265" s="201"/>
      <c r="W265" s="201"/>
      <c r="X265" s="201"/>
      <c r="Y265" s="201"/>
      <c r="Z265" s="201"/>
      <c r="AA265" s="201"/>
      <c r="AB265" s="201"/>
      <c r="AC265" s="201"/>
      <c r="AD265" s="201"/>
      <c r="AE265" s="201"/>
      <c r="AG265" s="333"/>
    </row>
    <row r="266" spans="1:33">
      <c r="A266" s="318">
        <v>901</v>
      </c>
      <c r="B266" s="318" t="s">
        <v>1130</v>
      </c>
      <c r="C266" s="165" t="s">
        <v>1131</v>
      </c>
      <c r="D266" s="165" t="s">
        <v>695</v>
      </c>
      <c r="F266" s="203">
        <v>1017837.61</v>
      </c>
      <c r="H266" s="201">
        <f t="shared" ref="H266:Q270" si="122">IF(VLOOKUP($D266,$C$6:$AE$598,H$2,)=0,0,((VLOOKUP($D266,$C$6:$AE$598,H$2,)/VLOOKUP($D266,$C$6:$AE$598,4,))*$F266))</f>
        <v>0</v>
      </c>
      <c r="I266" s="201">
        <f t="shared" si="122"/>
        <v>0</v>
      </c>
      <c r="J266" s="201">
        <f t="shared" si="122"/>
        <v>0</v>
      </c>
      <c r="K266" s="201">
        <f t="shared" si="122"/>
        <v>0</v>
      </c>
      <c r="L266" s="201">
        <f t="shared" si="122"/>
        <v>0</v>
      </c>
      <c r="M266" s="201">
        <f t="shared" si="122"/>
        <v>0</v>
      </c>
      <c r="N266" s="201">
        <f t="shared" si="122"/>
        <v>0</v>
      </c>
      <c r="O266" s="201">
        <f t="shared" si="122"/>
        <v>0</v>
      </c>
      <c r="P266" s="201">
        <f t="shared" si="122"/>
        <v>0</v>
      </c>
      <c r="Q266" s="201">
        <f t="shared" si="122"/>
        <v>0</v>
      </c>
      <c r="R266" s="201">
        <f t="shared" ref="R266:AE270" si="123">IF(VLOOKUP($D266,$C$6:$AE$598,R$2,)=0,0,((VLOOKUP($D266,$C$6:$AE$598,R$2,)/VLOOKUP($D266,$C$6:$AE$598,4,))*$F266))</f>
        <v>0</v>
      </c>
      <c r="S266" s="201">
        <f t="shared" si="123"/>
        <v>0</v>
      </c>
      <c r="T266" s="201">
        <f t="shared" si="123"/>
        <v>0</v>
      </c>
      <c r="U266" s="201">
        <f t="shared" si="123"/>
        <v>0</v>
      </c>
      <c r="V266" s="201">
        <f t="shared" si="123"/>
        <v>0</v>
      </c>
      <c r="W266" s="201">
        <f t="shared" si="123"/>
        <v>0</v>
      </c>
      <c r="X266" s="201">
        <f t="shared" si="123"/>
        <v>0</v>
      </c>
      <c r="Y266" s="201">
        <f t="shared" si="123"/>
        <v>0</v>
      </c>
      <c r="Z266" s="201">
        <f t="shared" si="123"/>
        <v>0</v>
      </c>
      <c r="AA266" s="201">
        <f t="shared" si="123"/>
        <v>0</v>
      </c>
      <c r="AB266" s="201">
        <f t="shared" si="123"/>
        <v>0</v>
      </c>
      <c r="AC266" s="201">
        <f t="shared" si="123"/>
        <v>1017837.61</v>
      </c>
      <c r="AD266" s="201">
        <f t="shared" si="123"/>
        <v>0</v>
      </c>
      <c r="AE266" s="201">
        <f t="shared" si="123"/>
        <v>0</v>
      </c>
      <c r="AF266" s="201">
        <f>SUM(H266:AE266)</f>
        <v>1017837.61</v>
      </c>
      <c r="AG266" s="333" t="str">
        <f>IF(ABS(AF266-F266)&lt;1,"ok","err")</f>
        <v>ok</v>
      </c>
    </row>
    <row r="267" spans="1:33">
      <c r="A267" s="318">
        <v>902</v>
      </c>
      <c r="B267" s="318" t="s">
        <v>1133</v>
      </c>
      <c r="C267" s="165" t="s">
        <v>1134</v>
      </c>
      <c r="D267" s="165" t="s">
        <v>695</v>
      </c>
      <c r="F267" s="340">
        <v>2161885.7999999998</v>
      </c>
      <c r="H267" s="201">
        <f t="shared" si="122"/>
        <v>0</v>
      </c>
      <c r="I267" s="201">
        <f t="shared" si="122"/>
        <v>0</v>
      </c>
      <c r="J267" s="201">
        <f t="shared" si="122"/>
        <v>0</v>
      </c>
      <c r="K267" s="201">
        <f t="shared" si="122"/>
        <v>0</v>
      </c>
      <c r="L267" s="201">
        <f t="shared" si="122"/>
        <v>0</v>
      </c>
      <c r="M267" s="201">
        <f t="shared" si="122"/>
        <v>0</v>
      </c>
      <c r="N267" s="201">
        <f t="shared" si="122"/>
        <v>0</v>
      </c>
      <c r="O267" s="201">
        <f t="shared" si="122"/>
        <v>0</v>
      </c>
      <c r="P267" s="201">
        <f t="shared" si="122"/>
        <v>0</v>
      </c>
      <c r="Q267" s="201">
        <f t="shared" si="122"/>
        <v>0</v>
      </c>
      <c r="R267" s="201">
        <f t="shared" si="123"/>
        <v>0</v>
      </c>
      <c r="S267" s="201">
        <f t="shared" si="123"/>
        <v>0</v>
      </c>
      <c r="T267" s="201">
        <f t="shared" si="123"/>
        <v>0</v>
      </c>
      <c r="U267" s="201">
        <f t="shared" si="123"/>
        <v>0</v>
      </c>
      <c r="V267" s="201">
        <f t="shared" si="123"/>
        <v>0</v>
      </c>
      <c r="W267" s="201">
        <f t="shared" si="123"/>
        <v>0</v>
      </c>
      <c r="X267" s="201">
        <f t="shared" si="123"/>
        <v>0</v>
      </c>
      <c r="Y267" s="201">
        <f t="shared" si="123"/>
        <v>0</v>
      </c>
      <c r="Z267" s="201">
        <f t="shared" si="123"/>
        <v>0</v>
      </c>
      <c r="AA267" s="201">
        <f t="shared" si="123"/>
        <v>0</v>
      </c>
      <c r="AB267" s="201">
        <f t="shared" si="123"/>
        <v>0</v>
      </c>
      <c r="AC267" s="201">
        <f t="shared" si="123"/>
        <v>2161885.7999999998</v>
      </c>
      <c r="AD267" s="201">
        <f t="shared" si="123"/>
        <v>0</v>
      </c>
      <c r="AE267" s="201">
        <f t="shared" si="123"/>
        <v>0</v>
      </c>
      <c r="AF267" s="201">
        <f>SUM(H267:AE267)</f>
        <v>2161885.7999999998</v>
      </c>
      <c r="AG267" s="333" t="str">
        <f>IF(ABS(AF267-F267)&lt;1,"ok","err")</f>
        <v>ok</v>
      </c>
    </row>
    <row r="268" spans="1:33">
      <c r="A268" s="318">
        <v>903</v>
      </c>
      <c r="B268" s="318" t="s">
        <v>29</v>
      </c>
      <c r="C268" s="165" t="s">
        <v>1135</v>
      </c>
      <c r="D268" s="165" t="s">
        <v>695</v>
      </c>
      <c r="F268" s="340">
        <v>5334272.18</v>
      </c>
      <c r="H268" s="201">
        <f t="shared" si="122"/>
        <v>0</v>
      </c>
      <c r="I268" s="201">
        <f t="shared" si="122"/>
        <v>0</v>
      </c>
      <c r="J268" s="201">
        <f t="shared" si="122"/>
        <v>0</v>
      </c>
      <c r="K268" s="201">
        <f t="shared" si="122"/>
        <v>0</v>
      </c>
      <c r="L268" s="201">
        <f t="shared" si="122"/>
        <v>0</v>
      </c>
      <c r="M268" s="201">
        <f t="shared" si="122"/>
        <v>0</v>
      </c>
      <c r="N268" s="201">
        <f t="shared" si="122"/>
        <v>0</v>
      </c>
      <c r="O268" s="201">
        <f t="shared" si="122"/>
        <v>0</v>
      </c>
      <c r="P268" s="201">
        <f t="shared" si="122"/>
        <v>0</v>
      </c>
      <c r="Q268" s="201">
        <f t="shared" si="122"/>
        <v>0</v>
      </c>
      <c r="R268" s="201">
        <f t="shared" si="123"/>
        <v>0</v>
      </c>
      <c r="S268" s="201">
        <f t="shared" si="123"/>
        <v>0</v>
      </c>
      <c r="T268" s="201">
        <f t="shared" si="123"/>
        <v>0</v>
      </c>
      <c r="U268" s="201">
        <f t="shared" si="123"/>
        <v>0</v>
      </c>
      <c r="V268" s="201">
        <f t="shared" si="123"/>
        <v>0</v>
      </c>
      <c r="W268" s="201">
        <f t="shared" si="123"/>
        <v>0</v>
      </c>
      <c r="X268" s="201">
        <f t="shared" si="123"/>
        <v>0</v>
      </c>
      <c r="Y268" s="201">
        <f t="shared" si="123"/>
        <v>0</v>
      </c>
      <c r="Z268" s="201">
        <f t="shared" si="123"/>
        <v>0</v>
      </c>
      <c r="AA268" s="201">
        <f t="shared" si="123"/>
        <v>0</v>
      </c>
      <c r="AB268" s="201">
        <f t="shared" si="123"/>
        <v>0</v>
      </c>
      <c r="AC268" s="201">
        <f t="shared" si="123"/>
        <v>5334272.18</v>
      </c>
      <c r="AD268" s="201">
        <f t="shared" si="123"/>
        <v>0</v>
      </c>
      <c r="AE268" s="201">
        <f t="shared" si="123"/>
        <v>0</v>
      </c>
      <c r="AF268" s="201">
        <f>SUM(H268:AE268)</f>
        <v>5334272.18</v>
      </c>
      <c r="AG268" s="333" t="str">
        <f>IF(ABS(AF268-F268)&lt;1,"ok","err")</f>
        <v>ok</v>
      </c>
    </row>
    <row r="269" spans="1:33">
      <c r="A269" s="318">
        <v>904</v>
      </c>
      <c r="B269" s="318" t="s">
        <v>1136</v>
      </c>
      <c r="C269" s="165" t="s">
        <v>1137</v>
      </c>
      <c r="D269" s="165" t="s">
        <v>695</v>
      </c>
      <c r="F269" s="340">
        <v>3310298.46</v>
      </c>
      <c r="H269" s="201">
        <f t="shared" si="122"/>
        <v>0</v>
      </c>
      <c r="I269" s="201">
        <f t="shared" si="122"/>
        <v>0</v>
      </c>
      <c r="J269" s="201">
        <f t="shared" si="122"/>
        <v>0</v>
      </c>
      <c r="K269" s="201">
        <f t="shared" si="122"/>
        <v>0</v>
      </c>
      <c r="L269" s="201">
        <f t="shared" si="122"/>
        <v>0</v>
      </c>
      <c r="M269" s="201">
        <f t="shared" si="122"/>
        <v>0</v>
      </c>
      <c r="N269" s="201">
        <f t="shared" si="122"/>
        <v>0</v>
      </c>
      <c r="O269" s="201">
        <f t="shared" si="122"/>
        <v>0</v>
      </c>
      <c r="P269" s="201">
        <f t="shared" si="122"/>
        <v>0</v>
      </c>
      <c r="Q269" s="201">
        <f t="shared" si="122"/>
        <v>0</v>
      </c>
      <c r="R269" s="201">
        <f t="shared" si="123"/>
        <v>0</v>
      </c>
      <c r="S269" s="201">
        <f t="shared" si="123"/>
        <v>0</v>
      </c>
      <c r="T269" s="201">
        <f t="shared" si="123"/>
        <v>0</v>
      </c>
      <c r="U269" s="201">
        <f t="shared" si="123"/>
        <v>0</v>
      </c>
      <c r="V269" s="201">
        <f t="shared" si="123"/>
        <v>0</v>
      </c>
      <c r="W269" s="201">
        <f t="shared" si="123"/>
        <v>0</v>
      </c>
      <c r="X269" s="201">
        <f t="shared" si="123"/>
        <v>0</v>
      </c>
      <c r="Y269" s="201">
        <f t="shared" si="123"/>
        <v>0</v>
      </c>
      <c r="Z269" s="201">
        <f t="shared" si="123"/>
        <v>0</v>
      </c>
      <c r="AA269" s="201">
        <f t="shared" si="123"/>
        <v>0</v>
      </c>
      <c r="AB269" s="201">
        <f t="shared" si="123"/>
        <v>0</v>
      </c>
      <c r="AC269" s="201">
        <f t="shared" si="123"/>
        <v>3310298.46</v>
      </c>
      <c r="AD269" s="201">
        <f t="shared" si="123"/>
        <v>0</v>
      </c>
      <c r="AE269" s="201">
        <f t="shared" si="123"/>
        <v>0</v>
      </c>
      <c r="AF269" s="201">
        <f>SUM(H269:AE269)</f>
        <v>3310298.46</v>
      </c>
      <c r="AG269" s="333" t="str">
        <f>IF(ABS(AF269-F269)&lt;1,"ok","err")</f>
        <v>ok</v>
      </c>
    </row>
    <row r="270" spans="1:33">
      <c r="A270" s="318">
        <v>905</v>
      </c>
      <c r="B270" s="318" t="s">
        <v>30</v>
      </c>
      <c r="C270" s="165" t="s">
        <v>1135</v>
      </c>
      <c r="D270" s="165" t="s">
        <v>695</v>
      </c>
      <c r="F270" s="340">
        <v>441962.63</v>
      </c>
      <c r="H270" s="201">
        <f t="shared" si="122"/>
        <v>0</v>
      </c>
      <c r="I270" s="201">
        <f t="shared" si="122"/>
        <v>0</v>
      </c>
      <c r="J270" s="201">
        <f t="shared" si="122"/>
        <v>0</v>
      </c>
      <c r="K270" s="201">
        <f t="shared" si="122"/>
        <v>0</v>
      </c>
      <c r="L270" s="201">
        <f t="shared" si="122"/>
        <v>0</v>
      </c>
      <c r="M270" s="201">
        <f t="shared" si="122"/>
        <v>0</v>
      </c>
      <c r="N270" s="201">
        <f t="shared" si="122"/>
        <v>0</v>
      </c>
      <c r="O270" s="201">
        <f t="shared" si="122"/>
        <v>0</v>
      </c>
      <c r="P270" s="201">
        <f t="shared" si="122"/>
        <v>0</v>
      </c>
      <c r="Q270" s="201">
        <f t="shared" si="122"/>
        <v>0</v>
      </c>
      <c r="R270" s="201">
        <f t="shared" si="123"/>
        <v>0</v>
      </c>
      <c r="S270" s="201">
        <f t="shared" si="123"/>
        <v>0</v>
      </c>
      <c r="T270" s="201">
        <f t="shared" si="123"/>
        <v>0</v>
      </c>
      <c r="U270" s="201">
        <f t="shared" si="123"/>
        <v>0</v>
      </c>
      <c r="V270" s="201">
        <f t="shared" si="123"/>
        <v>0</v>
      </c>
      <c r="W270" s="201">
        <f t="shared" si="123"/>
        <v>0</v>
      </c>
      <c r="X270" s="201">
        <f t="shared" si="123"/>
        <v>0</v>
      </c>
      <c r="Y270" s="201">
        <f t="shared" si="123"/>
        <v>0</v>
      </c>
      <c r="Z270" s="201">
        <f t="shared" si="123"/>
        <v>0</v>
      </c>
      <c r="AA270" s="201">
        <f t="shared" si="123"/>
        <v>0</v>
      </c>
      <c r="AB270" s="201">
        <f t="shared" si="123"/>
        <v>0</v>
      </c>
      <c r="AC270" s="201">
        <f t="shared" si="123"/>
        <v>441962.63</v>
      </c>
      <c r="AD270" s="201">
        <f t="shared" si="123"/>
        <v>0</v>
      </c>
      <c r="AE270" s="201">
        <f t="shared" si="123"/>
        <v>0</v>
      </c>
      <c r="AF270" s="201">
        <f>SUM(H270:AE270)</f>
        <v>441962.63</v>
      </c>
      <c r="AG270" s="333" t="str">
        <f>IF(ABS(AF270-F270)&lt;1,"ok","err")</f>
        <v>ok</v>
      </c>
    </row>
    <row r="271" spans="1:33">
      <c r="A271" s="87"/>
      <c r="B271" s="318"/>
      <c r="F271" s="340"/>
      <c r="H271" s="201"/>
      <c r="I271" s="201"/>
      <c r="J271" s="201"/>
      <c r="K271" s="201"/>
      <c r="L271" s="201"/>
      <c r="M271" s="201"/>
      <c r="N271" s="201"/>
      <c r="O271" s="201"/>
      <c r="P271" s="201"/>
      <c r="Q271" s="201"/>
      <c r="R271" s="201"/>
      <c r="S271" s="201"/>
      <c r="T271" s="201"/>
      <c r="U271" s="201"/>
      <c r="V271" s="201"/>
      <c r="W271" s="201"/>
      <c r="X271" s="201"/>
      <c r="Y271" s="201"/>
      <c r="Z271" s="201"/>
      <c r="AA271" s="201"/>
      <c r="AB271" s="201"/>
      <c r="AC271" s="201"/>
      <c r="AD271" s="201"/>
      <c r="AE271" s="201"/>
      <c r="AF271" s="201"/>
      <c r="AG271" s="333"/>
    </row>
    <row r="272" spans="1:33">
      <c r="A272" s="318" t="s">
        <v>1138</v>
      </c>
      <c r="B272" s="318"/>
      <c r="C272" s="165" t="s">
        <v>1139</v>
      </c>
      <c r="F272" s="203">
        <f t="shared" ref="F272:M272" si="124">SUM(F266:F271)</f>
        <v>12266256.680000002</v>
      </c>
      <c r="G272" s="347">
        <f t="shared" si="124"/>
        <v>0</v>
      </c>
      <c r="H272" s="347">
        <f t="shared" si="124"/>
        <v>0</v>
      </c>
      <c r="I272" s="347">
        <f t="shared" si="124"/>
        <v>0</v>
      </c>
      <c r="J272" s="347">
        <f t="shared" si="124"/>
        <v>0</v>
      </c>
      <c r="K272" s="347">
        <f t="shared" si="124"/>
        <v>0</v>
      </c>
      <c r="L272" s="347">
        <f t="shared" si="124"/>
        <v>0</v>
      </c>
      <c r="M272" s="347">
        <f t="shared" si="124"/>
        <v>0</v>
      </c>
      <c r="N272" s="347">
        <f>SUM(N266:N271)</f>
        <v>0</v>
      </c>
      <c r="O272" s="347">
        <f>SUM(O266:O271)</f>
        <v>0</v>
      </c>
      <c r="P272" s="347">
        <f>SUM(P266:P271)</f>
        <v>0</v>
      </c>
      <c r="Q272" s="347">
        <f t="shared" ref="Q272:AB272" si="125">SUM(Q266:Q271)</f>
        <v>0</v>
      </c>
      <c r="R272" s="347">
        <f t="shared" si="125"/>
        <v>0</v>
      </c>
      <c r="S272" s="347">
        <f t="shared" si="125"/>
        <v>0</v>
      </c>
      <c r="T272" s="347">
        <f t="shared" si="125"/>
        <v>0</v>
      </c>
      <c r="U272" s="347">
        <f t="shared" si="125"/>
        <v>0</v>
      </c>
      <c r="V272" s="347">
        <f t="shared" si="125"/>
        <v>0</v>
      </c>
      <c r="W272" s="347">
        <f t="shared" si="125"/>
        <v>0</v>
      </c>
      <c r="X272" s="347">
        <f t="shared" si="125"/>
        <v>0</v>
      </c>
      <c r="Y272" s="347">
        <f t="shared" si="125"/>
        <v>0</v>
      </c>
      <c r="Z272" s="347">
        <f t="shared" si="125"/>
        <v>0</v>
      </c>
      <c r="AA272" s="347">
        <f t="shared" si="125"/>
        <v>0</v>
      </c>
      <c r="AB272" s="347">
        <f t="shared" si="125"/>
        <v>0</v>
      </c>
      <c r="AC272" s="347">
        <f>SUM(AC266:AC271)</f>
        <v>12266256.680000002</v>
      </c>
      <c r="AD272" s="347">
        <f>SUM(AD266:AD271)</f>
        <v>0</v>
      </c>
      <c r="AE272" s="347">
        <f>SUM(AE266:AE271)</f>
        <v>0</v>
      </c>
      <c r="AF272" s="201">
        <f>SUM(H272:AE272)</f>
        <v>12266256.680000002</v>
      </c>
      <c r="AG272" s="333" t="str">
        <f>IF(ABS(AF272-F272)&lt;1,"ok","err")</f>
        <v>ok</v>
      </c>
    </row>
    <row r="273" spans="1:33">
      <c r="A273" s="318"/>
      <c r="B273" s="318"/>
      <c r="F273" s="340"/>
      <c r="H273" s="201"/>
      <c r="I273" s="201"/>
      <c r="J273" s="201"/>
      <c r="K273" s="201"/>
      <c r="L273" s="201"/>
      <c r="M273" s="201"/>
      <c r="N273" s="201"/>
      <c r="O273" s="201"/>
      <c r="P273" s="201"/>
      <c r="Q273" s="201"/>
      <c r="R273" s="201"/>
      <c r="S273" s="201"/>
      <c r="T273" s="201"/>
      <c r="U273" s="201"/>
      <c r="V273" s="201"/>
      <c r="W273" s="201"/>
      <c r="X273" s="201"/>
      <c r="Y273" s="201"/>
      <c r="Z273" s="201"/>
      <c r="AA273" s="201"/>
      <c r="AB273" s="201"/>
      <c r="AC273" s="201"/>
      <c r="AD273" s="201"/>
      <c r="AE273" s="201"/>
      <c r="AG273" s="333"/>
    </row>
    <row r="274" spans="1:33">
      <c r="A274" s="87" t="s">
        <v>1140</v>
      </c>
      <c r="B274" s="318"/>
      <c r="F274" s="340"/>
      <c r="H274" s="201"/>
      <c r="I274" s="201"/>
      <c r="J274" s="201"/>
      <c r="K274" s="201"/>
      <c r="L274" s="201"/>
      <c r="M274" s="201"/>
      <c r="N274" s="201"/>
      <c r="O274" s="201"/>
      <c r="P274" s="201"/>
      <c r="Q274" s="201"/>
      <c r="R274" s="201"/>
      <c r="S274" s="201"/>
      <c r="T274" s="201"/>
      <c r="U274" s="201"/>
      <c r="V274" s="201"/>
      <c r="W274" s="201"/>
      <c r="X274" s="201"/>
      <c r="Y274" s="201"/>
      <c r="Z274" s="201"/>
      <c r="AA274" s="201"/>
      <c r="AB274" s="201"/>
      <c r="AC274" s="201"/>
      <c r="AD274" s="201"/>
      <c r="AE274" s="201"/>
      <c r="AG274" s="333"/>
    </row>
    <row r="275" spans="1:33">
      <c r="A275" s="318">
        <v>907</v>
      </c>
      <c r="B275" s="318" t="s">
        <v>1262</v>
      </c>
      <c r="C275" s="165" t="s">
        <v>1141</v>
      </c>
      <c r="D275" s="165" t="s">
        <v>696</v>
      </c>
      <c r="F275" s="203">
        <v>171595.59</v>
      </c>
      <c r="H275" s="201">
        <f t="shared" ref="H275:Q285" si="126">IF(VLOOKUP($D275,$C$6:$AE$598,H$2,)=0,0,((VLOOKUP($D275,$C$6:$AE$598,H$2,)/VLOOKUP($D275,$C$6:$AE$598,4,))*$F275))</f>
        <v>0</v>
      </c>
      <c r="I275" s="201">
        <f t="shared" si="126"/>
        <v>0</v>
      </c>
      <c r="J275" s="201">
        <f t="shared" si="126"/>
        <v>0</v>
      </c>
      <c r="K275" s="201">
        <f t="shared" si="126"/>
        <v>0</v>
      </c>
      <c r="L275" s="201">
        <f t="shared" si="126"/>
        <v>0</v>
      </c>
      <c r="M275" s="201">
        <f t="shared" si="126"/>
        <v>0</v>
      </c>
      <c r="N275" s="201">
        <f t="shared" si="126"/>
        <v>0</v>
      </c>
      <c r="O275" s="201">
        <f t="shared" si="126"/>
        <v>0</v>
      </c>
      <c r="P275" s="201">
        <f t="shared" si="126"/>
        <v>0</v>
      </c>
      <c r="Q275" s="201">
        <f t="shared" si="126"/>
        <v>0</v>
      </c>
      <c r="R275" s="201">
        <f t="shared" ref="R275:AE285" si="127">IF(VLOOKUP($D275,$C$6:$AE$598,R$2,)=0,0,((VLOOKUP($D275,$C$6:$AE$598,R$2,)/VLOOKUP($D275,$C$6:$AE$598,4,))*$F275))</f>
        <v>0</v>
      </c>
      <c r="S275" s="201">
        <f t="shared" si="127"/>
        <v>0</v>
      </c>
      <c r="T275" s="201">
        <f t="shared" si="127"/>
        <v>0</v>
      </c>
      <c r="U275" s="201">
        <f t="shared" si="127"/>
        <v>0</v>
      </c>
      <c r="V275" s="201">
        <f t="shared" si="127"/>
        <v>0</v>
      </c>
      <c r="W275" s="201">
        <f t="shared" si="127"/>
        <v>0</v>
      </c>
      <c r="X275" s="201">
        <f t="shared" si="127"/>
        <v>0</v>
      </c>
      <c r="Y275" s="201">
        <f t="shared" si="127"/>
        <v>0</v>
      </c>
      <c r="Z275" s="201">
        <f t="shared" si="127"/>
        <v>0</v>
      </c>
      <c r="AA275" s="201">
        <f t="shared" si="127"/>
        <v>0</v>
      </c>
      <c r="AB275" s="201">
        <f t="shared" si="127"/>
        <v>0</v>
      </c>
      <c r="AC275" s="201">
        <f t="shared" si="127"/>
        <v>0</v>
      </c>
      <c r="AD275" s="201">
        <f t="shared" si="127"/>
        <v>171595.59</v>
      </c>
      <c r="AE275" s="201">
        <f t="shared" si="127"/>
        <v>0</v>
      </c>
      <c r="AF275" s="201">
        <f t="shared" ref="AF275:AF285" si="128">SUM(H275:AE275)</f>
        <v>171595.59</v>
      </c>
      <c r="AG275" s="333" t="str">
        <f t="shared" ref="AG275:AG285" si="129">IF(ABS(AF275-F275)&lt;1,"ok","err")</f>
        <v>ok</v>
      </c>
    </row>
    <row r="276" spans="1:33">
      <c r="A276" s="318">
        <v>908</v>
      </c>
      <c r="B276" s="318" t="s">
        <v>1143</v>
      </c>
      <c r="C276" s="165" t="s">
        <v>1144</v>
      </c>
      <c r="D276" s="165" t="s">
        <v>696</v>
      </c>
      <c r="F276" s="340">
        <v>10918539.26</v>
      </c>
      <c r="H276" s="201">
        <f t="shared" si="126"/>
        <v>0</v>
      </c>
      <c r="I276" s="201">
        <f t="shared" si="126"/>
        <v>0</v>
      </c>
      <c r="J276" s="201">
        <f t="shared" si="126"/>
        <v>0</v>
      </c>
      <c r="K276" s="201">
        <f t="shared" si="126"/>
        <v>0</v>
      </c>
      <c r="L276" s="201">
        <f t="shared" si="126"/>
        <v>0</v>
      </c>
      <c r="M276" s="201">
        <f t="shared" si="126"/>
        <v>0</v>
      </c>
      <c r="N276" s="201">
        <f t="shared" si="126"/>
        <v>0</v>
      </c>
      <c r="O276" s="201">
        <f t="shared" si="126"/>
        <v>0</v>
      </c>
      <c r="P276" s="201">
        <f t="shared" si="126"/>
        <v>0</v>
      </c>
      <c r="Q276" s="201">
        <f t="shared" si="126"/>
        <v>0</v>
      </c>
      <c r="R276" s="201">
        <f t="shared" si="127"/>
        <v>0</v>
      </c>
      <c r="S276" s="201">
        <f t="shared" si="127"/>
        <v>0</v>
      </c>
      <c r="T276" s="201">
        <f t="shared" si="127"/>
        <v>0</v>
      </c>
      <c r="U276" s="201">
        <f t="shared" si="127"/>
        <v>0</v>
      </c>
      <c r="V276" s="201">
        <f t="shared" si="127"/>
        <v>0</v>
      </c>
      <c r="W276" s="201">
        <f t="shared" si="127"/>
        <v>0</v>
      </c>
      <c r="X276" s="201">
        <f t="shared" si="127"/>
        <v>0</v>
      </c>
      <c r="Y276" s="201">
        <f t="shared" si="127"/>
        <v>0</v>
      </c>
      <c r="Z276" s="201">
        <f t="shared" si="127"/>
        <v>0</v>
      </c>
      <c r="AA276" s="201">
        <f t="shared" si="127"/>
        <v>0</v>
      </c>
      <c r="AB276" s="201">
        <f t="shared" si="127"/>
        <v>0</v>
      </c>
      <c r="AC276" s="201">
        <f t="shared" si="127"/>
        <v>0</v>
      </c>
      <c r="AD276" s="201">
        <f t="shared" si="127"/>
        <v>10918539.26</v>
      </c>
      <c r="AE276" s="201">
        <f t="shared" si="127"/>
        <v>0</v>
      </c>
      <c r="AF276" s="201">
        <f t="shared" si="128"/>
        <v>10918539.26</v>
      </c>
      <c r="AG276" s="333" t="str">
        <f t="shared" si="129"/>
        <v>ok</v>
      </c>
    </row>
    <row r="277" spans="1:33">
      <c r="A277" s="318">
        <v>908</v>
      </c>
      <c r="B277" s="318" t="s">
        <v>199</v>
      </c>
      <c r="C277" s="165" t="s">
        <v>32</v>
      </c>
      <c r="D277" s="165" t="s">
        <v>696</v>
      </c>
      <c r="F277" s="340">
        <v>0</v>
      </c>
      <c r="H277" s="201">
        <f t="shared" si="126"/>
        <v>0</v>
      </c>
      <c r="I277" s="201">
        <f t="shared" si="126"/>
        <v>0</v>
      </c>
      <c r="J277" s="201">
        <f t="shared" si="126"/>
        <v>0</v>
      </c>
      <c r="K277" s="201">
        <f t="shared" si="126"/>
        <v>0</v>
      </c>
      <c r="L277" s="201">
        <f t="shared" si="126"/>
        <v>0</v>
      </c>
      <c r="M277" s="201">
        <f t="shared" si="126"/>
        <v>0</v>
      </c>
      <c r="N277" s="201">
        <f t="shared" si="126"/>
        <v>0</v>
      </c>
      <c r="O277" s="201">
        <f t="shared" si="126"/>
        <v>0</v>
      </c>
      <c r="P277" s="201">
        <f t="shared" si="126"/>
        <v>0</v>
      </c>
      <c r="Q277" s="201">
        <f t="shared" si="126"/>
        <v>0</v>
      </c>
      <c r="R277" s="201">
        <f t="shared" si="127"/>
        <v>0</v>
      </c>
      <c r="S277" s="201">
        <f t="shared" si="127"/>
        <v>0</v>
      </c>
      <c r="T277" s="201">
        <f t="shared" si="127"/>
        <v>0</v>
      </c>
      <c r="U277" s="201">
        <f t="shared" si="127"/>
        <v>0</v>
      </c>
      <c r="V277" s="201">
        <f t="shared" si="127"/>
        <v>0</v>
      </c>
      <c r="W277" s="201">
        <f t="shared" si="127"/>
        <v>0</v>
      </c>
      <c r="X277" s="201">
        <f t="shared" si="127"/>
        <v>0</v>
      </c>
      <c r="Y277" s="201">
        <f t="shared" si="127"/>
        <v>0</v>
      </c>
      <c r="Z277" s="201">
        <f t="shared" si="127"/>
        <v>0</v>
      </c>
      <c r="AA277" s="201">
        <f t="shared" si="127"/>
        <v>0</v>
      </c>
      <c r="AB277" s="201">
        <f t="shared" si="127"/>
        <v>0</v>
      </c>
      <c r="AC277" s="201">
        <f t="shared" si="127"/>
        <v>0</v>
      </c>
      <c r="AD277" s="201">
        <f t="shared" si="127"/>
        <v>0</v>
      </c>
      <c r="AE277" s="201">
        <f t="shared" si="127"/>
        <v>0</v>
      </c>
      <c r="AF277" s="201">
        <f t="shared" si="128"/>
        <v>0</v>
      </c>
      <c r="AG277" s="333" t="str">
        <f t="shared" si="129"/>
        <v>ok</v>
      </c>
    </row>
    <row r="278" spans="1:33">
      <c r="A278" s="318">
        <v>909</v>
      </c>
      <c r="B278" s="318" t="s">
        <v>1145</v>
      </c>
      <c r="C278" s="165" t="s">
        <v>1146</v>
      </c>
      <c r="D278" s="165" t="s">
        <v>696</v>
      </c>
      <c r="F278" s="340">
        <v>50474.93</v>
      </c>
      <c r="H278" s="201">
        <f t="shared" si="126"/>
        <v>0</v>
      </c>
      <c r="I278" s="201">
        <f t="shared" si="126"/>
        <v>0</v>
      </c>
      <c r="J278" s="201">
        <f t="shared" si="126"/>
        <v>0</v>
      </c>
      <c r="K278" s="201">
        <f t="shared" si="126"/>
        <v>0</v>
      </c>
      <c r="L278" s="201">
        <f t="shared" si="126"/>
        <v>0</v>
      </c>
      <c r="M278" s="201">
        <f t="shared" si="126"/>
        <v>0</v>
      </c>
      <c r="N278" s="201">
        <f t="shared" si="126"/>
        <v>0</v>
      </c>
      <c r="O278" s="201">
        <f t="shared" si="126"/>
        <v>0</v>
      </c>
      <c r="P278" s="201">
        <f t="shared" si="126"/>
        <v>0</v>
      </c>
      <c r="Q278" s="201">
        <f t="shared" si="126"/>
        <v>0</v>
      </c>
      <c r="R278" s="201">
        <f t="shared" si="127"/>
        <v>0</v>
      </c>
      <c r="S278" s="201">
        <f t="shared" si="127"/>
        <v>0</v>
      </c>
      <c r="T278" s="201">
        <f t="shared" si="127"/>
        <v>0</v>
      </c>
      <c r="U278" s="201">
        <f t="shared" si="127"/>
        <v>0</v>
      </c>
      <c r="V278" s="201">
        <f t="shared" si="127"/>
        <v>0</v>
      </c>
      <c r="W278" s="201">
        <f t="shared" si="127"/>
        <v>0</v>
      </c>
      <c r="X278" s="201">
        <f t="shared" si="127"/>
        <v>0</v>
      </c>
      <c r="Y278" s="201">
        <f t="shared" si="127"/>
        <v>0</v>
      </c>
      <c r="Z278" s="201">
        <f t="shared" si="127"/>
        <v>0</v>
      </c>
      <c r="AA278" s="201">
        <f t="shared" si="127"/>
        <v>0</v>
      </c>
      <c r="AB278" s="201">
        <f t="shared" si="127"/>
        <v>0</v>
      </c>
      <c r="AC278" s="201">
        <f t="shared" si="127"/>
        <v>0</v>
      </c>
      <c r="AD278" s="201">
        <f t="shared" si="127"/>
        <v>50474.93</v>
      </c>
      <c r="AE278" s="201">
        <f t="shared" si="127"/>
        <v>0</v>
      </c>
      <c r="AF278" s="201">
        <f t="shared" si="128"/>
        <v>50474.93</v>
      </c>
      <c r="AG278" s="333" t="str">
        <f t="shared" si="129"/>
        <v>ok</v>
      </c>
    </row>
    <row r="279" spans="1:33">
      <c r="A279" s="318">
        <v>909</v>
      </c>
      <c r="B279" s="318" t="s">
        <v>33</v>
      </c>
      <c r="C279" s="165" t="s">
        <v>34</v>
      </c>
      <c r="D279" s="165" t="s">
        <v>696</v>
      </c>
      <c r="F279" s="340">
        <v>0</v>
      </c>
      <c r="H279" s="201">
        <f t="shared" si="126"/>
        <v>0</v>
      </c>
      <c r="I279" s="201">
        <f t="shared" si="126"/>
        <v>0</v>
      </c>
      <c r="J279" s="201">
        <f t="shared" si="126"/>
        <v>0</v>
      </c>
      <c r="K279" s="201">
        <f t="shared" si="126"/>
        <v>0</v>
      </c>
      <c r="L279" s="201">
        <f t="shared" si="126"/>
        <v>0</v>
      </c>
      <c r="M279" s="201">
        <f t="shared" si="126"/>
        <v>0</v>
      </c>
      <c r="N279" s="201">
        <f t="shared" si="126"/>
        <v>0</v>
      </c>
      <c r="O279" s="201">
        <f t="shared" si="126"/>
        <v>0</v>
      </c>
      <c r="P279" s="201">
        <f t="shared" si="126"/>
        <v>0</v>
      </c>
      <c r="Q279" s="201">
        <f t="shared" si="126"/>
        <v>0</v>
      </c>
      <c r="R279" s="201">
        <f t="shared" si="127"/>
        <v>0</v>
      </c>
      <c r="S279" s="201">
        <f t="shared" si="127"/>
        <v>0</v>
      </c>
      <c r="T279" s="201">
        <f t="shared" si="127"/>
        <v>0</v>
      </c>
      <c r="U279" s="201">
        <f t="shared" si="127"/>
        <v>0</v>
      </c>
      <c r="V279" s="201">
        <f t="shared" si="127"/>
        <v>0</v>
      </c>
      <c r="W279" s="201">
        <f t="shared" si="127"/>
        <v>0</v>
      </c>
      <c r="X279" s="201">
        <f t="shared" si="127"/>
        <v>0</v>
      </c>
      <c r="Y279" s="201">
        <f t="shared" si="127"/>
        <v>0</v>
      </c>
      <c r="Z279" s="201">
        <f t="shared" si="127"/>
        <v>0</v>
      </c>
      <c r="AA279" s="201">
        <f t="shared" si="127"/>
        <v>0</v>
      </c>
      <c r="AB279" s="201">
        <f t="shared" si="127"/>
        <v>0</v>
      </c>
      <c r="AC279" s="201">
        <f t="shared" si="127"/>
        <v>0</v>
      </c>
      <c r="AD279" s="201">
        <f t="shared" si="127"/>
        <v>0</v>
      </c>
      <c r="AE279" s="201">
        <f t="shared" si="127"/>
        <v>0</v>
      </c>
      <c r="AF279" s="201">
        <f t="shared" si="128"/>
        <v>0</v>
      </c>
      <c r="AG279" s="333" t="str">
        <f t="shared" si="129"/>
        <v>ok</v>
      </c>
    </row>
    <row r="280" spans="1:33">
      <c r="A280" s="318">
        <v>910</v>
      </c>
      <c r="B280" s="318" t="s">
        <v>1147</v>
      </c>
      <c r="C280" s="165" t="s">
        <v>1148</v>
      </c>
      <c r="D280" s="165" t="s">
        <v>696</v>
      </c>
      <c r="F280" s="340">
        <v>317976.51</v>
      </c>
      <c r="H280" s="201">
        <f t="shared" si="126"/>
        <v>0</v>
      </c>
      <c r="I280" s="201">
        <f t="shared" si="126"/>
        <v>0</v>
      </c>
      <c r="J280" s="201">
        <f t="shared" si="126"/>
        <v>0</v>
      </c>
      <c r="K280" s="201">
        <f t="shared" si="126"/>
        <v>0</v>
      </c>
      <c r="L280" s="201">
        <f t="shared" si="126"/>
        <v>0</v>
      </c>
      <c r="M280" s="201">
        <f t="shared" si="126"/>
        <v>0</v>
      </c>
      <c r="N280" s="201">
        <f t="shared" si="126"/>
        <v>0</v>
      </c>
      <c r="O280" s="201">
        <f t="shared" si="126"/>
        <v>0</v>
      </c>
      <c r="P280" s="201">
        <f t="shared" si="126"/>
        <v>0</v>
      </c>
      <c r="Q280" s="201">
        <f t="shared" si="126"/>
        <v>0</v>
      </c>
      <c r="R280" s="201">
        <f t="shared" si="127"/>
        <v>0</v>
      </c>
      <c r="S280" s="201">
        <f t="shared" si="127"/>
        <v>0</v>
      </c>
      <c r="T280" s="201">
        <f t="shared" si="127"/>
        <v>0</v>
      </c>
      <c r="U280" s="201">
        <f t="shared" si="127"/>
        <v>0</v>
      </c>
      <c r="V280" s="201">
        <f t="shared" si="127"/>
        <v>0</v>
      </c>
      <c r="W280" s="201">
        <f t="shared" si="127"/>
        <v>0</v>
      </c>
      <c r="X280" s="201">
        <f t="shared" si="127"/>
        <v>0</v>
      </c>
      <c r="Y280" s="201">
        <f t="shared" si="127"/>
        <v>0</v>
      </c>
      <c r="Z280" s="201">
        <f t="shared" si="127"/>
        <v>0</v>
      </c>
      <c r="AA280" s="201">
        <f t="shared" si="127"/>
        <v>0</v>
      </c>
      <c r="AB280" s="201">
        <f t="shared" si="127"/>
        <v>0</v>
      </c>
      <c r="AC280" s="201">
        <f t="shared" si="127"/>
        <v>0</v>
      </c>
      <c r="AD280" s="201">
        <f t="shared" si="127"/>
        <v>317976.51</v>
      </c>
      <c r="AE280" s="201">
        <f t="shared" si="127"/>
        <v>0</v>
      </c>
      <c r="AF280" s="201">
        <f t="shared" si="128"/>
        <v>317976.51</v>
      </c>
      <c r="AG280" s="333" t="str">
        <f t="shared" si="129"/>
        <v>ok</v>
      </c>
    </row>
    <row r="281" spans="1:33">
      <c r="A281" s="318">
        <v>911</v>
      </c>
      <c r="B281" s="318" t="s">
        <v>151</v>
      </c>
      <c r="C281" s="165" t="s">
        <v>186</v>
      </c>
      <c r="D281" s="165" t="s">
        <v>696</v>
      </c>
      <c r="F281" s="340">
        <v>0</v>
      </c>
      <c r="H281" s="201">
        <f t="shared" si="126"/>
        <v>0</v>
      </c>
      <c r="I281" s="201">
        <f t="shared" si="126"/>
        <v>0</v>
      </c>
      <c r="J281" s="201">
        <f t="shared" si="126"/>
        <v>0</v>
      </c>
      <c r="K281" s="201">
        <f t="shared" si="126"/>
        <v>0</v>
      </c>
      <c r="L281" s="201">
        <f t="shared" si="126"/>
        <v>0</v>
      </c>
      <c r="M281" s="201">
        <f t="shared" si="126"/>
        <v>0</v>
      </c>
      <c r="N281" s="201">
        <f t="shared" si="126"/>
        <v>0</v>
      </c>
      <c r="O281" s="201">
        <f t="shared" si="126"/>
        <v>0</v>
      </c>
      <c r="P281" s="201">
        <f t="shared" si="126"/>
        <v>0</v>
      </c>
      <c r="Q281" s="201">
        <f t="shared" si="126"/>
        <v>0</v>
      </c>
      <c r="R281" s="201">
        <f t="shared" si="127"/>
        <v>0</v>
      </c>
      <c r="S281" s="201">
        <f t="shared" si="127"/>
        <v>0</v>
      </c>
      <c r="T281" s="201">
        <f t="shared" si="127"/>
        <v>0</v>
      </c>
      <c r="U281" s="201">
        <f t="shared" si="127"/>
        <v>0</v>
      </c>
      <c r="V281" s="201">
        <f t="shared" si="127"/>
        <v>0</v>
      </c>
      <c r="W281" s="201">
        <f t="shared" si="127"/>
        <v>0</v>
      </c>
      <c r="X281" s="201">
        <f t="shared" si="127"/>
        <v>0</v>
      </c>
      <c r="Y281" s="201">
        <f t="shared" si="127"/>
        <v>0</v>
      </c>
      <c r="Z281" s="201">
        <f t="shared" si="127"/>
        <v>0</v>
      </c>
      <c r="AA281" s="201">
        <f t="shared" si="127"/>
        <v>0</v>
      </c>
      <c r="AB281" s="201">
        <f t="shared" si="127"/>
        <v>0</v>
      </c>
      <c r="AC281" s="201">
        <f t="shared" si="127"/>
        <v>0</v>
      </c>
      <c r="AD281" s="201">
        <f t="shared" si="127"/>
        <v>0</v>
      </c>
      <c r="AE281" s="201">
        <f t="shared" si="127"/>
        <v>0</v>
      </c>
      <c r="AF281" s="201">
        <f t="shared" si="128"/>
        <v>0</v>
      </c>
      <c r="AG281" s="333" t="str">
        <f t="shared" si="129"/>
        <v>ok</v>
      </c>
    </row>
    <row r="282" spans="1:33">
      <c r="A282" s="318">
        <v>912</v>
      </c>
      <c r="B282" s="318" t="s">
        <v>151</v>
      </c>
      <c r="C282" s="165" t="s">
        <v>152</v>
      </c>
      <c r="D282" s="165" t="s">
        <v>696</v>
      </c>
      <c r="F282" s="340">
        <v>0</v>
      </c>
      <c r="H282" s="201">
        <f t="shared" si="126"/>
        <v>0</v>
      </c>
      <c r="I282" s="201">
        <f t="shared" si="126"/>
        <v>0</v>
      </c>
      <c r="J282" s="201">
        <f t="shared" si="126"/>
        <v>0</v>
      </c>
      <c r="K282" s="201">
        <f t="shared" si="126"/>
        <v>0</v>
      </c>
      <c r="L282" s="201">
        <f t="shared" si="126"/>
        <v>0</v>
      </c>
      <c r="M282" s="201">
        <f t="shared" si="126"/>
        <v>0</v>
      </c>
      <c r="N282" s="201">
        <f t="shared" si="126"/>
        <v>0</v>
      </c>
      <c r="O282" s="201">
        <f t="shared" si="126"/>
        <v>0</v>
      </c>
      <c r="P282" s="201">
        <f t="shared" si="126"/>
        <v>0</v>
      </c>
      <c r="Q282" s="201">
        <f t="shared" si="126"/>
        <v>0</v>
      </c>
      <c r="R282" s="201">
        <f t="shared" si="127"/>
        <v>0</v>
      </c>
      <c r="S282" s="201">
        <f t="shared" si="127"/>
        <v>0</v>
      </c>
      <c r="T282" s="201">
        <f t="shared" si="127"/>
        <v>0</v>
      </c>
      <c r="U282" s="201">
        <f t="shared" si="127"/>
        <v>0</v>
      </c>
      <c r="V282" s="201">
        <f t="shared" si="127"/>
        <v>0</v>
      </c>
      <c r="W282" s="201">
        <f t="shared" si="127"/>
        <v>0</v>
      </c>
      <c r="X282" s="201">
        <f t="shared" si="127"/>
        <v>0</v>
      </c>
      <c r="Y282" s="201">
        <f t="shared" si="127"/>
        <v>0</v>
      </c>
      <c r="Z282" s="201">
        <f t="shared" si="127"/>
        <v>0</v>
      </c>
      <c r="AA282" s="201">
        <f t="shared" si="127"/>
        <v>0</v>
      </c>
      <c r="AB282" s="201">
        <f t="shared" si="127"/>
        <v>0</v>
      </c>
      <c r="AC282" s="201">
        <f t="shared" si="127"/>
        <v>0</v>
      </c>
      <c r="AD282" s="201">
        <f t="shared" si="127"/>
        <v>0</v>
      </c>
      <c r="AE282" s="201">
        <f t="shared" si="127"/>
        <v>0</v>
      </c>
      <c r="AF282" s="201">
        <f t="shared" si="128"/>
        <v>0</v>
      </c>
      <c r="AG282" s="333" t="str">
        <f t="shared" si="129"/>
        <v>ok</v>
      </c>
    </row>
    <row r="283" spans="1:33">
      <c r="A283" s="318">
        <v>913</v>
      </c>
      <c r="B283" s="318" t="s">
        <v>161</v>
      </c>
      <c r="C283" s="165" t="s">
        <v>140</v>
      </c>
      <c r="D283" s="165" t="s">
        <v>696</v>
      </c>
      <c r="F283" s="340">
        <v>19133.990000000002</v>
      </c>
      <c r="H283" s="201">
        <f t="shared" si="126"/>
        <v>0</v>
      </c>
      <c r="I283" s="201">
        <f t="shared" si="126"/>
        <v>0</v>
      </c>
      <c r="J283" s="201">
        <f t="shared" si="126"/>
        <v>0</v>
      </c>
      <c r="K283" s="201">
        <f t="shared" si="126"/>
        <v>0</v>
      </c>
      <c r="L283" s="201">
        <f t="shared" si="126"/>
        <v>0</v>
      </c>
      <c r="M283" s="201">
        <f t="shared" si="126"/>
        <v>0</v>
      </c>
      <c r="N283" s="201">
        <f t="shared" si="126"/>
        <v>0</v>
      </c>
      <c r="O283" s="201">
        <f t="shared" si="126"/>
        <v>0</v>
      </c>
      <c r="P283" s="201">
        <f t="shared" si="126"/>
        <v>0</v>
      </c>
      <c r="Q283" s="201">
        <f t="shared" si="126"/>
        <v>0</v>
      </c>
      <c r="R283" s="201">
        <f t="shared" si="127"/>
        <v>0</v>
      </c>
      <c r="S283" s="201">
        <f t="shared" si="127"/>
        <v>0</v>
      </c>
      <c r="T283" s="201">
        <f t="shared" si="127"/>
        <v>0</v>
      </c>
      <c r="U283" s="201">
        <f t="shared" si="127"/>
        <v>0</v>
      </c>
      <c r="V283" s="201">
        <f t="shared" si="127"/>
        <v>0</v>
      </c>
      <c r="W283" s="201">
        <f t="shared" si="127"/>
        <v>0</v>
      </c>
      <c r="X283" s="201">
        <f t="shared" si="127"/>
        <v>0</v>
      </c>
      <c r="Y283" s="201">
        <f t="shared" si="127"/>
        <v>0</v>
      </c>
      <c r="Z283" s="201">
        <f t="shared" si="127"/>
        <v>0</v>
      </c>
      <c r="AA283" s="201">
        <f t="shared" si="127"/>
        <v>0</v>
      </c>
      <c r="AB283" s="201">
        <f t="shared" si="127"/>
        <v>0</v>
      </c>
      <c r="AC283" s="201">
        <f t="shared" si="127"/>
        <v>0</v>
      </c>
      <c r="AD283" s="201">
        <f t="shared" si="127"/>
        <v>19133.990000000002</v>
      </c>
      <c r="AE283" s="201">
        <f t="shared" si="127"/>
        <v>0</v>
      </c>
      <c r="AF283" s="201">
        <f t="shared" si="128"/>
        <v>19133.990000000002</v>
      </c>
      <c r="AG283" s="333" t="str">
        <f t="shared" si="129"/>
        <v>ok</v>
      </c>
    </row>
    <row r="284" spans="1:33">
      <c r="A284" s="318">
        <v>915</v>
      </c>
      <c r="B284" s="318" t="s">
        <v>162</v>
      </c>
      <c r="C284" s="165" t="s">
        <v>164</v>
      </c>
      <c r="D284" s="165" t="s">
        <v>696</v>
      </c>
      <c r="F284" s="340">
        <v>0</v>
      </c>
      <c r="H284" s="201">
        <f t="shared" si="126"/>
        <v>0</v>
      </c>
      <c r="I284" s="201">
        <f t="shared" si="126"/>
        <v>0</v>
      </c>
      <c r="J284" s="201">
        <f t="shared" si="126"/>
        <v>0</v>
      </c>
      <c r="K284" s="201">
        <f t="shared" si="126"/>
        <v>0</v>
      </c>
      <c r="L284" s="201">
        <f t="shared" si="126"/>
        <v>0</v>
      </c>
      <c r="M284" s="201">
        <f t="shared" si="126"/>
        <v>0</v>
      </c>
      <c r="N284" s="201">
        <f t="shared" si="126"/>
        <v>0</v>
      </c>
      <c r="O284" s="201">
        <f t="shared" si="126"/>
        <v>0</v>
      </c>
      <c r="P284" s="201">
        <f t="shared" si="126"/>
        <v>0</v>
      </c>
      <c r="Q284" s="201">
        <f t="shared" si="126"/>
        <v>0</v>
      </c>
      <c r="R284" s="201">
        <f t="shared" si="127"/>
        <v>0</v>
      </c>
      <c r="S284" s="201">
        <f t="shared" si="127"/>
        <v>0</v>
      </c>
      <c r="T284" s="201">
        <f t="shared" si="127"/>
        <v>0</v>
      </c>
      <c r="U284" s="201">
        <f t="shared" si="127"/>
        <v>0</v>
      </c>
      <c r="V284" s="201">
        <f t="shared" si="127"/>
        <v>0</v>
      </c>
      <c r="W284" s="201">
        <f t="shared" si="127"/>
        <v>0</v>
      </c>
      <c r="X284" s="201">
        <f t="shared" si="127"/>
        <v>0</v>
      </c>
      <c r="Y284" s="201">
        <f t="shared" si="127"/>
        <v>0</v>
      </c>
      <c r="Z284" s="201">
        <f t="shared" si="127"/>
        <v>0</v>
      </c>
      <c r="AA284" s="201">
        <f t="shared" si="127"/>
        <v>0</v>
      </c>
      <c r="AB284" s="201">
        <f t="shared" si="127"/>
        <v>0</v>
      </c>
      <c r="AC284" s="201">
        <f t="shared" si="127"/>
        <v>0</v>
      </c>
      <c r="AD284" s="201">
        <f t="shared" si="127"/>
        <v>0</v>
      </c>
      <c r="AE284" s="201">
        <f t="shared" si="127"/>
        <v>0</v>
      </c>
      <c r="AF284" s="201">
        <f t="shared" si="128"/>
        <v>0</v>
      </c>
      <c r="AG284" s="333" t="str">
        <f t="shared" si="129"/>
        <v>ok</v>
      </c>
    </row>
    <row r="285" spans="1:33">
      <c r="A285" s="318">
        <v>916</v>
      </c>
      <c r="B285" s="318" t="s">
        <v>163</v>
      </c>
      <c r="C285" s="165" t="s">
        <v>165</v>
      </c>
      <c r="D285" s="165" t="s">
        <v>696</v>
      </c>
      <c r="F285" s="340">
        <v>0</v>
      </c>
      <c r="H285" s="201">
        <f t="shared" si="126"/>
        <v>0</v>
      </c>
      <c r="I285" s="201">
        <f t="shared" si="126"/>
        <v>0</v>
      </c>
      <c r="J285" s="201">
        <f t="shared" si="126"/>
        <v>0</v>
      </c>
      <c r="K285" s="201">
        <f t="shared" si="126"/>
        <v>0</v>
      </c>
      <c r="L285" s="201">
        <f t="shared" si="126"/>
        <v>0</v>
      </c>
      <c r="M285" s="201">
        <f t="shared" si="126"/>
        <v>0</v>
      </c>
      <c r="N285" s="201">
        <f t="shared" si="126"/>
        <v>0</v>
      </c>
      <c r="O285" s="201">
        <f t="shared" si="126"/>
        <v>0</v>
      </c>
      <c r="P285" s="201">
        <f t="shared" si="126"/>
        <v>0</v>
      </c>
      <c r="Q285" s="201">
        <f t="shared" si="126"/>
        <v>0</v>
      </c>
      <c r="R285" s="201">
        <f t="shared" si="127"/>
        <v>0</v>
      </c>
      <c r="S285" s="201">
        <f t="shared" si="127"/>
        <v>0</v>
      </c>
      <c r="T285" s="201">
        <f t="shared" si="127"/>
        <v>0</v>
      </c>
      <c r="U285" s="201">
        <f t="shared" si="127"/>
        <v>0</v>
      </c>
      <c r="V285" s="201">
        <f t="shared" si="127"/>
        <v>0</v>
      </c>
      <c r="W285" s="201">
        <f t="shared" si="127"/>
        <v>0</v>
      </c>
      <c r="X285" s="201">
        <f t="shared" si="127"/>
        <v>0</v>
      </c>
      <c r="Y285" s="201">
        <f t="shared" si="127"/>
        <v>0</v>
      </c>
      <c r="Z285" s="201">
        <f t="shared" si="127"/>
        <v>0</v>
      </c>
      <c r="AA285" s="201">
        <f t="shared" si="127"/>
        <v>0</v>
      </c>
      <c r="AB285" s="201">
        <f t="shared" si="127"/>
        <v>0</v>
      </c>
      <c r="AC285" s="201">
        <f t="shared" si="127"/>
        <v>0</v>
      </c>
      <c r="AD285" s="201">
        <f t="shared" si="127"/>
        <v>0</v>
      </c>
      <c r="AE285" s="201">
        <f t="shared" si="127"/>
        <v>0</v>
      </c>
      <c r="AF285" s="201">
        <f t="shared" si="128"/>
        <v>0</v>
      </c>
      <c r="AG285" s="333" t="str">
        <f t="shared" si="129"/>
        <v>ok</v>
      </c>
    </row>
    <row r="286" spans="1:33">
      <c r="A286" s="318"/>
      <c r="B286" s="318"/>
      <c r="F286" s="340"/>
      <c r="H286" s="201"/>
      <c r="I286" s="201"/>
      <c r="J286" s="201"/>
      <c r="K286" s="201"/>
      <c r="L286" s="201"/>
      <c r="M286" s="201"/>
      <c r="N286" s="201"/>
      <c r="O286" s="201"/>
      <c r="P286" s="201"/>
      <c r="Q286" s="201"/>
      <c r="R286" s="201"/>
      <c r="S286" s="201"/>
      <c r="T286" s="201"/>
      <c r="U286" s="201"/>
      <c r="V286" s="201"/>
      <c r="W286" s="201"/>
      <c r="X286" s="201"/>
      <c r="Y286" s="201"/>
      <c r="Z286" s="201"/>
      <c r="AA286" s="201"/>
      <c r="AB286" s="201"/>
      <c r="AC286" s="201"/>
      <c r="AD286" s="201"/>
      <c r="AE286" s="201"/>
      <c r="AF286" s="201"/>
      <c r="AG286" s="333"/>
    </row>
    <row r="287" spans="1:33">
      <c r="A287" s="318" t="s">
        <v>1149</v>
      </c>
      <c r="B287" s="318"/>
      <c r="C287" s="165" t="s">
        <v>1150</v>
      </c>
      <c r="F287" s="203">
        <f t="shared" ref="F287:M287" si="130">SUM(F275:F286)</f>
        <v>11477720.279999999</v>
      </c>
      <c r="G287" s="347">
        <f t="shared" si="130"/>
        <v>0</v>
      </c>
      <c r="H287" s="347">
        <f t="shared" si="130"/>
        <v>0</v>
      </c>
      <c r="I287" s="347">
        <f t="shared" si="130"/>
        <v>0</v>
      </c>
      <c r="J287" s="347">
        <f t="shared" si="130"/>
        <v>0</v>
      </c>
      <c r="K287" s="347">
        <f t="shared" si="130"/>
        <v>0</v>
      </c>
      <c r="L287" s="347">
        <f t="shared" si="130"/>
        <v>0</v>
      </c>
      <c r="M287" s="347">
        <f t="shared" si="130"/>
        <v>0</v>
      </c>
      <c r="N287" s="347">
        <f>SUM(N275:N286)</f>
        <v>0</v>
      </c>
      <c r="O287" s="347">
        <f>SUM(O275:O286)</f>
        <v>0</v>
      </c>
      <c r="P287" s="347">
        <f>SUM(P275:P286)</f>
        <v>0</v>
      </c>
      <c r="Q287" s="347">
        <f t="shared" ref="Q287:AB287" si="131">SUM(Q275:Q286)</f>
        <v>0</v>
      </c>
      <c r="R287" s="347">
        <f t="shared" si="131"/>
        <v>0</v>
      </c>
      <c r="S287" s="347">
        <f t="shared" si="131"/>
        <v>0</v>
      </c>
      <c r="T287" s="347">
        <f t="shared" si="131"/>
        <v>0</v>
      </c>
      <c r="U287" s="347">
        <f t="shared" si="131"/>
        <v>0</v>
      </c>
      <c r="V287" s="347">
        <f t="shared" si="131"/>
        <v>0</v>
      </c>
      <c r="W287" s="347">
        <f t="shared" si="131"/>
        <v>0</v>
      </c>
      <c r="X287" s="347">
        <f t="shared" si="131"/>
        <v>0</v>
      </c>
      <c r="Y287" s="347">
        <f t="shared" si="131"/>
        <v>0</v>
      </c>
      <c r="Z287" s="347">
        <f t="shared" si="131"/>
        <v>0</v>
      </c>
      <c r="AA287" s="347">
        <f t="shared" si="131"/>
        <v>0</v>
      </c>
      <c r="AB287" s="347">
        <f t="shared" si="131"/>
        <v>0</v>
      </c>
      <c r="AC287" s="347">
        <f>SUM(AC275:AC286)</f>
        <v>0</v>
      </c>
      <c r="AD287" s="347">
        <f>SUM(AD275:AD286)</f>
        <v>11477720.279999999</v>
      </c>
      <c r="AE287" s="347">
        <f>SUM(AE275:AE286)</f>
        <v>0</v>
      </c>
      <c r="AF287" s="201">
        <f>SUM(H287:AE287)</f>
        <v>11477720.279999999</v>
      </c>
      <c r="AG287" s="333" t="str">
        <f>IF(ABS(AF287-F287)&lt;1,"ok","err")</f>
        <v>ok</v>
      </c>
    </row>
    <row r="288" spans="1:33">
      <c r="A288" s="318"/>
      <c r="B288" s="318"/>
      <c r="F288" s="340"/>
      <c r="H288" s="201"/>
      <c r="I288" s="201"/>
      <c r="J288" s="201"/>
      <c r="K288" s="201"/>
      <c r="L288" s="201"/>
      <c r="M288" s="201"/>
      <c r="N288" s="201"/>
      <c r="O288" s="201"/>
      <c r="P288" s="201"/>
      <c r="Q288" s="201"/>
      <c r="R288" s="201"/>
      <c r="S288" s="201"/>
      <c r="T288" s="201"/>
      <c r="U288" s="201"/>
      <c r="V288" s="201"/>
      <c r="W288" s="201"/>
      <c r="X288" s="201"/>
      <c r="Y288" s="201"/>
      <c r="Z288" s="201"/>
      <c r="AA288" s="201"/>
      <c r="AB288" s="201"/>
      <c r="AC288" s="201"/>
      <c r="AD288" s="201"/>
      <c r="AE288" s="201"/>
      <c r="AG288" s="333"/>
    </row>
    <row r="289" spans="1:33">
      <c r="A289" s="318" t="s">
        <v>293</v>
      </c>
      <c r="B289" s="318"/>
      <c r="C289" s="165" t="s">
        <v>18</v>
      </c>
      <c r="F289" s="340">
        <f>F261+F272+F287</f>
        <v>645392778.83999968</v>
      </c>
      <c r="G289" s="201">
        <f>G259+G272+G287</f>
        <v>0</v>
      </c>
      <c r="H289" s="201">
        <f t="shared" ref="H289:AF289" si="132">H261+H272+H287</f>
        <v>28996691.490164131</v>
      </c>
      <c r="I289" s="201">
        <f t="shared" si="132"/>
        <v>27334535.852034438</v>
      </c>
      <c r="J289" s="201">
        <f t="shared" si="132"/>
        <v>28072757.021243427</v>
      </c>
      <c r="K289" s="201">
        <f t="shared" si="132"/>
        <v>476713273.59655797</v>
      </c>
      <c r="L289" s="201">
        <f t="shared" si="132"/>
        <v>0</v>
      </c>
      <c r="M289" s="201">
        <f t="shared" si="132"/>
        <v>0</v>
      </c>
      <c r="N289" s="201">
        <f t="shared" si="132"/>
        <v>5751728.8327057436</v>
      </c>
      <c r="O289" s="201">
        <f t="shared" si="132"/>
        <v>5422026.7868182715</v>
      </c>
      <c r="P289" s="201">
        <f t="shared" si="132"/>
        <v>5568458.9404759863</v>
      </c>
      <c r="Q289" s="201">
        <f t="shared" si="132"/>
        <v>0</v>
      </c>
      <c r="R289" s="201">
        <f t="shared" si="132"/>
        <v>4128263.1922795214</v>
      </c>
      <c r="S289" s="201">
        <f t="shared" si="132"/>
        <v>0</v>
      </c>
      <c r="T289" s="201">
        <f t="shared" si="132"/>
        <v>9996501.1941147186</v>
      </c>
      <c r="U289" s="201">
        <f t="shared" si="132"/>
        <v>13151091.323709931</v>
      </c>
      <c r="V289" s="201">
        <f t="shared" si="132"/>
        <v>3332167.0647049062</v>
      </c>
      <c r="W289" s="201">
        <f t="shared" si="132"/>
        <v>4383697.107903311</v>
      </c>
      <c r="X289" s="201">
        <f t="shared" si="132"/>
        <v>412934.47415233805</v>
      </c>
      <c r="Y289" s="201">
        <f t="shared" si="132"/>
        <v>328420.05753947172</v>
      </c>
      <c r="Z289" s="201">
        <f t="shared" si="132"/>
        <v>104667.2734349331</v>
      </c>
      <c r="AA289" s="201">
        <f t="shared" si="132"/>
        <v>7308468.2887265375</v>
      </c>
      <c r="AB289" s="201">
        <f t="shared" si="132"/>
        <v>643119.38343433035</v>
      </c>
      <c r="AC289" s="201">
        <f t="shared" si="132"/>
        <v>12266256.680000002</v>
      </c>
      <c r="AD289" s="201">
        <f t="shared" si="132"/>
        <v>11477720.279999999</v>
      </c>
      <c r="AE289" s="201">
        <f t="shared" si="132"/>
        <v>0</v>
      </c>
      <c r="AF289" s="201">
        <f t="shared" si="132"/>
        <v>645392778.83999979</v>
      </c>
      <c r="AG289" s="333" t="str">
        <f>IF(ABS(AF289-F289)&lt;1,"ok","err")</f>
        <v>ok</v>
      </c>
    </row>
    <row r="290" spans="1:33">
      <c r="A290" s="318"/>
      <c r="B290" s="318"/>
      <c r="F290" s="340"/>
      <c r="H290" s="201"/>
      <c r="I290" s="201"/>
      <c r="J290" s="201"/>
      <c r="K290" s="201"/>
      <c r="L290" s="201"/>
      <c r="M290" s="201"/>
      <c r="N290" s="201"/>
      <c r="O290" s="201"/>
      <c r="P290" s="201"/>
      <c r="Q290" s="201"/>
      <c r="R290" s="201"/>
      <c r="S290" s="201"/>
      <c r="T290" s="201"/>
      <c r="U290" s="201"/>
      <c r="V290" s="201"/>
      <c r="W290" s="201"/>
      <c r="X290" s="201"/>
      <c r="Y290" s="201"/>
      <c r="Z290" s="201"/>
      <c r="AA290" s="201"/>
      <c r="AB290" s="201"/>
      <c r="AC290" s="201"/>
      <c r="AD290" s="201"/>
      <c r="AE290" s="201"/>
      <c r="AG290" s="333"/>
    </row>
    <row r="291" spans="1:33">
      <c r="A291" s="6" t="s">
        <v>1128</v>
      </c>
      <c r="W291" s="165"/>
      <c r="AG291" s="333"/>
    </row>
    <row r="292" spans="1:33">
      <c r="W292" s="165"/>
      <c r="AG292" s="333"/>
    </row>
    <row r="293" spans="1:33">
      <c r="A293" s="318"/>
      <c r="B293" s="318"/>
      <c r="F293" s="340"/>
      <c r="H293" s="201"/>
      <c r="I293" s="201"/>
      <c r="J293" s="201"/>
      <c r="K293" s="201"/>
      <c r="L293" s="201"/>
      <c r="M293" s="201"/>
      <c r="N293" s="201"/>
      <c r="O293" s="201"/>
      <c r="P293" s="201"/>
      <c r="Q293" s="201"/>
      <c r="R293" s="201"/>
      <c r="S293" s="201"/>
      <c r="T293" s="201"/>
      <c r="U293" s="201"/>
      <c r="V293" s="201"/>
      <c r="W293" s="201"/>
      <c r="X293" s="201"/>
      <c r="Y293" s="201"/>
      <c r="Z293" s="201"/>
      <c r="AA293" s="201"/>
      <c r="AB293" s="201"/>
      <c r="AC293" s="201"/>
      <c r="AD293" s="201"/>
      <c r="AE293" s="201"/>
      <c r="AG293" s="333"/>
    </row>
    <row r="294" spans="1:33">
      <c r="A294" s="87" t="s">
        <v>1151</v>
      </c>
      <c r="B294" s="318"/>
      <c r="F294" s="340"/>
      <c r="H294" s="201"/>
      <c r="I294" s="201"/>
      <c r="J294" s="201"/>
      <c r="K294" s="201"/>
      <c r="L294" s="201"/>
      <c r="M294" s="201"/>
      <c r="N294" s="201"/>
      <c r="O294" s="201"/>
      <c r="P294" s="201"/>
      <c r="Q294" s="201"/>
      <c r="R294" s="201"/>
      <c r="S294" s="201"/>
      <c r="T294" s="201"/>
      <c r="U294" s="201"/>
      <c r="V294" s="201"/>
      <c r="W294" s="201"/>
      <c r="X294" s="201"/>
      <c r="Y294" s="201"/>
      <c r="Z294" s="201"/>
      <c r="AA294" s="201"/>
      <c r="AB294" s="201"/>
      <c r="AC294" s="201"/>
      <c r="AD294" s="201"/>
      <c r="AE294" s="201"/>
      <c r="AG294" s="333"/>
    </row>
    <row r="295" spans="1:33">
      <c r="A295" s="318">
        <v>920</v>
      </c>
      <c r="B295" s="318" t="s">
        <v>1152</v>
      </c>
      <c r="C295" s="165" t="s">
        <v>1153</v>
      </c>
      <c r="D295" s="165" t="s">
        <v>697</v>
      </c>
      <c r="F295" s="203">
        <v>16456590.77</v>
      </c>
      <c r="H295" s="201">
        <f t="shared" ref="H295:Q307" si="133">IF(VLOOKUP($D295,$C$6:$AE$598,H$2,)=0,0,((VLOOKUP($D295,$C$6:$AE$598,H$2,)/VLOOKUP($D295,$C$6:$AE$598,4,))*$F295))</f>
        <v>2207787.9202772942</v>
      </c>
      <c r="I295" s="201">
        <f t="shared" si="133"/>
        <v>2081232.5461675159</v>
      </c>
      <c r="J295" s="201">
        <f t="shared" si="133"/>
        <v>2137440.192492458</v>
      </c>
      <c r="K295" s="201">
        <f t="shared" si="133"/>
        <v>4328618.8100958439</v>
      </c>
      <c r="L295" s="201">
        <f t="shared" si="133"/>
        <v>0</v>
      </c>
      <c r="M295" s="201">
        <f t="shared" si="133"/>
        <v>0</v>
      </c>
      <c r="N295" s="201">
        <f t="shared" si="133"/>
        <v>339809.83242723363</v>
      </c>
      <c r="O295" s="201">
        <f t="shared" si="133"/>
        <v>320331.16779915284</v>
      </c>
      <c r="P295" s="201">
        <f t="shared" si="133"/>
        <v>328982.3207035535</v>
      </c>
      <c r="Q295" s="201">
        <f t="shared" si="133"/>
        <v>0</v>
      </c>
      <c r="R295" s="201">
        <f t="shared" ref="R295:AE307" si="134">IF(VLOOKUP($D295,$C$6:$AE$598,R$2,)=0,0,((VLOOKUP($D295,$C$6:$AE$598,R$2,)/VLOOKUP($D295,$C$6:$AE$598,4,))*$F295))</f>
        <v>402243.61675250053</v>
      </c>
      <c r="S295" s="201">
        <f t="shared" si="134"/>
        <v>0</v>
      </c>
      <c r="T295" s="201">
        <f t="shared" si="134"/>
        <v>590313.72485431109</v>
      </c>
      <c r="U295" s="201">
        <f t="shared" si="134"/>
        <v>803999.92132368265</v>
      </c>
      <c r="V295" s="201">
        <f t="shared" si="134"/>
        <v>196771.2416181037</v>
      </c>
      <c r="W295" s="201">
        <f t="shared" si="134"/>
        <v>267999.97377456096</v>
      </c>
      <c r="X295" s="201">
        <f t="shared" si="134"/>
        <v>52214.151904092527</v>
      </c>
      <c r="Y295" s="201">
        <f t="shared" si="134"/>
        <v>41527.592986558324</v>
      </c>
      <c r="Z295" s="201">
        <f t="shared" si="134"/>
        <v>12075.94918838655</v>
      </c>
      <c r="AA295" s="201">
        <f t="shared" si="134"/>
        <v>931711.10655096394</v>
      </c>
      <c r="AB295" s="201">
        <f t="shared" si="134"/>
        <v>38219.402958771178</v>
      </c>
      <c r="AC295" s="201">
        <f t="shared" si="134"/>
        <v>1149674.8044816165</v>
      </c>
      <c r="AD295" s="201">
        <f t="shared" si="134"/>
        <v>225636.49364340026</v>
      </c>
      <c r="AE295" s="201">
        <f t="shared" si="134"/>
        <v>0</v>
      </c>
      <c r="AF295" s="201">
        <f t="shared" ref="AF295:AF306" si="135">SUM(H295:AE295)</f>
        <v>16456590.77</v>
      </c>
      <c r="AG295" s="333" t="str">
        <f t="shared" ref="AG295:AG306" si="136">IF(ABS(AF295-F295)&lt;1,"ok","err")</f>
        <v>ok</v>
      </c>
    </row>
    <row r="296" spans="1:33">
      <c r="A296" s="318">
        <v>921</v>
      </c>
      <c r="B296" s="318" t="s">
        <v>1154</v>
      </c>
      <c r="C296" s="165" t="s">
        <v>1155</v>
      </c>
      <c r="D296" s="165" t="s">
        <v>697</v>
      </c>
      <c r="F296" s="340">
        <v>5348736.7</v>
      </c>
      <c r="H296" s="201">
        <f t="shared" si="133"/>
        <v>717577.31841586274</v>
      </c>
      <c r="I296" s="201">
        <f t="shared" si="133"/>
        <v>676444.17100132082</v>
      </c>
      <c r="J296" s="201">
        <f t="shared" si="133"/>
        <v>694712.83338228601</v>
      </c>
      <c r="K296" s="201">
        <f t="shared" si="133"/>
        <v>1406891.7805306751</v>
      </c>
      <c r="L296" s="201">
        <f t="shared" si="133"/>
        <v>0</v>
      </c>
      <c r="M296" s="201">
        <f t="shared" si="133"/>
        <v>0</v>
      </c>
      <c r="N296" s="201">
        <f t="shared" si="133"/>
        <v>110445.31319559543</v>
      </c>
      <c r="O296" s="201">
        <f t="shared" si="133"/>
        <v>104114.33919136017</v>
      </c>
      <c r="P296" s="201">
        <f t="shared" si="133"/>
        <v>106926.14509233898</v>
      </c>
      <c r="Q296" s="201">
        <f t="shared" si="133"/>
        <v>0</v>
      </c>
      <c r="R296" s="201">
        <f t="shared" si="134"/>
        <v>130737.60083935263</v>
      </c>
      <c r="S296" s="201">
        <f t="shared" si="134"/>
        <v>0</v>
      </c>
      <c r="T296" s="201">
        <f t="shared" si="134"/>
        <v>191864.32528892229</v>
      </c>
      <c r="U296" s="201">
        <f t="shared" si="134"/>
        <v>261316.81501253581</v>
      </c>
      <c r="V296" s="201">
        <f t="shared" si="134"/>
        <v>63954.775096307429</v>
      </c>
      <c r="W296" s="201">
        <f t="shared" si="134"/>
        <v>87105.605004178622</v>
      </c>
      <c r="X296" s="201">
        <f t="shared" si="134"/>
        <v>16970.693046455002</v>
      </c>
      <c r="Y296" s="201">
        <f t="shared" si="134"/>
        <v>13497.337557593477</v>
      </c>
      <c r="Z296" s="201">
        <f t="shared" si="134"/>
        <v>3924.9364290571316</v>
      </c>
      <c r="AA296" s="201">
        <f t="shared" si="134"/>
        <v>302825.62524988595</v>
      </c>
      <c r="AB296" s="201">
        <f t="shared" si="134"/>
        <v>12422.106505214386</v>
      </c>
      <c r="AC296" s="201">
        <f t="shared" si="134"/>
        <v>373668.3925449613</v>
      </c>
      <c r="AD296" s="201">
        <f t="shared" si="134"/>
        <v>73336.586616097266</v>
      </c>
      <c r="AE296" s="201">
        <f t="shared" si="134"/>
        <v>0</v>
      </c>
      <c r="AF296" s="201">
        <f t="shared" si="135"/>
        <v>5348736.7000000011</v>
      </c>
      <c r="AG296" s="333" t="str">
        <f t="shared" si="136"/>
        <v>ok</v>
      </c>
    </row>
    <row r="297" spans="1:33">
      <c r="A297" s="318">
        <v>922</v>
      </c>
      <c r="B297" s="318" t="s">
        <v>294</v>
      </c>
      <c r="C297" s="165" t="s">
        <v>295</v>
      </c>
      <c r="D297" s="165" t="s">
        <v>697</v>
      </c>
      <c r="F297" s="340">
        <v>-2107021.6</v>
      </c>
      <c r="H297" s="201">
        <f t="shared" si="133"/>
        <v>-282674.39479163382</v>
      </c>
      <c r="I297" s="201">
        <f t="shared" si="133"/>
        <v>-266470.86208111094</v>
      </c>
      <c r="J297" s="201">
        <f t="shared" si="133"/>
        <v>-273667.41491195065</v>
      </c>
      <c r="K297" s="201">
        <f t="shared" si="133"/>
        <v>-554215.23561640107</v>
      </c>
      <c r="L297" s="201">
        <f t="shared" si="133"/>
        <v>0</v>
      </c>
      <c r="M297" s="201">
        <f t="shared" si="133"/>
        <v>0</v>
      </c>
      <c r="N297" s="201">
        <f t="shared" si="133"/>
        <v>-43507.593208296188</v>
      </c>
      <c r="O297" s="201">
        <f t="shared" si="133"/>
        <v>-41013.640014458448</v>
      </c>
      <c r="P297" s="201">
        <f t="shared" si="133"/>
        <v>-42121.291428365177</v>
      </c>
      <c r="Q297" s="201">
        <f t="shared" si="133"/>
        <v>0</v>
      </c>
      <c r="R297" s="201">
        <f t="shared" si="134"/>
        <v>-51501.310374970242</v>
      </c>
      <c r="S297" s="201">
        <f t="shared" si="134"/>
        <v>0</v>
      </c>
      <c r="T297" s="201">
        <f t="shared" si="134"/>
        <v>-75580.889531014967</v>
      </c>
      <c r="U297" s="201">
        <f t="shared" si="134"/>
        <v>-102940.22767555884</v>
      </c>
      <c r="V297" s="201">
        <f t="shared" si="134"/>
        <v>-25193.629843671653</v>
      </c>
      <c r="W297" s="201">
        <f t="shared" si="134"/>
        <v>-34313.409225186282</v>
      </c>
      <c r="X297" s="201">
        <f t="shared" si="134"/>
        <v>-6685.2452871442511</v>
      </c>
      <c r="Y297" s="201">
        <f t="shared" si="134"/>
        <v>-5316.9904168849253</v>
      </c>
      <c r="Z297" s="201">
        <f t="shared" si="134"/>
        <v>-1546.1456225075062</v>
      </c>
      <c r="AA297" s="201">
        <f t="shared" si="134"/>
        <v>-119291.74480303266</v>
      </c>
      <c r="AB297" s="201">
        <f t="shared" si="134"/>
        <v>-4893.4259044733353</v>
      </c>
      <c r="AC297" s="201">
        <f t="shared" si="134"/>
        <v>-147198.75336722264</v>
      </c>
      <c r="AD297" s="201">
        <f t="shared" si="134"/>
        <v>-28889.395896116526</v>
      </c>
      <c r="AE297" s="201">
        <f t="shared" si="134"/>
        <v>0</v>
      </c>
      <c r="AF297" s="201">
        <f>SUM(H297:AE297)</f>
        <v>-2107021.6</v>
      </c>
      <c r="AG297" s="333" t="str">
        <f t="shared" si="136"/>
        <v>ok</v>
      </c>
    </row>
    <row r="298" spans="1:33">
      <c r="A298" s="318">
        <v>923</v>
      </c>
      <c r="B298" s="318" t="s">
        <v>1156</v>
      </c>
      <c r="C298" s="165" t="s">
        <v>1157</v>
      </c>
      <c r="D298" s="165" t="s">
        <v>697</v>
      </c>
      <c r="F298" s="340">
        <v>5267224.05</v>
      </c>
      <c r="H298" s="201">
        <f t="shared" si="133"/>
        <v>706641.72145443992</v>
      </c>
      <c r="I298" s="201">
        <f t="shared" si="133"/>
        <v>666135.4270776629</v>
      </c>
      <c r="J298" s="201">
        <f t="shared" si="133"/>
        <v>684125.68220731802</v>
      </c>
      <c r="K298" s="201">
        <f t="shared" si="133"/>
        <v>1385451.3014556302</v>
      </c>
      <c r="L298" s="201">
        <f t="shared" si="133"/>
        <v>0</v>
      </c>
      <c r="M298" s="201">
        <f t="shared" si="133"/>
        <v>0</v>
      </c>
      <c r="N298" s="201">
        <f t="shared" si="133"/>
        <v>108762.16992951298</v>
      </c>
      <c r="O298" s="201">
        <f t="shared" si="133"/>
        <v>102527.67748664648</v>
      </c>
      <c r="P298" s="201">
        <f t="shared" si="133"/>
        <v>105296.63256823939</v>
      </c>
      <c r="Q298" s="201">
        <f t="shared" si="133"/>
        <v>0</v>
      </c>
      <c r="R298" s="201">
        <f t="shared" si="134"/>
        <v>128745.21106644458</v>
      </c>
      <c r="S298" s="201">
        <f t="shared" si="134"/>
        <v>0</v>
      </c>
      <c r="T298" s="201">
        <f t="shared" si="134"/>
        <v>188940.38820397246</v>
      </c>
      <c r="U298" s="201">
        <f t="shared" si="134"/>
        <v>257334.44921740671</v>
      </c>
      <c r="V298" s="201">
        <f t="shared" si="134"/>
        <v>62980.129401324157</v>
      </c>
      <c r="W298" s="201">
        <f t="shared" si="134"/>
        <v>85778.149739135595</v>
      </c>
      <c r="X298" s="201">
        <f t="shared" si="134"/>
        <v>16712.066338852605</v>
      </c>
      <c r="Y298" s="201">
        <f t="shared" si="134"/>
        <v>13291.643425694261</v>
      </c>
      <c r="Z298" s="201">
        <f t="shared" si="134"/>
        <v>3865.1219368960228</v>
      </c>
      <c r="AA298" s="201">
        <f t="shared" si="134"/>
        <v>298210.68146287446</v>
      </c>
      <c r="AB298" s="201">
        <f t="shared" si="134"/>
        <v>12232.798472941593</v>
      </c>
      <c r="AC298" s="201">
        <f t="shared" si="134"/>
        <v>367973.83276272705</v>
      </c>
      <c r="AD298" s="201">
        <f t="shared" si="134"/>
        <v>72218.965792280564</v>
      </c>
      <c r="AE298" s="201">
        <f t="shared" si="134"/>
        <v>0</v>
      </c>
      <c r="AF298" s="201">
        <f t="shared" si="135"/>
        <v>5267224.0500000017</v>
      </c>
      <c r="AG298" s="333" t="str">
        <f t="shared" si="136"/>
        <v>ok</v>
      </c>
    </row>
    <row r="299" spans="1:33">
      <c r="A299" s="318">
        <v>924</v>
      </c>
      <c r="B299" s="318" t="s">
        <v>1158</v>
      </c>
      <c r="C299" s="165" t="s">
        <v>1159</v>
      </c>
      <c r="D299" s="165" t="s">
        <v>1072</v>
      </c>
      <c r="F299" s="340">
        <v>4471918.43</v>
      </c>
      <c r="H299" s="201">
        <f t="shared" si="133"/>
        <v>1018930.8716286543</v>
      </c>
      <c r="I299" s="201">
        <f t="shared" si="133"/>
        <v>960523.46008942917</v>
      </c>
      <c r="J299" s="201">
        <f t="shared" si="133"/>
        <v>986464.22438841802</v>
      </c>
      <c r="K299" s="201">
        <f t="shared" si="133"/>
        <v>0</v>
      </c>
      <c r="L299" s="201">
        <f t="shared" si="133"/>
        <v>0</v>
      </c>
      <c r="M299" s="201">
        <f t="shared" si="133"/>
        <v>0</v>
      </c>
      <c r="N299" s="201">
        <f t="shared" si="133"/>
        <v>109403.97940098036</v>
      </c>
      <c r="O299" s="201">
        <f t="shared" si="133"/>
        <v>103132.69699426688</v>
      </c>
      <c r="P299" s="201">
        <f t="shared" si="133"/>
        <v>105917.99177925657</v>
      </c>
      <c r="Q299" s="201">
        <f t="shared" si="133"/>
        <v>0</v>
      </c>
      <c r="R299" s="201">
        <f t="shared" si="134"/>
        <v>130567.46191936405</v>
      </c>
      <c r="S299" s="201">
        <f t="shared" si="134"/>
        <v>0</v>
      </c>
      <c r="T299" s="201">
        <f t="shared" si="134"/>
        <v>201047.15977453216</v>
      </c>
      <c r="U299" s="201">
        <f t="shared" si="134"/>
        <v>329131.72119564255</v>
      </c>
      <c r="V299" s="201">
        <f t="shared" si="134"/>
        <v>67015.71992484403</v>
      </c>
      <c r="W299" s="201">
        <f t="shared" si="134"/>
        <v>109710.57373188085</v>
      </c>
      <c r="X299" s="201">
        <f t="shared" si="134"/>
        <v>93865.811608721429</v>
      </c>
      <c r="Y299" s="201">
        <f t="shared" si="134"/>
        <v>74654.496485931028</v>
      </c>
      <c r="Z299" s="201">
        <f t="shared" si="134"/>
        <v>34181.340315309164</v>
      </c>
      <c r="AA299" s="201">
        <f t="shared" si="134"/>
        <v>46060.596858571436</v>
      </c>
      <c r="AB299" s="201">
        <f t="shared" si="134"/>
        <v>101310.32390419724</v>
      </c>
      <c r="AC299" s="201">
        <f t="shared" si="134"/>
        <v>0</v>
      </c>
      <c r="AD299" s="201">
        <f t="shared" si="134"/>
        <v>0</v>
      </c>
      <c r="AE299" s="201">
        <f t="shared" si="134"/>
        <v>0</v>
      </c>
      <c r="AF299" s="201">
        <f t="shared" si="135"/>
        <v>4471918.4299999988</v>
      </c>
      <c r="AG299" s="333" t="str">
        <f t="shared" si="136"/>
        <v>ok</v>
      </c>
    </row>
    <row r="300" spans="1:33">
      <c r="A300" s="318">
        <v>925</v>
      </c>
      <c r="B300" s="318" t="s">
        <v>1160</v>
      </c>
      <c r="C300" s="165" t="s">
        <v>1161</v>
      </c>
      <c r="D300" s="165" t="s">
        <v>697</v>
      </c>
      <c r="F300" s="340">
        <v>2448359.89</v>
      </c>
      <c r="H300" s="201">
        <f t="shared" si="133"/>
        <v>328467.75284024671</v>
      </c>
      <c r="I300" s="201">
        <f t="shared" si="133"/>
        <v>309639.24174916575</v>
      </c>
      <c r="J300" s="201">
        <f t="shared" si="133"/>
        <v>318001.63883958658</v>
      </c>
      <c r="K300" s="201">
        <f t="shared" si="133"/>
        <v>643998.31179238786</v>
      </c>
      <c r="L300" s="201">
        <f t="shared" si="133"/>
        <v>0</v>
      </c>
      <c r="M300" s="201">
        <f t="shared" si="133"/>
        <v>0</v>
      </c>
      <c r="N300" s="201">
        <f t="shared" si="133"/>
        <v>50555.839637158351</v>
      </c>
      <c r="O300" s="201">
        <f t="shared" si="133"/>
        <v>47657.865089897074</v>
      </c>
      <c r="P300" s="201">
        <f t="shared" si="133"/>
        <v>48944.956448576559</v>
      </c>
      <c r="Q300" s="201">
        <f t="shared" si="133"/>
        <v>0</v>
      </c>
      <c r="R300" s="201">
        <f t="shared" si="134"/>
        <v>59844.541985007658</v>
      </c>
      <c r="S300" s="201">
        <f t="shared" si="134"/>
        <v>0</v>
      </c>
      <c r="T300" s="201">
        <f t="shared" si="134"/>
        <v>87825.022001795311</v>
      </c>
      <c r="U300" s="201">
        <f t="shared" si="134"/>
        <v>119616.58319416668</v>
      </c>
      <c r="V300" s="201">
        <f t="shared" si="134"/>
        <v>29275.007333931768</v>
      </c>
      <c r="W300" s="201">
        <f t="shared" si="134"/>
        <v>39872.194398055566</v>
      </c>
      <c r="X300" s="201">
        <f t="shared" si="134"/>
        <v>7768.2575327445711</v>
      </c>
      <c r="Y300" s="201">
        <f t="shared" si="134"/>
        <v>6178.3448599745871</v>
      </c>
      <c r="Z300" s="201">
        <f t="shared" si="134"/>
        <v>1796.621793647706</v>
      </c>
      <c r="AA300" s="201">
        <f t="shared" si="134"/>
        <v>138617.05223328565</v>
      </c>
      <c r="AB300" s="201">
        <f t="shared" si="134"/>
        <v>5686.1627375815633</v>
      </c>
      <c r="AC300" s="201">
        <f t="shared" si="134"/>
        <v>171045.00665883557</v>
      </c>
      <c r="AD300" s="201">
        <f t="shared" si="134"/>
        <v>33569.488873954739</v>
      </c>
      <c r="AE300" s="201">
        <f t="shared" si="134"/>
        <v>0</v>
      </c>
      <c r="AF300" s="201">
        <f t="shared" si="135"/>
        <v>2448359.8900000006</v>
      </c>
      <c r="AG300" s="333" t="str">
        <f t="shared" si="136"/>
        <v>ok</v>
      </c>
    </row>
    <row r="301" spans="1:33">
      <c r="A301" s="318">
        <v>926</v>
      </c>
      <c r="B301" s="318" t="s">
        <v>1162</v>
      </c>
      <c r="C301" s="165" t="s">
        <v>1163</v>
      </c>
      <c r="D301" s="165" t="s">
        <v>697</v>
      </c>
      <c r="F301" s="340">
        <v>37074584.329999998</v>
      </c>
      <c r="H301" s="201">
        <f t="shared" si="133"/>
        <v>4973862.4832484582</v>
      </c>
      <c r="I301" s="201">
        <f t="shared" si="133"/>
        <v>4688749.4877669718</v>
      </c>
      <c r="J301" s="201">
        <f t="shared" si="133"/>
        <v>4815378.0922446223</v>
      </c>
      <c r="K301" s="201">
        <f t="shared" si="133"/>
        <v>9751821.9508670811</v>
      </c>
      <c r="L301" s="201">
        <f t="shared" si="133"/>
        <v>0</v>
      </c>
      <c r="M301" s="201">
        <f t="shared" si="133"/>
        <v>0</v>
      </c>
      <c r="N301" s="201">
        <f t="shared" si="133"/>
        <v>765547.88683529024</v>
      </c>
      <c r="O301" s="201">
        <f t="shared" si="133"/>
        <v>721664.95844005677</v>
      </c>
      <c r="P301" s="201">
        <f t="shared" si="133"/>
        <v>741154.89425900078</v>
      </c>
      <c r="Q301" s="201">
        <f t="shared" si="133"/>
        <v>0</v>
      </c>
      <c r="R301" s="201">
        <f t="shared" si="134"/>
        <v>906203.18016784359</v>
      </c>
      <c r="S301" s="201">
        <f t="shared" si="134"/>
        <v>0</v>
      </c>
      <c r="T301" s="201">
        <f t="shared" si="134"/>
        <v>1329900.9666792348</v>
      </c>
      <c r="U301" s="201">
        <f t="shared" si="134"/>
        <v>1811308.5086108779</v>
      </c>
      <c r="V301" s="201">
        <f t="shared" si="134"/>
        <v>443300.3222264116</v>
      </c>
      <c r="W301" s="201">
        <f t="shared" si="134"/>
        <v>603769.50287029275</v>
      </c>
      <c r="X301" s="201">
        <f t="shared" si="134"/>
        <v>117631.77471221206</v>
      </c>
      <c r="Y301" s="201">
        <f t="shared" si="134"/>
        <v>93556.330695709054</v>
      </c>
      <c r="Z301" s="201">
        <f t="shared" si="134"/>
        <v>27205.561759839045</v>
      </c>
      <c r="AA301" s="201">
        <f t="shared" si="134"/>
        <v>2099025.398018166</v>
      </c>
      <c r="AB301" s="201">
        <f t="shared" si="134"/>
        <v>86103.403666105354</v>
      </c>
      <c r="AC301" s="201">
        <f t="shared" si="134"/>
        <v>2590069.6010823846</v>
      </c>
      <c r="AD301" s="201">
        <f t="shared" si="134"/>
        <v>508330.02584943973</v>
      </c>
      <c r="AE301" s="201">
        <f t="shared" si="134"/>
        <v>0</v>
      </c>
      <c r="AF301" s="201">
        <f t="shared" si="135"/>
        <v>37074584.330000006</v>
      </c>
      <c r="AG301" s="333" t="str">
        <f t="shared" si="136"/>
        <v>ok</v>
      </c>
    </row>
    <row r="302" spans="1:33">
      <c r="A302" s="318">
        <v>927</v>
      </c>
      <c r="B302" s="318" t="s">
        <v>618</v>
      </c>
      <c r="C302" s="165" t="s">
        <v>617</v>
      </c>
      <c r="D302" s="165" t="s">
        <v>1072</v>
      </c>
      <c r="F302" s="340">
        <v>30730.7</v>
      </c>
      <c r="H302" s="201">
        <f t="shared" si="133"/>
        <v>7002.0192512229451</v>
      </c>
      <c r="I302" s="201">
        <f t="shared" si="133"/>
        <v>6600.6477436955893</v>
      </c>
      <c r="J302" s="201">
        <f t="shared" si="133"/>
        <v>6778.9107996795819</v>
      </c>
      <c r="K302" s="201">
        <f t="shared" si="133"/>
        <v>0</v>
      </c>
      <c r="L302" s="201">
        <f t="shared" si="133"/>
        <v>0</v>
      </c>
      <c r="M302" s="201">
        <f t="shared" si="133"/>
        <v>0</v>
      </c>
      <c r="N302" s="201">
        <f t="shared" si="133"/>
        <v>751.81623332465563</v>
      </c>
      <c r="O302" s="201">
        <f t="shared" si="133"/>
        <v>708.7204342235101</v>
      </c>
      <c r="P302" s="201">
        <f t="shared" si="133"/>
        <v>727.86077852739368</v>
      </c>
      <c r="Q302" s="201">
        <f t="shared" si="133"/>
        <v>0</v>
      </c>
      <c r="R302" s="201">
        <f t="shared" si="134"/>
        <v>897.25015445002236</v>
      </c>
      <c r="S302" s="201">
        <f t="shared" si="134"/>
        <v>0</v>
      </c>
      <c r="T302" s="201">
        <f t="shared" si="134"/>
        <v>1381.5815403598979</v>
      </c>
      <c r="U302" s="201">
        <f t="shared" si="134"/>
        <v>2261.7693821725038</v>
      </c>
      <c r="V302" s="201">
        <f t="shared" si="134"/>
        <v>460.52718011996581</v>
      </c>
      <c r="W302" s="201">
        <f t="shared" si="134"/>
        <v>753.92312739083457</v>
      </c>
      <c r="X302" s="201">
        <f t="shared" si="134"/>
        <v>645.0390681218521</v>
      </c>
      <c r="Y302" s="201">
        <f t="shared" si="134"/>
        <v>513.02030014000081</v>
      </c>
      <c r="Z302" s="201">
        <f t="shared" si="134"/>
        <v>234.89169833262622</v>
      </c>
      <c r="AA302" s="201">
        <f t="shared" si="134"/>
        <v>316.5250900790025</v>
      </c>
      <c r="AB302" s="201">
        <f t="shared" si="134"/>
        <v>696.19721815961532</v>
      </c>
      <c r="AC302" s="201">
        <f t="shared" si="134"/>
        <v>0</v>
      </c>
      <c r="AD302" s="201">
        <f t="shared" si="134"/>
        <v>0</v>
      </c>
      <c r="AE302" s="201">
        <f t="shared" si="134"/>
        <v>0</v>
      </c>
      <c r="AF302" s="201">
        <f>SUM(H302:AE302)</f>
        <v>30730.699999999993</v>
      </c>
      <c r="AG302" s="333" t="str">
        <f t="shared" si="136"/>
        <v>ok</v>
      </c>
    </row>
    <row r="303" spans="1:33">
      <c r="A303" s="318">
        <v>928</v>
      </c>
      <c r="B303" s="318" t="s">
        <v>975</v>
      </c>
      <c r="C303" s="165" t="s">
        <v>1164</v>
      </c>
      <c r="D303" s="165" t="s">
        <v>1072</v>
      </c>
      <c r="F303" s="340">
        <v>1173366.01</v>
      </c>
      <c r="H303" s="201">
        <f t="shared" si="133"/>
        <v>267352.56244571891</v>
      </c>
      <c r="I303" s="201">
        <f t="shared" si="133"/>
        <v>252027.31166018333</v>
      </c>
      <c r="J303" s="201">
        <f t="shared" si="133"/>
        <v>258833.78892006821</v>
      </c>
      <c r="K303" s="201">
        <f t="shared" si="133"/>
        <v>0</v>
      </c>
      <c r="L303" s="201">
        <f t="shared" si="133"/>
        <v>0</v>
      </c>
      <c r="M303" s="201">
        <f t="shared" si="133"/>
        <v>0</v>
      </c>
      <c r="N303" s="201">
        <f t="shared" si="133"/>
        <v>28706.004547549524</v>
      </c>
      <c r="O303" s="201">
        <f t="shared" si="133"/>
        <v>27060.511739410671</v>
      </c>
      <c r="P303" s="201">
        <f t="shared" si="133"/>
        <v>27791.332365881077</v>
      </c>
      <c r="Q303" s="201">
        <f t="shared" si="133"/>
        <v>0</v>
      </c>
      <c r="R303" s="201">
        <f t="shared" si="134"/>
        <v>34258.9929190974</v>
      </c>
      <c r="S303" s="201">
        <f t="shared" si="134"/>
        <v>0</v>
      </c>
      <c r="T303" s="201">
        <f t="shared" si="134"/>
        <v>52751.835119334981</v>
      </c>
      <c r="U303" s="201">
        <f t="shared" si="134"/>
        <v>86359.351251351778</v>
      </c>
      <c r="V303" s="201">
        <f t="shared" si="134"/>
        <v>17583.945039778318</v>
      </c>
      <c r="W303" s="201">
        <f t="shared" si="134"/>
        <v>28786.450417117259</v>
      </c>
      <c r="X303" s="201">
        <f t="shared" si="134"/>
        <v>24629.016509752651</v>
      </c>
      <c r="Y303" s="201">
        <f t="shared" si="134"/>
        <v>19588.248319246719</v>
      </c>
      <c r="Z303" s="201">
        <f t="shared" si="134"/>
        <v>8968.68391721234</v>
      </c>
      <c r="AA303" s="201">
        <f t="shared" si="134"/>
        <v>12085.627141942412</v>
      </c>
      <c r="AB303" s="201">
        <f t="shared" si="134"/>
        <v>26582.347686354275</v>
      </c>
      <c r="AC303" s="201">
        <f t="shared" si="134"/>
        <v>0</v>
      </c>
      <c r="AD303" s="201">
        <f t="shared" si="134"/>
        <v>0</v>
      </c>
      <c r="AE303" s="201">
        <f t="shared" si="134"/>
        <v>0</v>
      </c>
      <c r="AF303" s="201">
        <f t="shared" si="135"/>
        <v>1173366.01</v>
      </c>
      <c r="AG303" s="333" t="str">
        <f t="shared" si="136"/>
        <v>ok</v>
      </c>
    </row>
    <row r="304" spans="1:33">
      <c r="A304" s="318">
        <v>929</v>
      </c>
      <c r="B304" s="318" t="s">
        <v>1263</v>
      </c>
      <c r="C304" s="165" t="s">
        <v>1264</v>
      </c>
      <c r="D304" s="165" t="s">
        <v>697</v>
      </c>
      <c r="F304" s="340">
        <v>-153700.96</v>
      </c>
      <c r="H304" s="201">
        <f t="shared" si="133"/>
        <v>-20620.256501828513</v>
      </c>
      <c r="I304" s="201">
        <f t="shared" si="133"/>
        <v>-19438.256975578392</v>
      </c>
      <c r="J304" s="201">
        <f t="shared" si="133"/>
        <v>-19963.224103960358</v>
      </c>
      <c r="K304" s="201">
        <f t="shared" si="133"/>
        <v>-40428.353349992722</v>
      </c>
      <c r="L304" s="201">
        <f t="shared" si="133"/>
        <v>0</v>
      </c>
      <c r="M304" s="201">
        <f t="shared" si="133"/>
        <v>0</v>
      </c>
      <c r="N304" s="201">
        <f t="shared" si="133"/>
        <v>-3173.7495445725872</v>
      </c>
      <c r="O304" s="201">
        <f t="shared" si="133"/>
        <v>-2991.823075433435</v>
      </c>
      <c r="P304" s="201">
        <f t="shared" si="133"/>
        <v>-3072.622952218192</v>
      </c>
      <c r="Q304" s="201">
        <f t="shared" si="133"/>
        <v>0</v>
      </c>
      <c r="R304" s="201">
        <f t="shared" si="134"/>
        <v>-3756.867440699652</v>
      </c>
      <c r="S304" s="201">
        <f t="shared" si="134"/>
        <v>0</v>
      </c>
      <c r="T304" s="201">
        <f t="shared" si="134"/>
        <v>-5513.4011338901073</v>
      </c>
      <c r="U304" s="201">
        <f t="shared" si="134"/>
        <v>-7509.1834921635163</v>
      </c>
      <c r="V304" s="201">
        <f t="shared" si="134"/>
        <v>-1837.8003779633691</v>
      </c>
      <c r="W304" s="201">
        <f t="shared" si="134"/>
        <v>-2503.0611640545062</v>
      </c>
      <c r="X304" s="201">
        <f t="shared" si="134"/>
        <v>-487.66876356158235</v>
      </c>
      <c r="Y304" s="201">
        <f t="shared" si="134"/>
        <v>-387.85863960104308</v>
      </c>
      <c r="Z304" s="201">
        <f t="shared" si="134"/>
        <v>-112.78672533741528</v>
      </c>
      <c r="AA304" s="201">
        <f t="shared" si="134"/>
        <v>-8701.9780415640398</v>
      </c>
      <c r="AB304" s="201">
        <f t="shared" si="134"/>
        <v>-356.9608679884534</v>
      </c>
      <c r="AC304" s="201">
        <f t="shared" si="134"/>
        <v>-10737.711328324945</v>
      </c>
      <c r="AD304" s="201">
        <f t="shared" si="134"/>
        <v>-2107.3955212671622</v>
      </c>
      <c r="AE304" s="201">
        <f t="shared" si="134"/>
        <v>0</v>
      </c>
      <c r="AF304" s="201">
        <f t="shared" si="135"/>
        <v>-153700.95999999996</v>
      </c>
      <c r="AG304" s="333" t="str">
        <f t="shared" si="136"/>
        <v>ok</v>
      </c>
    </row>
    <row r="305" spans="1:33">
      <c r="A305" s="318">
        <v>930</v>
      </c>
      <c r="B305" s="318" t="s">
        <v>1165</v>
      </c>
      <c r="C305" s="165" t="s">
        <v>1166</v>
      </c>
      <c r="D305" s="165" t="s">
        <v>697</v>
      </c>
      <c r="F305" s="340">
        <f>520853.64+2363430.05</f>
        <v>2884283.69</v>
      </c>
      <c r="H305" s="201">
        <f t="shared" si="133"/>
        <v>386950.54026884696</v>
      </c>
      <c r="I305" s="201">
        <f t="shared" si="133"/>
        <v>364769.66413670732</v>
      </c>
      <c r="J305" s="201">
        <f t="shared" si="133"/>
        <v>374620.96321888769</v>
      </c>
      <c r="K305" s="201">
        <f t="shared" si="133"/>
        <v>758660.45456671761</v>
      </c>
      <c r="L305" s="201">
        <f t="shared" si="133"/>
        <v>0</v>
      </c>
      <c r="M305" s="201">
        <f t="shared" si="133"/>
        <v>0</v>
      </c>
      <c r="N305" s="201">
        <f t="shared" si="133"/>
        <v>59557.168982910982</v>
      </c>
      <c r="O305" s="201">
        <f t="shared" si="133"/>
        <v>56143.2179723425</v>
      </c>
      <c r="P305" s="201">
        <f t="shared" si="133"/>
        <v>57659.47243662356</v>
      </c>
      <c r="Q305" s="201">
        <f t="shared" si="133"/>
        <v>0</v>
      </c>
      <c r="R305" s="201">
        <f t="shared" si="134"/>
        <v>70499.699446913335</v>
      </c>
      <c r="S305" s="201">
        <f t="shared" si="134"/>
        <v>0</v>
      </c>
      <c r="T305" s="201">
        <f t="shared" si="134"/>
        <v>103462.02760806923</v>
      </c>
      <c r="U305" s="201">
        <f t="shared" si="134"/>
        <v>140913.98955259923</v>
      </c>
      <c r="V305" s="201">
        <f t="shared" si="134"/>
        <v>34487.342536023076</v>
      </c>
      <c r="W305" s="201">
        <f t="shared" si="134"/>
        <v>46971.329850866423</v>
      </c>
      <c r="X305" s="201">
        <f t="shared" si="134"/>
        <v>9151.3745968999701</v>
      </c>
      <c r="Y305" s="201">
        <f t="shared" si="134"/>
        <v>7278.3823095631715</v>
      </c>
      <c r="Z305" s="201">
        <f t="shared" si="134"/>
        <v>2116.5054033443685</v>
      </c>
      <c r="AA305" s="201">
        <f t="shared" si="134"/>
        <v>163297.4402763737</v>
      </c>
      <c r="AB305" s="201">
        <f t="shared" si="134"/>
        <v>6698.5685028079151</v>
      </c>
      <c r="AC305" s="201">
        <f t="shared" si="134"/>
        <v>201499.10353335383</v>
      </c>
      <c r="AD305" s="201">
        <f t="shared" si="134"/>
        <v>39546.444800149089</v>
      </c>
      <c r="AE305" s="201">
        <f t="shared" si="134"/>
        <v>0</v>
      </c>
      <c r="AF305" s="201">
        <f t="shared" si="135"/>
        <v>2884283.6899999995</v>
      </c>
      <c r="AG305" s="333" t="str">
        <f t="shared" si="136"/>
        <v>ok</v>
      </c>
    </row>
    <row r="306" spans="1:33">
      <c r="A306" s="318">
        <v>931</v>
      </c>
      <c r="B306" s="318" t="s">
        <v>1167</v>
      </c>
      <c r="C306" s="165" t="s">
        <v>1168</v>
      </c>
      <c r="D306" s="165" t="s">
        <v>1062</v>
      </c>
      <c r="F306" s="340">
        <v>1598924.75</v>
      </c>
      <c r="H306" s="201">
        <f t="shared" si="133"/>
        <v>362528.57082357589</v>
      </c>
      <c r="I306" s="201">
        <f t="shared" si="133"/>
        <v>341747.61696261878</v>
      </c>
      <c r="J306" s="201">
        <f t="shared" si="133"/>
        <v>350977.16184072418</v>
      </c>
      <c r="K306" s="201">
        <f t="shared" si="133"/>
        <v>0</v>
      </c>
      <c r="L306" s="201">
        <f t="shared" si="133"/>
        <v>0</v>
      </c>
      <c r="M306" s="201">
        <f t="shared" si="133"/>
        <v>0</v>
      </c>
      <c r="N306" s="201">
        <f t="shared" si="133"/>
        <v>38909.635924035028</v>
      </c>
      <c r="O306" s="201">
        <f t="shared" si="133"/>
        <v>36679.247993375888</v>
      </c>
      <c r="P306" s="201">
        <f t="shared" si="133"/>
        <v>37669.84090067639</v>
      </c>
      <c r="Q306" s="201">
        <f t="shared" si="133"/>
        <v>0</v>
      </c>
      <c r="R306" s="201">
        <f t="shared" si="134"/>
        <v>47322.737993046321</v>
      </c>
      <c r="S306" s="201">
        <f t="shared" si="134"/>
        <v>0</v>
      </c>
      <c r="T306" s="201">
        <f t="shared" si="134"/>
        <v>72867.327942179298</v>
      </c>
      <c r="U306" s="201">
        <f t="shared" si="134"/>
        <v>119290.16600599034</v>
      </c>
      <c r="V306" s="201">
        <f t="shared" si="134"/>
        <v>24289.109314059762</v>
      </c>
      <c r="W306" s="201">
        <f t="shared" si="134"/>
        <v>39763.388668663443</v>
      </c>
      <c r="X306" s="201">
        <f t="shared" si="134"/>
        <v>34020.629213176064</v>
      </c>
      <c r="Y306" s="201">
        <f t="shared" si="134"/>
        <v>27057.699715326737</v>
      </c>
      <c r="Z306" s="201">
        <f t="shared" si="134"/>
        <v>12388.650190592642</v>
      </c>
      <c r="AA306" s="201">
        <f t="shared" si="134"/>
        <v>16694.155840202038</v>
      </c>
      <c r="AB306" s="201">
        <f t="shared" si="134"/>
        <v>36718.810671757099</v>
      </c>
      <c r="AC306" s="201">
        <f t="shared" si="134"/>
        <v>0</v>
      </c>
      <c r="AD306" s="201">
        <f t="shared" si="134"/>
        <v>0</v>
      </c>
      <c r="AE306" s="201">
        <f t="shared" si="134"/>
        <v>0</v>
      </c>
      <c r="AF306" s="201">
        <f t="shared" si="135"/>
        <v>1598924.7499999998</v>
      </c>
      <c r="AG306" s="333" t="str">
        <f t="shared" si="136"/>
        <v>ok</v>
      </c>
    </row>
    <row r="307" spans="1:33">
      <c r="A307" s="318">
        <v>935</v>
      </c>
      <c r="B307" s="318" t="s">
        <v>1169</v>
      </c>
      <c r="C307" s="165" t="s">
        <v>298</v>
      </c>
      <c r="D307" s="165" t="s">
        <v>1062</v>
      </c>
      <c r="F307" s="340">
        <f>331496.66+974.45+1410612.81+7256373.9</f>
        <v>8999457.8200000003</v>
      </c>
      <c r="H307" s="201">
        <f t="shared" si="133"/>
        <v>2040471.6242410119</v>
      </c>
      <c r="I307" s="201">
        <f t="shared" si="133"/>
        <v>1923507.1969088004</v>
      </c>
      <c r="J307" s="201">
        <f t="shared" si="133"/>
        <v>1975455.1699627582</v>
      </c>
      <c r="K307" s="201">
        <f t="shared" si="133"/>
        <v>0</v>
      </c>
      <c r="L307" s="201">
        <f t="shared" si="133"/>
        <v>0</v>
      </c>
      <c r="M307" s="201">
        <f t="shared" si="133"/>
        <v>0</v>
      </c>
      <c r="N307" s="201">
        <f t="shared" si="133"/>
        <v>219000.69236523481</v>
      </c>
      <c r="O307" s="201">
        <f t="shared" si="133"/>
        <v>206447.07963004883</v>
      </c>
      <c r="P307" s="201">
        <f t="shared" si="133"/>
        <v>212022.57596659753</v>
      </c>
      <c r="Q307" s="201">
        <f t="shared" si="133"/>
        <v>0</v>
      </c>
      <c r="R307" s="201">
        <f t="shared" si="134"/>
        <v>266353.36309312354</v>
      </c>
      <c r="S307" s="201">
        <f t="shared" si="134"/>
        <v>0</v>
      </c>
      <c r="T307" s="201">
        <f t="shared" si="134"/>
        <v>410129.64760958886</v>
      </c>
      <c r="U307" s="201">
        <f t="shared" si="134"/>
        <v>671417.97468061454</v>
      </c>
      <c r="V307" s="201">
        <f t="shared" si="134"/>
        <v>136709.88253652962</v>
      </c>
      <c r="W307" s="201">
        <f t="shared" si="134"/>
        <v>223805.99156020486</v>
      </c>
      <c r="X307" s="201">
        <f t="shared" si="134"/>
        <v>191483.1936986639</v>
      </c>
      <c r="Y307" s="201">
        <f t="shared" si="134"/>
        <v>152292.73753771652</v>
      </c>
      <c r="Z307" s="201">
        <f t="shared" si="134"/>
        <v>69728.819218648932</v>
      </c>
      <c r="AA307" s="201">
        <f t="shared" si="134"/>
        <v>93962.115055386384</v>
      </c>
      <c r="AB307" s="201">
        <f t="shared" si="134"/>
        <v>206669.75593507069</v>
      </c>
      <c r="AC307" s="201">
        <f t="shared" si="134"/>
        <v>0</v>
      </c>
      <c r="AD307" s="201">
        <f t="shared" si="134"/>
        <v>0</v>
      </c>
      <c r="AE307" s="201">
        <f t="shared" si="134"/>
        <v>0</v>
      </c>
      <c r="AF307" s="201"/>
      <c r="AG307" s="333"/>
    </row>
    <row r="308" spans="1:33">
      <c r="A308" s="318"/>
      <c r="B308" s="318"/>
      <c r="F308" s="340"/>
      <c r="H308" s="201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201"/>
      <c r="AB308" s="201"/>
      <c r="AC308" s="201"/>
      <c r="AD308" s="201"/>
      <c r="AE308" s="201"/>
      <c r="AF308" s="201"/>
      <c r="AG308" s="333"/>
    </row>
    <row r="309" spans="1:33">
      <c r="A309" s="318" t="s">
        <v>1170</v>
      </c>
      <c r="B309" s="318"/>
      <c r="C309" s="165" t="s">
        <v>1171</v>
      </c>
      <c r="F309" s="203">
        <f t="shared" ref="F309:M309" si="137">SUM(F295:F308)</f>
        <v>83493454.580000013</v>
      </c>
      <c r="G309" s="347">
        <f t="shared" si="137"/>
        <v>0</v>
      </c>
      <c r="H309" s="347">
        <f t="shared" si="137"/>
        <v>12714278.73360187</v>
      </c>
      <c r="I309" s="347">
        <f t="shared" si="137"/>
        <v>11985467.652207384</v>
      </c>
      <c r="J309" s="347">
        <f t="shared" si="137"/>
        <v>12309158.019280897</v>
      </c>
      <c r="K309" s="347">
        <f t="shared" si="137"/>
        <v>17680799.020341944</v>
      </c>
      <c r="L309" s="347">
        <f t="shared" si="137"/>
        <v>0</v>
      </c>
      <c r="M309" s="347">
        <f t="shared" si="137"/>
        <v>0</v>
      </c>
      <c r="N309" s="347">
        <f>SUM(N295:N308)</f>
        <v>1784768.9967259569</v>
      </c>
      <c r="O309" s="347">
        <f>SUM(O295:O308)</f>
        <v>1682462.0196808898</v>
      </c>
      <c r="P309" s="347">
        <f>SUM(P295:P308)</f>
        <v>1727900.1089186885</v>
      </c>
      <c r="Q309" s="347">
        <f t="shared" ref="Q309:AB309" si="138">SUM(Q295:Q308)</f>
        <v>0</v>
      </c>
      <c r="R309" s="347">
        <f t="shared" si="138"/>
        <v>2122415.4785214737</v>
      </c>
      <c r="S309" s="347">
        <f t="shared" si="138"/>
        <v>0</v>
      </c>
      <c r="T309" s="347">
        <f t="shared" si="138"/>
        <v>3149389.7159573953</v>
      </c>
      <c r="U309" s="347">
        <f t="shared" si="138"/>
        <v>4492501.8382593188</v>
      </c>
      <c r="V309" s="347">
        <f t="shared" si="138"/>
        <v>1049796.5719857984</v>
      </c>
      <c r="W309" s="347">
        <f t="shared" si="138"/>
        <v>1497500.6127531063</v>
      </c>
      <c r="X309" s="347">
        <f t="shared" si="138"/>
        <v>557919.09417898685</v>
      </c>
      <c r="Y309" s="347">
        <f t="shared" si="138"/>
        <v>443730.98513696785</v>
      </c>
      <c r="Z309" s="347">
        <f t="shared" si="138"/>
        <v>174828.14950342162</v>
      </c>
      <c r="AA309" s="347">
        <f t="shared" si="138"/>
        <v>3974812.6009331346</v>
      </c>
      <c r="AB309" s="347">
        <f t="shared" si="138"/>
        <v>528089.49148649909</v>
      </c>
      <c r="AC309" s="347">
        <f>SUM(AC295:AC308)</f>
        <v>4695994.2763683312</v>
      </c>
      <c r="AD309" s="347">
        <f>SUM(AD295:AD308)</f>
        <v>921641.21415793791</v>
      </c>
      <c r="AE309" s="347">
        <f>SUM(AE295:AE308)</f>
        <v>0</v>
      </c>
      <c r="AF309" s="201">
        <f>SUM(H309:AE309)</f>
        <v>83493454.580000028</v>
      </c>
      <c r="AG309" s="333" t="str">
        <f>IF(ABS(AF309-F309)&lt;1,"ok","err")</f>
        <v>ok</v>
      </c>
    </row>
    <row r="310" spans="1:33">
      <c r="A310" s="318"/>
      <c r="B310" s="318"/>
      <c r="F310" s="340"/>
      <c r="H310" s="201"/>
      <c r="I310" s="201"/>
      <c r="J310" s="201"/>
      <c r="K310" s="201"/>
      <c r="L310" s="201"/>
      <c r="M310" s="201"/>
      <c r="N310" s="201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  <c r="AA310" s="201"/>
      <c r="AB310" s="201"/>
      <c r="AC310" s="201"/>
      <c r="AD310" s="201"/>
      <c r="AE310" s="201"/>
      <c r="AF310" s="201"/>
      <c r="AG310" s="333"/>
    </row>
    <row r="311" spans="1:33">
      <c r="A311" s="318" t="s">
        <v>1172</v>
      </c>
      <c r="B311" s="318"/>
      <c r="C311" s="165" t="s">
        <v>1173</v>
      </c>
      <c r="F311" s="203">
        <f>F261+F272+F287+F309</f>
        <v>728886233.41999972</v>
      </c>
      <c r="G311" s="347"/>
      <c r="H311" s="347">
        <f t="shared" ref="H311:AE311" si="139">H261+H272+H287+H309</f>
        <v>41710970.223765999</v>
      </c>
      <c r="I311" s="347">
        <f t="shared" si="139"/>
        <v>39320003.504241824</v>
      </c>
      <c r="J311" s="347">
        <f t="shared" si="139"/>
        <v>40381915.040524326</v>
      </c>
      <c r="K311" s="347">
        <f t="shared" si="139"/>
        <v>494394072.61689991</v>
      </c>
      <c r="L311" s="347">
        <f t="shared" si="139"/>
        <v>0</v>
      </c>
      <c r="M311" s="347">
        <f t="shared" si="139"/>
        <v>0</v>
      </c>
      <c r="N311" s="347">
        <f t="shared" si="139"/>
        <v>7536497.8294317005</v>
      </c>
      <c r="O311" s="347">
        <f t="shared" si="139"/>
        <v>7104488.8064991608</v>
      </c>
      <c r="P311" s="347">
        <f t="shared" si="139"/>
        <v>7296359.0493946746</v>
      </c>
      <c r="Q311" s="347">
        <f t="shared" si="139"/>
        <v>0</v>
      </c>
      <c r="R311" s="347">
        <f t="shared" si="139"/>
        <v>6250678.6708009951</v>
      </c>
      <c r="S311" s="347">
        <f t="shared" si="139"/>
        <v>0</v>
      </c>
      <c r="T311" s="347">
        <f t="shared" si="139"/>
        <v>13145890.910072114</v>
      </c>
      <c r="U311" s="347">
        <f t="shared" si="139"/>
        <v>17643593.161969252</v>
      </c>
      <c r="V311" s="347">
        <f t="shared" si="139"/>
        <v>4381963.6366907042</v>
      </c>
      <c r="W311" s="347">
        <f t="shared" si="139"/>
        <v>5881197.7206564173</v>
      </c>
      <c r="X311" s="347">
        <f t="shared" si="139"/>
        <v>970853.56833132496</v>
      </c>
      <c r="Y311" s="347">
        <f t="shared" si="139"/>
        <v>772151.04267643951</v>
      </c>
      <c r="Z311" s="347">
        <f t="shared" si="139"/>
        <v>279495.42293835472</v>
      </c>
      <c r="AA311" s="347">
        <f t="shared" si="139"/>
        <v>11283280.889659673</v>
      </c>
      <c r="AB311" s="347">
        <f t="shared" si="139"/>
        <v>1171208.8749208294</v>
      </c>
      <c r="AC311" s="347">
        <f t="shared" si="139"/>
        <v>16962250.956368335</v>
      </c>
      <c r="AD311" s="347">
        <f t="shared" si="139"/>
        <v>12399361.494157936</v>
      </c>
      <c r="AE311" s="347">
        <f t="shared" si="139"/>
        <v>0</v>
      </c>
      <c r="AF311" s="201">
        <f>SUM(H311:AE311)</f>
        <v>728886233.41999996</v>
      </c>
      <c r="AG311" s="333" t="str">
        <f>IF(ABS(AF311-F311)&lt;1,"ok","err")</f>
        <v>ok</v>
      </c>
    </row>
    <row r="312" spans="1:33">
      <c r="A312" s="318"/>
      <c r="B312" s="318"/>
      <c r="F312" s="340"/>
      <c r="H312" s="201"/>
      <c r="I312" s="201"/>
      <c r="J312" s="201"/>
      <c r="K312" s="201"/>
      <c r="L312" s="201"/>
      <c r="M312" s="201"/>
      <c r="N312" s="201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  <c r="AA312" s="201"/>
      <c r="AB312" s="201"/>
      <c r="AC312" s="201"/>
      <c r="AD312" s="201"/>
      <c r="AE312" s="201"/>
      <c r="AF312" s="201"/>
      <c r="AG312" s="333"/>
    </row>
    <row r="313" spans="1:33">
      <c r="A313" s="318" t="s">
        <v>19</v>
      </c>
      <c r="B313" s="318"/>
      <c r="C313" s="165" t="s">
        <v>1081</v>
      </c>
      <c r="F313" s="342">
        <f>F311-F195-F196-F197-F198</f>
        <v>659819054.36999977</v>
      </c>
      <c r="G313" s="343">
        <f>G311-G195</f>
        <v>0</v>
      </c>
      <c r="H313" s="343">
        <f t="shared" ref="H313:AE313" si="140">H311-H195-H196-H197-H198</f>
        <v>34577024.369671747</v>
      </c>
      <c r="I313" s="343">
        <f t="shared" si="140"/>
        <v>32594991.487565435</v>
      </c>
      <c r="J313" s="343">
        <f t="shared" si="140"/>
        <v>33475281.273957282</v>
      </c>
      <c r="K313" s="343">
        <f t="shared" si="140"/>
        <v>446092485.20423758</v>
      </c>
      <c r="L313" s="343">
        <f t="shared" si="140"/>
        <v>0</v>
      </c>
      <c r="M313" s="343">
        <f t="shared" si="140"/>
        <v>0</v>
      </c>
      <c r="N313" s="343">
        <f t="shared" si="140"/>
        <v>7536497.8294317005</v>
      </c>
      <c r="O313" s="343">
        <f t="shared" si="140"/>
        <v>7104488.8064991608</v>
      </c>
      <c r="P313" s="343">
        <f t="shared" si="140"/>
        <v>7296359.0493946746</v>
      </c>
      <c r="Q313" s="343">
        <f t="shared" si="140"/>
        <v>0</v>
      </c>
      <c r="R313" s="343">
        <f t="shared" si="140"/>
        <v>6250678.6708009951</v>
      </c>
      <c r="S313" s="343">
        <f t="shared" si="140"/>
        <v>0</v>
      </c>
      <c r="T313" s="343">
        <f t="shared" si="140"/>
        <v>13145890.910072114</v>
      </c>
      <c r="U313" s="343">
        <f t="shared" si="140"/>
        <v>17643593.161969252</v>
      </c>
      <c r="V313" s="343">
        <f t="shared" si="140"/>
        <v>4381963.6366907042</v>
      </c>
      <c r="W313" s="343">
        <f t="shared" si="140"/>
        <v>5881197.7206564173</v>
      </c>
      <c r="X313" s="343">
        <f t="shared" si="140"/>
        <v>970853.56833132496</v>
      </c>
      <c r="Y313" s="343">
        <f t="shared" si="140"/>
        <v>772151.04267643951</v>
      </c>
      <c r="Z313" s="343">
        <f t="shared" si="140"/>
        <v>279495.42293835472</v>
      </c>
      <c r="AA313" s="343">
        <f t="shared" si="140"/>
        <v>11283280.889659673</v>
      </c>
      <c r="AB313" s="343">
        <f t="shared" si="140"/>
        <v>1171208.8749208294</v>
      </c>
      <c r="AC313" s="343">
        <f t="shared" si="140"/>
        <v>16962250.956368335</v>
      </c>
      <c r="AD313" s="343">
        <f t="shared" si="140"/>
        <v>12399361.494157936</v>
      </c>
      <c r="AE313" s="343">
        <f t="shared" si="140"/>
        <v>0</v>
      </c>
      <c r="AF313" s="201">
        <f>SUM(H313:AE313)</f>
        <v>659819054.37</v>
      </c>
      <c r="AG313" s="333" t="str">
        <f>IF(ABS(AF313-F313)&lt;1,"ok","err")</f>
        <v>ok</v>
      </c>
    </row>
    <row r="314" spans="1:33">
      <c r="A314" s="318"/>
      <c r="B314" s="318"/>
      <c r="W314" s="165"/>
      <c r="AG314" s="333"/>
    </row>
    <row r="315" spans="1:33">
      <c r="A315" s="318"/>
      <c r="B315" s="318"/>
      <c r="W315" s="165"/>
      <c r="AA315" s="343">
        <f>R313+T313+U313+V313+W313+X313+Y313+Z313+AA313</f>
        <v>60609105.023795277</v>
      </c>
      <c r="AG315" s="333"/>
    </row>
    <row r="316" spans="1:33">
      <c r="A316" s="318"/>
      <c r="B316" s="318"/>
      <c r="W316" s="165"/>
      <c r="AG316" s="333"/>
    </row>
    <row r="317" spans="1:33">
      <c r="A317" s="318"/>
      <c r="B317" s="318"/>
      <c r="H317" s="343"/>
      <c r="W317" s="165"/>
      <c r="AG317" s="333"/>
    </row>
    <row r="318" spans="1:33">
      <c r="A318" s="318"/>
      <c r="B318" s="318"/>
      <c r="W318" s="165"/>
      <c r="AG318" s="333"/>
    </row>
    <row r="319" spans="1:33">
      <c r="A319" s="318"/>
      <c r="B319" s="318"/>
      <c r="W319" s="165"/>
      <c r="AG319" s="333"/>
    </row>
    <row r="320" spans="1:33">
      <c r="A320" s="318"/>
      <c r="B320" s="318"/>
      <c r="W320" s="165"/>
      <c r="AG320" s="333"/>
    </row>
    <row r="321" spans="1:33">
      <c r="A321" s="337" t="s">
        <v>1174</v>
      </c>
      <c r="B321" s="318"/>
      <c r="W321" s="165"/>
      <c r="AG321" s="333"/>
    </row>
    <row r="322" spans="1:33">
      <c r="A322" s="337"/>
      <c r="B322" s="318"/>
      <c r="W322" s="165"/>
      <c r="AG322" s="333"/>
    </row>
    <row r="323" spans="1:33">
      <c r="A323" s="87" t="s">
        <v>233</v>
      </c>
      <c r="B323" s="318"/>
      <c r="W323" s="165"/>
      <c r="AG323" s="333"/>
    </row>
    <row r="324" spans="1:33">
      <c r="A324" s="318">
        <v>500</v>
      </c>
      <c r="B324" s="318" t="s">
        <v>225</v>
      </c>
      <c r="C324" s="165" t="s">
        <v>299</v>
      </c>
      <c r="D324" s="165" t="s">
        <v>676</v>
      </c>
      <c r="F324" s="203">
        <v>1479456.83</v>
      </c>
      <c r="H324" s="201">
        <f t="shared" ref="H324:Q330" si="141">IF(VLOOKUP($D324,$C$6:$AE$598,H$2,)=0,0,((VLOOKUP($D324,$C$6:$AE$598,H$2,)/VLOOKUP($D324,$C$6:$AE$598,4,))*$F324))</f>
        <v>443630.38218038087</v>
      </c>
      <c r="I324" s="201">
        <f t="shared" si="141"/>
        <v>418200.48990329553</v>
      </c>
      <c r="J324" s="201">
        <f t="shared" si="141"/>
        <v>429494.79013547621</v>
      </c>
      <c r="K324" s="201">
        <f t="shared" si="141"/>
        <v>188131.16778084758</v>
      </c>
      <c r="L324" s="201">
        <f t="shared" si="141"/>
        <v>0</v>
      </c>
      <c r="M324" s="201">
        <f t="shared" si="141"/>
        <v>0</v>
      </c>
      <c r="N324" s="201">
        <f t="shared" si="141"/>
        <v>0</v>
      </c>
      <c r="O324" s="201">
        <f t="shared" si="141"/>
        <v>0</v>
      </c>
      <c r="P324" s="201">
        <f t="shared" si="141"/>
        <v>0</v>
      </c>
      <c r="Q324" s="201">
        <f t="shared" si="141"/>
        <v>0</v>
      </c>
      <c r="R324" s="201">
        <f t="shared" ref="R324:AE330" si="142">IF(VLOOKUP($D324,$C$6:$AE$598,R$2,)=0,0,((VLOOKUP($D324,$C$6:$AE$598,R$2,)/VLOOKUP($D324,$C$6:$AE$598,4,))*$F324))</f>
        <v>0</v>
      </c>
      <c r="S324" s="201">
        <f t="shared" si="142"/>
        <v>0</v>
      </c>
      <c r="T324" s="201">
        <f t="shared" si="142"/>
        <v>0</v>
      </c>
      <c r="U324" s="201">
        <f t="shared" si="142"/>
        <v>0</v>
      </c>
      <c r="V324" s="201">
        <f t="shared" si="142"/>
        <v>0</v>
      </c>
      <c r="W324" s="201">
        <f t="shared" si="142"/>
        <v>0</v>
      </c>
      <c r="X324" s="201">
        <f t="shared" si="142"/>
        <v>0</v>
      </c>
      <c r="Y324" s="201">
        <f t="shared" si="142"/>
        <v>0</v>
      </c>
      <c r="Z324" s="201">
        <f t="shared" si="142"/>
        <v>0</v>
      </c>
      <c r="AA324" s="201">
        <f t="shared" si="142"/>
        <v>0</v>
      </c>
      <c r="AB324" s="201">
        <f t="shared" si="142"/>
        <v>0</v>
      </c>
      <c r="AC324" s="201">
        <f t="shared" si="142"/>
        <v>0</v>
      </c>
      <c r="AD324" s="201">
        <f t="shared" si="142"/>
        <v>0</v>
      </c>
      <c r="AE324" s="201">
        <f t="shared" si="142"/>
        <v>0</v>
      </c>
      <c r="AF324" s="201">
        <f t="shared" ref="AF324:AF343" si="143">SUM(H324:AE324)</f>
        <v>1479456.83</v>
      </c>
      <c r="AG324" s="333" t="str">
        <f t="shared" ref="AG324:AG330" si="144">IF(ABS(AF324-F324)&lt;1,"ok","err")</f>
        <v>ok</v>
      </c>
    </row>
    <row r="325" spans="1:33">
      <c r="A325" s="355">
        <v>501</v>
      </c>
      <c r="B325" s="318" t="s">
        <v>227</v>
      </c>
      <c r="C325" s="165" t="s">
        <v>300</v>
      </c>
      <c r="D325" s="165" t="s">
        <v>1034</v>
      </c>
      <c r="F325" s="340">
        <v>2373174.84</v>
      </c>
      <c r="H325" s="201">
        <f t="shared" si="141"/>
        <v>0</v>
      </c>
      <c r="I325" s="201">
        <f t="shared" si="141"/>
        <v>0</v>
      </c>
      <c r="J325" s="201">
        <f t="shared" si="141"/>
        <v>0</v>
      </c>
      <c r="K325" s="201">
        <f t="shared" si="141"/>
        <v>2373174.84</v>
      </c>
      <c r="L325" s="201">
        <f t="shared" si="141"/>
        <v>0</v>
      </c>
      <c r="M325" s="201">
        <f t="shared" si="141"/>
        <v>0</v>
      </c>
      <c r="N325" s="201">
        <f t="shared" si="141"/>
        <v>0</v>
      </c>
      <c r="O325" s="201">
        <f t="shared" si="141"/>
        <v>0</v>
      </c>
      <c r="P325" s="201">
        <f t="shared" si="141"/>
        <v>0</v>
      </c>
      <c r="Q325" s="201">
        <f t="shared" si="141"/>
        <v>0</v>
      </c>
      <c r="R325" s="201">
        <f t="shared" si="142"/>
        <v>0</v>
      </c>
      <c r="S325" s="201">
        <f t="shared" si="142"/>
        <v>0</v>
      </c>
      <c r="T325" s="201">
        <f t="shared" si="142"/>
        <v>0</v>
      </c>
      <c r="U325" s="201">
        <f t="shared" si="142"/>
        <v>0</v>
      </c>
      <c r="V325" s="201">
        <f t="shared" si="142"/>
        <v>0</v>
      </c>
      <c r="W325" s="201">
        <f t="shared" si="142"/>
        <v>0</v>
      </c>
      <c r="X325" s="201">
        <f t="shared" si="142"/>
        <v>0</v>
      </c>
      <c r="Y325" s="201">
        <f t="shared" si="142"/>
        <v>0</v>
      </c>
      <c r="Z325" s="201">
        <f t="shared" si="142"/>
        <v>0</v>
      </c>
      <c r="AA325" s="201">
        <f t="shared" si="142"/>
        <v>0</v>
      </c>
      <c r="AB325" s="201">
        <f t="shared" si="142"/>
        <v>0</v>
      </c>
      <c r="AC325" s="201">
        <f t="shared" si="142"/>
        <v>0</v>
      </c>
      <c r="AD325" s="201">
        <f t="shared" si="142"/>
        <v>0</v>
      </c>
      <c r="AE325" s="201">
        <f t="shared" si="142"/>
        <v>0</v>
      </c>
      <c r="AF325" s="201">
        <f t="shared" si="143"/>
        <v>2373174.84</v>
      </c>
      <c r="AG325" s="333" t="str">
        <f t="shared" si="144"/>
        <v>ok</v>
      </c>
    </row>
    <row r="326" spans="1:33">
      <c r="A326" s="318">
        <v>502</v>
      </c>
      <c r="B326" s="318" t="s">
        <v>229</v>
      </c>
      <c r="C326" s="165" t="s">
        <v>301</v>
      </c>
      <c r="D326" s="165" t="s">
        <v>679</v>
      </c>
      <c r="F326" s="340">
        <v>11440137.609999999</v>
      </c>
      <c r="H326" s="201">
        <f t="shared" si="141"/>
        <v>3930218.974661042</v>
      </c>
      <c r="I326" s="201">
        <f t="shared" si="141"/>
        <v>3704929.9747062339</v>
      </c>
      <c r="J326" s="201">
        <f t="shared" si="141"/>
        <v>3804988.6606327235</v>
      </c>
      <c r="K326" s="201">
        <f t="shared" si="141"/>
        <v>0</v>
      </c>
      <c r="L326" s="201">
        <f t="shared" si="141"/>
        <v>0</v>
      </c>
      <c r="M326" s="201">
        <f t="shared" si="141"/>
        <v>0</v>
      </c>
      <c r="N326" s="201">
        <f t="shared" si="141"/>
        <v>0</v>
      </c>
      <c r="O326" s="201">
        <f t="shared" si="141"/>
        <v>0</v>
      </c>
      <c r="P326" s="201">
        <f t="shared" si="141"/>
        <v>0</v>
      </c>
      <c r="Q326" s="201">
        <f t="shared" si="141"/>
        <v>0</v>
      </c>
      <c r="R326" s="201">
        <f t="shared" si="142"/>
        <v>0</v>
      </c>
      <c r="S326" s="201">
        <f t="shared" si="142"/>
        <v>0</v>
      </c>
      <c r="T326" s="201">
        <f t="shared" si="142"/>
        <v>0</v>
      </c>
      <c r="U326" s="201">
        <f t="shared" si="142"/>
        <v>0</v>
      </c>
      <c r="V326" s="201">
        <f t="shared" si="142"/>
        <v>0</v>
      </c>
      <c r="W326" s="201">
        <f t="shared" si="142"/>
        <v>0</v>
      </c>
      <c r="X326" s="201">
        <f t="shared" si="142"/>
        <v>0</v>
      </c>
      <c r="Y326" s="201">
        <f t="shared" si="142"/>
        <v>0</v>
      </c>
      <c r="Z326" s="201">
        <f t="shared" si="142"/>
        <v>0</v>
      </c>
      <c r="AA326" s="201">
        <f t="shared" si="142"/>
        <v>0</v>
      </c>
      <c r="AB326" s="201">
        <f t="shared" si="142"/>
        <v>0</v>
      </c>
      <c r="AC326" s="201">
        <f t="shared" si="142"/>
        <v>0</v>
      </c>
      <c r="AD326" s="201">
        <f t="shared" si="142"/>
        <v>0</v>
      </c>
      <c r="AE326" s="201">
        <f t="shared" si="142"/>
        <v>0</v>
      </c>
      <c r="AF326" s="201">
        <f t="shared" si="143"/>
        <v>11440137.609999999</v>
      </c>
      <c r="AG326" s="333" t="str">
        <f t="shared" si="144"/>
        <v>ok</v>
      </c>
    </row>
    <row r="327" spans="1:33">
      <c r="A327" s="318">
        <v>504</v>
      </c>
      <c r="B327" s="318" t="s">
        <v>1441</v>
      </c>
      <c r="C327" s="165" t="s">
        <v>1440</v>
      </c>
      <c r="D327" s="165" t="s">
        <v>679</v>
      </c>
      <c r="F327" s="340">
        <v>0</v>
      </c>
      <c r="H327" s="201">
        <f t="shared" si="141"/>
        <v>0</v>
      </c>
      <c r="I327" s="201">
        <f t="shared" si="141"/>
        <v>0</v>
      </c>
      <c r="J327" s="201">
        <f t="shared" si="141"/>
        <v>0</v>
      </c>
      <c r="K327" s="201">
        <f t="shared" si="141"/>
        <v>0</v>
      </c>
      <c r="L327" s="201">
        <f t="shared" si="141"/>
        <v>0</v>
      </c>
      <c r="M327" s="201">
        <f t="shared" si="141"/>
        <v>0</v>
      </c>
      <c r="N327" s="201">
        <f t="shared" si="141"/>
        <v>0</v>
      </c>
      <c r="O327" s="201">
        <f t="shared" si="141"/>
        <v>0</v>
      </c>
      <c r="P327" s="201">
        <f t="shared" si="141"/>
        <v>0</v>
      </c>
      <c r="Q327" s="201">
        <f t="shared" si="141"/>
        <v>0</v>
      </c>
      <c r="R327" s="201">
        <f t="shared" si="142"/>
        <v>0</v>
      </c>
      <c r="S327" s="201">
        <f t="shared" si="142"/>
        <v>0</v>
      </c>
      <c r="T327" s="201">
        <f t="shared" si="142"/>
        <v>0</v>
      </c>
      <c r="U327" s="201">
        <f t="shared" si="142"/>
        <v>0</v>
      </c>
      <c r="V327" s="201">
        <f t="shared" si="142"/>
        <v>0</v>
      </c>
      <c r="W327" s="201">
        <f t="shared" si="142"/>
        <v>0</v>
      </c>
      <c r="X327" s="201">
        <f t="shared" si="142"/>
        <v>0</v>
      </c>
      <c r="Y327" s="201">
        <f t="shared" si="142"/>
        <v>0</v>
      </c>
      <c r="Z327" s="201">
        <f t="shared" si="142"/>
        <v>0</v>
      </c>
      <c r="AA327" s="201">
        <f t="shared" si="142"/>
        <v>0</v>
      </c>
      <c r="AB327" s="201">
        <f t="shared" si="142"/>
        <v>0</v>
      </c>
      <c r="AC327" s="201">
        <f t="shared" si="142"/>
        <v>0</v>
      </c>
      <c r="AD327" s="201">
        <f t="shared" si="142"/>
        <v>0</v>
      </c>
      <c r="AE327" s="201">
        <f t="shared" si="142"/>
        <v>0</v>
      </c>
      <c r="AF327" s="201">
        <f>SUM(H327:AE327)</f>
        <v>0</v>
      </c>
      <c r="AG327" s="333" t="str">
        <f>IF(ABS(AF327-F327)&lt;1,"ok","err")</f>
        <v>ok</v>
      </c>
    </row>
    <row r="328" spans="1:33">
      <c r="A328" s="318">
        <v>505</v>
      </c>
      <c r="B328" s="318" t="s">
        <v>231</v>
      </c>
      <c r="C328" s="165" t="s">
        <v>302</v>
      </c>
      <c r="D328" s="165" t="s">
        <v>679</v>
      </c>
      <c r="F328" s="340">
        <v>490915.49</v>
      </c>
      <c r="H328" s="201">
        <f t="shared" si="141"/>
        <v>168652.28719508584</v>
      </c>
      <c r="I328" s="201">
        <f t="shared" si="141"/>
        <v>158984.75839650311</v>
      </c>
      <c r="J328" s="201">
        <f t="shared" si="141"/>
        <v>163278.44440841104</v>
      </c>
      <c r="K328" s="201">
        <f t="shared" si="141"/>
        <v>0</v>
      </c>
      <c r="L328" s="201">
        <f t="shared" si="141"/>
        <v>0</v>
      </c>
      <c r="M328" s="201">
        <f t="shared" si="141"/>
        <v>0</v>
      </c>
      <c r="N328" s="201">
        <f t="shared" si="141"/>
        <v>0</v>
      </c>
      <c r="O328" s="201">
        <f t="shared" si="141"/>
        <v>0</v>
      </c>
      <c r="P328" s="201">
        <f t="shared" si="141"/>
        <v>0</v>
      </c>
      <c r="Q328" s="201">
        <f t="shared" si="141"/>
        <v>0</v>
      </c>
      <c r="R328" s="201">
        <f t="shared" si="142"/>
        <v>0</v>
      </c>
      <c r="S328" s="201">
        <f t="shared" si="142"/>
        <v>0</v>
      </c>
      <c r="T328" s="201">
        <f t="shared" si="142"/>
        <v>0</v>
      </c>
      <c r="U328" s="201">
        <f t="shared" si="142"/>
        <v>0</v>
      </c>
      <c r="V328" s="201">
        <f t="shared" si="142"/>
        <v>0</v>
      </c>
      <c r="W328" s="201">
        <f t="shared" si="142"/>
        <v>0</v>
      </c>
      <c r="X328" s="201">
        <f t="shared" si="142"/>
        <v>0</v>
      </c>
      <c r="Y328" s="201">
        <f t="shared" si="142"/>
        <v>0</v>
      </c>
      <c r="Z328" s="201">
        <f t="shared" si="142"/>
        <v>0</v>
      </c>
      <c r="AA328" s="201">
        <f t="shared" si="142"/>
        <v>0</v>
      </c>
      <c r="AB328" s="201">
        <f t="shared" si="142"/>
        <v>0</v>
      </c>
      <c r="AC328" s="201">
        <f t="shared" si="142"/>
        <v>0</v>
      </c>
      <c r="AD328" s="201">
        <f t="shared" si="142"/>
        <v>0</v>
      </c>
      <c r="AE328" s="201">
        <f t="shared" si="142"/>
        <v>0</v>
      </c>
      <c r="AF328" s="201">
        <f t="shared" si="143"/>
        <v>490915.49</v>
      </c>
      <c r="AG328" s="333" t="str">
        <f t="shared" si="144"/>
        <v>ok</v>
      </c>
    </row>
    <row r="329" spans="1:33">
      <c r="A329" s="318">
        <v>506</v>
      </c>
      <c r="B329" s="318" t="s">
        <v>234</v>
      </c>
      <c r="C329" s="165" t="s">
        <v>303</v>
      </c>
      <c r="D329" s="165" t="s">
        <v>679</v>
      </c>
      <c r="F329" s="340">
        <v>4358334.82</v>
      </c>
      <c r="H329" s="201">
        <f t="shared" si="141"/>
        <v>1497290.573892836</v>
      </c>
      <c r="I329" s="201">
        <f t="shared" si="141"/>
        <v>1411462.5072612129</v>
      </c>
      <c r="J329" s="201">
        <f t="shared" si="141"/>
        <v>1449581.7388459512</v>
      </c>
      <c r="K329" s="201">
        <f t="shared" si="141"/>
        <v>0</v>
      </c>
      <c r="L329" s="201">
        <f t="shared" si="141"/>
        <v>0</v>
      </c>
      <c r="M329" s="201">
        <f t="shared" si="141"/>
        <v>0</v>
      </c>
      <c r="N329" s="201">
        <f t="shared" si="141"/>
        <v>0</v>
      </c>
      <c r="O329" s="201">
        <f t="shared" si="141"/>
        <v>0</v>
      </c>
      <c r="P329" s="201">
        <f t="shared" si="141"/>
        <v>0</v>
      </c>
      <c r="Q329" s="201">
        <f t="shared" si="141"/>
        <v>0</v>
      </c>
      <c r="R329" s="201">
        <f t="shared" si="142"/>
        <v>0</v>
      </c>
      <c r="S329" s="201">
        <f t="shared" si="142"/>
        <v>0</v>
      </c>
      <c r="T329" s="201">
        <f t="shared" si="142"/>
        <v>0</v>
      </c>
      <c r="U329" s="201">
        <f t="shared" si="142"/>
        <v>0</v>
      </c>
      <c r="V329" s="201">
        <f t="shared" si="142"/>
        <v>0</v>
      </c>
      <c r="W329" s="201">
        <f t="shared" si="142"/>
        <v>0</v>
      </c>
      <c r="X329" s="201">
        <f t="shared" si="142"/>
        <v>0</v>
      </c>
      <c r="Y329" s="201">
        <f t="shared" si="142"/>
        <v>0</v>
      </c>
      <c r="Z329" s="201">
        <f t="shared" si="142"/>
        <v>0</v>
      </c>
      <c r="AA329" s="201">
        <f t="shared" si="142"/>
        <v>0</v>
      </c>
      <c r="AB329" s="201">
        <f t="shared" si="142"/>
        <v>0</v>
      </c>
      <c r="AC329" s="201">
        <f t="shared" si="142"/>
        <v>0</v>
      </c>
      <c r="AD329" s="201">
        <f t="shared" si="142"/>
        <v>0</v>
      </c>
      <c r="AE329" s="201">
        <f t="shared" si="142"/>
        <v>0</v>
      </c>
      <c r="AF329" s="201">
        <f t="shared" si="143"/>
        <v>4358334.82</v>
      </c>
      <c r="AG329" s="333" t="str">
        <f t="shared" si="144"/>
        <v>ok</v>
      </c>
    </row>
    <row r="330" spans="1:33">
      <c r="A330" s="318">
        <v>507</v>
      </c>
      <c r="B330" s="318" t="s">
        <v>1108</v>
      </c>
      <c r="C330" s="165" t="s">
        <v>375</v>
      </c>
      <c r="D330" s="165" t="s">
        <v>679</v>
      </c>
      <c r="F330" s="340">
        <v>0</v>
      </c>
      <c r="H330" s="201">
        <f t="shared" si="141"/>
        <v>0</v>
      </c>
      <c r="I330" s="201">
        <f t="shared" si="141"/>
        <v>0</v>
      </c>
      <c r="J330" s="201">
        <f t="shared" si="141"/>
        <v>0</v>
      </c>
      <c r="K330" s="201">
        <f t="shared" si="141"/>
        <v>0</v>
      </c>
      <c r="L330" s="201">
        <f t="shared" si="141"/>
        <v>0</v>
      </c>
      <c r="M330" s="201">
        <f t="shared" si="141"/>
        <v>0</v>
      </c>
      <c r="N330" s="201">
        <f t="shared" si="141"/>
        <v>0</v>
      </c>
      <c r="O330" s="201">
        <f t="shared" si="141"/>
        <v>0</v>
      </c>
      <c r="P330" s="201">
        <f t="shared" si="141"/>
        <v>0</v>
      </c>
      <c r="Q330" s="201">
        <f t="shared" si="141"/>
        <v>0</v>
      </c>
      <c r="R330" s="201">
        <f t="shared" si="142"/>
        <v>0</v>
      </c>
      <c r="S330" s="201">
        <f t="shared" si="142"/>
        <v>0</v>
      </c>
      <c r="T330" s="201">
        <f t="shared" si="142"/>
        <v>0</v>
      </c>
      <c r="U330" s="201">
        <f t="shared" si="142"/>
        <v>0</v>
      </c>
      <c r="V330" s="201">
        <f t="shared" si="142"/>
        <v>0</v>
      </c>
      <c r="W330" s="201">
        <f t="shared" si="142"/>
        <v>0</v>
      </c>
      <c r="X330" s="201">
        <f t="shared" si="142"/>
        <v>0</v>
      </c>
      <c r="Y330" s="201">
        <f t="shared" si="142"/>
        <v>0</v>
      </c>
      <c r="Z330" s="201">
        <f t="shared" si="142"/>
        <v>0</v>
      </c>
      <c r="AA330" s="201">
        <f t="shared" si="142"/>
        <v>0</v>
      </c>
      <c r="AB330" s="201">
        <f t="shared" si="142"/>
        <v>0</v>
      </c>
      <c r="AC330" s="201">
        <f t="shared" si="142"/>
        <v>0</v>
      </c>
      <c r="AD330" s="201">
        <f t="shared" si="142"/>
        <v>0</v>
      </c>
      <c r="AE330" s="201">
        <f t="shared" si="142"/>
        <v>0</v>
      </c>
      <c r="AF330" s="201">
        <f t="shared" si="143"/>
        <v>0</v>
      </c>
      <c r="AG330" s="333" t="str">
        <f t="shared" si="144"/>
        <v>ok</v>
      </c>
    </row>
    <row r="331" spans="1:33">
      <c r="A331" s="318"/>
      <c r="B331" s="318"/>
      <c r="F331" s="203"/>
      <c r="W331" s="165"/>
      <c r="AF331" s="201"/>
      <c r="AG331" s="333"/>
    </row>
    <row r="332" spans="1:33">
      <c r="A332" s="318"/>
      <c r="B332" s="318" t="s">
        <v>236</v>
      </c>
      <c r="C332" s="165" t="s">
        <v>684</v>
      </c>
      <c r="F332" s="203">
        <f>SUM(F324:F331)</f>
        <v>20142019.59</v>
      </c>
      <c r="H332" s="347">
        <f t="shared" ref="H332:M332" si="145">SUM(H324:H331)</f>
        <v>6039792.2179293446</v>
      </c>
      <c r="I332" s="347">
        <f t="shared" si="145"/>
        <v>5693577.7302672453</v>
      </c>
      <c r="J332" s="347">
        <f t="shared" si="145"/>
        <v>5847343.6340225618</v>
      </c>
      <c r="K332" s="347">
        <f t="shared" si="145"/>
        <v>2561306.0077808476</v>
      </c>
      <c r="L332" s="347">
        <f t="shared" si="145"/>
        <v>0</v>
      </c>
      <c r="M332" s="347">
        <f t="shared" si="145"/>
        <v>0</v>
      </c>
      <c r="N332" s="347">
        <f>SUM(N324:N331)</f>
        <v>0</v>
      </c>
      <c r="O332" s="347">
        <f>SUM(O324:O331)</f>
        <v>0</v>
      </c>
      <c r="P332" s="347">
        <f>SUM(P324:P331)</f>
        <v>0</v>
      </c>
      <c r="Q332" s="347">
        <f t="shared" ref="Q332:AB332" si="146">SUM(Q324:Q331)</f>
        <v>0</v>
      </c>
      <c r="R332" s="347">
        <f t="shared" si="146"/>
        <v>0</v>
      </c>
      <c r="S332" s="347">
        <f t="shared" si="146"/>
        <v>0</v>
      </c>
      <c r="T332" s="347">
        <f t="shared" si="146"/>
        <v>0</v>
      </c>
      <c r="U332" s="347">
        <f t="shared" si="146"/>
        <v>0</v>
      </c>
      <c r="V332" s="347">
        <f t="shared" si="146"/>
        <v>0</v>
      </c>
      <c r="W332" s="347">
        <f t="shared" si="146"/>
        <v>0</v>
      </c>
      <c r="X332" s="347">
        <f t="shared" si="146"/>
        <v>0</v>
      </c>
      <c r="Y332" s="347">
        <f t="shared" si="146"/>
        <v>0</v>
      </c>
      <c r="Z332" s="347">
        <f t="shared" si="146"/>
        <v>0</v>
      </c>
      <c r="AA332" s="347">
        <f t="shared" si="146"/>
        <v>0</v>
      </c>
      <c r="AB332" s="347">
        <f t="shared" si="146"/>
        <v>0</v>
      </c>
      <c r="AC332" s="347">
        <f>SUM(AC324:AC331)</f>
        <v>0</v>
      </c>
      <c r="AD332" s="347">
        <f>SUM(AD324:AD331)</f>
        <v>0</v>
      </c>
      <c r="AE332" s="347">
        <f>SUM(AE324:AE331)</f>
        <v>0</v>
      </c>
      <c r="AF332" s="201">
        <f t="shared" si="143"/>
        <v>20142019.59</v>
      </c>
      <c r="AG332" s="333" t="str">
        <f>IF(ABS(AF332-F332)&lt;1,"ok","err")</f>
        <v>ok</v>
      </c>
    </row>
    <row r="333" spans="1:33">
      <c r="A333" s="318"/>
      <c r="B333" s="318"/>
      <c r="F333" s="203"/>
      <c r="W333" s="165"/>
      <c r="AF333" s="201"/>
      <c r="AG333" s="333"/>
    </row>
    <row r="334" spans="1:33">
      <c r="A334" s="87" t="s">
        <v>237</v>
      </c>
      <c r="B334" s="318"/>
      <c r="F334" s="203"/>
      <c r="W334" s="165"/>
      <c r="AF334" s="201"/>
      <c r="AG334" s="333"/>
    </row>
    <row r="335" spans="1:33">
      <c r="A335" s="318">
        <v>510</v>
      </c>
      <c r="B335" s="318" t="s">
        <v>240</v>
      </c>
      <c r="C335" s="165" t="s">
        <v>304</v>
      </c>
      <c r="D335" s="165" t="s">
        <v>681</v>
      </c>
      <c r="F335" s="203">
        <v>1735387.29</v>
      </c>
      <c r="H335" s="201">
        <f t="shared" ref="H335:Q339" si="147">IF(VLOOKUP($D335,$C$6:$AE$598,H$2,)=0,0,((VLOOKUP($D335,$C$6:$AE$598,H$2,)/VLOOKUP($D335,$C$6:$AE$598,4,))*$F335))</f>
        <v>19749.90758006501</v>
      </c>
      <c r="I335" s="201">
        <f t="shared" si="147"/>
        <v>18617.79841347679</v>
      </c>
      <c r="J335" s="201">
        <f t="shared" si="147"/>
        <v>19120.607496729295</v>
      </c>
      <c r="K335" s="201">
        <f t="shared" si="147"/>
        <v>1677898.9765097287</v>
      </c>
      <c r="L335" s="201">
        <f t="shared" si="147"/>
        <v>0</v>
      </c>
      <c r="M335" s="201">
        <f t="shared" si="147"/>
        <v>0</v>
      </c>
      <c r="N335" s="201">
        <f t="shared" si="147"/>
        <v>0</v>
      </c>
      <c r="O335" s="201">
        <f t="shared" si="147"/>
        <v>0</v>
      </c>
      <c r="P335" s="201">
        <f t="shared" si="147"/>
        <v>0</v>
      </c>
      <c r="Q335" s="201">
        <f t="shared" si="147"/>
        <v>0</v>
      </c>
      <c r="R335" s="201">
        <f t="shared" ref="R335:AE339" si="148">IF(VLOOKUP($D335,$C$6:$AE$598,R$2,)=0,0,((VLOOKUP($D335,$C$6:$AE$598,R$2,)/VLOOKUP($D335,$C$6:$AE$598,4,))*$F335))</f>
        <v>0</v>
      </c>
      <c r="S335" s="201">
        <f t="shared" si="148"/>
        <v>0</v>
      </c>
      <c r="T335" s="201">
        <f t="shared" si="148"/>
        <v>0</v>
      </c>
      <c r="U335" s="201">
        <f t="shared" si="148"/>
        <v>0</v>
      </c>
      <c r="V335" s="201">
        <f t="shared" si="148"/>
        <v>0</v>
      </c>
      <c r="W335" s="201">
        <f t="shared" si="148"/>
        <v>0</v>
      </c>
      <c r="X335" s="201">
        <f t="shared" si="148"/>
        <v>0</v>
      </c>
      <c r="Y335" s="201">
        <f t="shared" si="148"/>
        <v>0</v>
      </c>
      <c r="Z335" s="201">
        <f t="shared" si="148"/>
        <v>0</v>
      </c>
      <c r="AA335" s="201">
        <f t="shared" si="148"/>
        <v>0</v>
      </c>
      <c r="AB335" s="201">
        <f t="shared" si="148"/>
        <v>0</v>
      </c>
      <c r="AC335" s="201">
        <f t="shared" si="148"/>
        <v>0</v>
      </c>
      <c r="AD335" s="201">
        <f t="shared" si="148"/>
        <v>0</v>
      </c>
      <c r="AE335" s="201">
        <f t="shared" si="148"/>
        <v>0</v>
      </c>
      <c r="AF335" s="201">
        <f t="shared" si="143"/>
        <v>1735387.2899999998</v>
      </c>
      <c r="AG335" s="333" t="str">
        <f>IF(ABS(AF335-F335)&lt;1,"ok","err")</f>
        <v>ok</v>
      </c>
    </row>
    <row r="336" spans="1:33">
      <c r="A336" s="318">
        <v>511</v>
      </c>
      <c r="B336" s="318" t="s">
        <v>239</v>
      </c>
      <c r="C336" s="165" t="s">
        <v>305</v>
      </c>
      <c r="D336" s="165" t="s">
        <v>679</v>
      </c>
      <c r="F336" s="340">
        <v>310285.11</v>
      </c>
      <c r="H336" s="201">
        <f t="shared" si="147"/>
        <v>106597.35646980461</v>
      </c>
      <c r="I336" s="201">
        <f t="shared" si="147"/>
        <v>100486.9560082172</v>
      </c>
      <c r="J336" s="201">
        <f t="shared" si="147"/>
        <v>103200.79752197818</v>
      </c>
      <c r="K336" s="201">
        <f t="shared" si="147"/>
        <v>0</v>
      </c>
      <c r="L336" s="201">
        <f t="shared" si="147"/>
        <v>0</v>
      </c>
      <c r="M336" s="201">
        <f t="shared" si="147"/>
        <v>0</v>
      </c>
      <c r="N336" s="201">
        <f t="shared" si="147"/>
        <v>0</v>
      </c>
      <c r="O336" s="201">
        <f t="shared" si="147"/>
        <v>0</v>
      </c>
      <c r="P336" s="201">
        <f t="shared" si="147"/>
        <v>0</v>
      </c>
      <c r="Q336" s="201">
        <f t="shared" si="147"/>
        <v>0</v>
      </c>
      <c r="R336" s="201">
        <f t="shared" si="148"/>
        <v>0</v>
      </c>
      <c r="S336" s="201">
        <f t="shared" si="148"/>
        <v>0</v>
      </c>
      <c r="T336" s="201">
        <f t="shared" si="148"/>
        <v>0</v>
      </c>
      <c r="U336" s="201">
        <f t="shared" si="148"/>
        <v>0</v>
      </c>
      <c r="V336" s="201">
        <f t="shared" si="148"/>
        <v>0</v>
      </c>
      <c r="W336" s="201">
        <f t="shared" si="148"/>
        <v>0</v>
      </c>
      <c r="X336" s="201">
        <f t="shared" si="148"/>
        <v>0</v>
      </c>
      <c r="Y336" s="201">
        <f t="shared" si="148"/>
        <v>0</v>
      </c>
      <c r="Z336" s="201">
        <f t="shared" si="148"/>
        <v>0</v>
      </c>
      <c r="AA336" s="201">
        <f t="shared" si="148"/>
        <v>0</v>
      </c>
      <c r="AB336" s="201">
        <f t="shared" si="148"/>
        <v>0</v>
      </c>
      <c r="AC336" s="201">
        <f t="shared" si="148"/>
        <v>0</v>
      </c>
      <c r="AD336" s="201">
        <f t="shared" si="148"/>
        <v>0</v>
      </c>
      <c r="AE336" s="201">
        <f t="shared" si="148"/>
        <v>0</v>
      </c>
      <c r="AF336" s="201">
        <f t="shared" si="143"/>
        <v>310285.11</v>
      </c>
      <c r="AG336" s="333" t="str">
        <f>IF(ABS(AF336-F336)&lt;1,"ok","err")</f>
        <v>ok</v>
      </c>
    </row>
    <row r="337" spans="1:33">
      <c r="A337" s="318">
        <v>512</v>
      </c>
      <c r="B337" s="318" t="s">
        <v>242</v>
      </c>
      <c r="C337" s="165" t="s">
        <v>306</v>
      </c>
      <c r="D337" s="165" t="s">
        <v>1034</v>
      </c>
      <c r="F337" s="340">
        <v>7287310.1200000001</v>
      </c>
      <c r="H337" s="201">
        <f t="shared" si="147"/>
        <v>0</v>
      </c>
      <c r="I337" s="201">
        <f t="shared" si="147"/>
        <v>0</v>
      </c>
      <c r="J337" s="201">
        <f t="shared" si="147"/>
        <v>0</v>
      </c>
      <c r="K337" s="201">
        <f t="shared" si="147"/>
        <v>7287310.1200000001</v>
      </c>
      <c r="L337" s="201">
        <f t="shared" si="147"/>
        <v>0</v>
      </c>
      <c r="M337" s="201">
        <f t="shared" si="147"/>
        <v>0</v>
      </c>
      <c r="N337" s="201">
        <f t="shared" si="147"/>
        <v>0</v>
      </c>
      <c r="O337" s="201">
        <f t="shared" si="147"/>
        <v>0</v>
      </c>
      <c r="P337" s="201">
        <f t="shared" si="147"/>
        <v>0</v>
      </c>
      <c r="Q337" s="201">
        <f t="shared" si="147"/>
        <v>0</v>
      </c>
      <c r="R337" s="201">
        <f t="shared" si="148"/>
        <v>0</v>
      </c>
      <c r="S337" s="201">
        <f t="shared" si="148"/>
        <v>0</v>
      </c>
      <c r="T337" s="201">
        <f t="shared" si="148"/>
        <v>0</v>
      </c>
      <c r="U337" s="201">
        <f t="shared" si="148"/>
        <v>0</v>
      </c>
      <c r="V337" s="201">
        <f t="shared" si="148"/>
        <v>0</v>
      </c>
      <c r="W337" s="201">
        <f t="shared" si="148"/>
        <v>0</v>
      </c>
      <c r="X337" s="201">
        <f t="shared" si="148"/>
        <v>0</v>
      </c>
      <c r="Y337" s="201">
        <f t="shared" si="148"/>
        <v>0</v>
      </c>
      <c r="Z337" s="201">
        <f t="shared" si="148"/>
        <v>0</v>
      </c>
      <c r="AA337" s="201">
        <f t="shared" si="148"/>
        <v>0</v>
      </c>
      <c r="AB337" s="201">
        <f t="shared" si="148"/>
        <v>0</v>
      </c>
      <c r="AC337" s="201">
        <f t="shared" si="148"/>
        <v>0</v>
      </c>
      <c r="AD337" s="201">
        <f t="shared" si="148"/>
        <v>0</v>
      </c>
      <c r="AE337" s="201">
        <f t="shared" si="148"/>
        <v>0</v>
      </c>
      <c r="AF337" s="201">
        <f t="shared" si="143"/>
        <v>7287310.1200000001</v>
      </c>
      <c r="AG337" s="333" t="str">
        <f>IF(ABS(AF337-F337)&lt;1,"ok","err")</f>
        <v>ok</v>
      </c>
    </row>
    <row r="338" spans="1:33">
      <c r="A338" s="318">
        <v>513</v>
      </c>
      <c r="B338" s="318" t="s">
        <v>243</v>
      </c>
      <c r="C338" s="165" t="s">
        <v>307</v>
      </c>
      <c r="D338" s="165" t="s">
        <v>1034</v>
      </c>
      <c r="F338" s="340">
        <v>1619341.21</v>
      </c>
      <c r="H338" s="201">
        <f t="shared" si="147"/>
        <v>0</v>
      </c>
      <c r="I338" s="201">
        <f t="shared" si="147"/>
        <v>0</v>
      </c>
      <c r="J338" s="201">
        <f t="shared" si="147"/>
        <v>0</v>
      </c>
      <c r="K338" s="201">
        <f t="shared" si="147"/>
        <v>1619341.21</v>
      </c>
      <c r="L338" s="201">
        <f t="shared" si="147"/>
        <v>0</v>
      </c>
      <c r="M338" s="201">
        <f t="shared" si="147"/>
        <v>0</v>
      </c>
      <c r="N338" s="201">
        <f t="shared" si="147"/>
        <v>0</v>
      </c>
      <c r="O338" s="201">
        <f t="shared" si="147"/>
        <v>0</v>
      </c>
      <c r="P338" s="201">
        <f t="shared" si="147"/>
        <v>0</v>
      </c>
      <c r="Q338" s="201">
        <f t="shared" si="147"/>
        <v>0</v>
      </c>
      <c r="R338" s="201">
        <f t="shared" si="148"/>
        <v>0</v>
      </c>
      <c r="S338" s="201">
        <f t="shared" si="148"/>
        <v>0</v>
      </c>
      <c r="T338" s="201">
        <f t="shared" si="148"/>
        <v>0</v>
      </c>
      <c r="U338" s="201">
        <f t="shared" si="148"/>
        <v>0</v>
      </c>
      <c r="V338" s="201">
        <f t="shared" si="148"/>
        <v>0</v>
      </c>
      <c r="W338" s="201">
        <f t="shared" si="148"/>
        <v>0</v>
      </c>
      <c r="X338" s="201">
        <f t="shared" si="148"/>
        <v>0</v>
      </c>
      <c r="Y338" s="201">
        <f t="shared" si="148"/>
        <v>0</v>
      </c>
      <c r="Z338" s="201">
        <f t="shared" si="148"/>
        <v>0</v>
      </c>
      <c r="AA338" s="201">
        <f t="shared" si="148"/>
        <v>0</v>
      </c>
      <c r="AB338" s="201">
        <f t="shared" si="148"/>
        <v>0</v>
      </c>
      <c r="AC338" s="201">
        <f t="shared" si="148"/>
        <v>0</v>
      </c>
      <c r="AD338" s="201">
        <f t="shared" si="148"/>
        <v>0</v>
      </c>
      <c r="AE338" s="201">
        <f t="shared" si="148"/>
        <v>0</v>
      </c>
      <c r="AF338" s="201">
        <f t="shared" si="143"/>
        <v>1619341.21</v>
      </c>
      <c r="AG338" s="333" t="str">
        <f>IF(ABS(AF338-F338)&lt;1,"ok","err")</f>
        <v>ok</v>
      </c>
    </row>
    <row r="339" spans="1:33">
      <c r="A339" s="318">
        <v>514</v>
      </c>
      <c r="B339" s="318" t="s">
        <v>246</v>
      </c>
      <c r="C339" s="165" t="s">
        <v>308</v>
      </c>
      <c r="D339" s="165" t="s">
        <v>1034</v>
      </c>
      <c r="F339" s="340">
        <v>149573.09</v>
      </c>
      <c r="H339" s="201">
        <f t="shared" si="147"/>
        <v>0</v>
      </c>
      <c r="I339" s="201">
        <f t="shared" si="147"/>
        <v>0</v>
      </c>
      <c r="J339" s="201">
        <f t="shared" si="147"/>
        <v>0</v>
      </c>
      <c r="K339" s="201">
        <f t="shared" si="147"/>
        <v>149573.09</v>
      </c>
      <c r="L339" s="201">
        <f t="shared" si="147"/>
        <v>0</v>
      </c>
      <c r="M339" s="201">
        <f t="shared" si="147"/>
        <v>0</v>
      </c>
      <c r="N339" s="201">
        <f t="shared" si="147"/>
        <v>0</v>
      </c>
      <c r="O339" s="201">
        <f t="shared" si="147"/>
        <v>0</v>
      </c>
      <c r="P339" s="201">
        <f t="shared" si="147"/>
        <v>0</v>
      </c>
      <c r="Q339" s="201">
        <f t="shared" si="147"/>
        <v>0</v>
      </c>
      <c r="R339" s="201">
        <f t="shared" si="148"/>
        <v>0</v>
      </c>
      <c r="S339" s="201">
        <f t="shared" si="148"/>
        <v>0</v>
      </c>
      <c r="T339" s="201">
        <f t="shared" si="148"/>
        <v>0</v>
      </c>
      <c r="U339" s="201">
        <f t="shared" si="148"/>
        <v>0</v>
      </c>
      <c r="V339" s="201">
        <f t="shared" si="148"/>
        <v>0</v>
      </c>
      <c r="W339" s="201">
        <f t="shared" si="148"/>
        <v>0</v>
      </c>
      <c r="X339" s="201">
        <f t="shared" si="148"/>
        <v>0</v>
      </c>
      <c r="Y339" s="201">
        <f t="shared" si="148"/>
        <v>0</v>
      </c>
      <c r="Z339" s="201">
        <f t="shared" si="148"/>
        <v>0</v>
      </c>
      <c r="AA339" s="201">
        <f t="shared" si="148"/>
        <v>0</v>
      </c>
      <c r="AB339" s="201">
        <f t="shared" si="148"/>
        <v>0</v>
      </c>
      <c r="AC339" s="201">
        <f t="shared" si="148"/>
        <v>0</v>
      </c>
      <c r="AD339" s="201">
        <f t="shared" si="148"/>
        <v>0</v>
      </c>
      <c r="AE339" s="201">
        <f t="shared" si="148"/>
        <v>0</v>
      </c>
      <c r="AF339" s="201">
        <f t="shared" si="143"/>
        <v>149573.09</v>
      </c>
      <c r="AG339" s="333" t="str">
        <f>IF(ABS(AF339-F339)&lt;1,"ok","err")</f>
        <v>ok</v>
      </c>
    </row>
    <row r="340" spans="1:33">
      <c r="A340" s="318"/>
      <c r="B340" s="318"/>
      <c r="F340" s="203"/>
      <c r="W340" s="165"/>
      <c r="AF340" s="201"/>
      <c r="AG340" s="333"/>
    </row>
    <row r="341" spans="1:33">
      <c r="A341" s="318"/>
      <c r="B341" s="318" t="s">
        <v>248</v>
      </c>
      <c r="C341" s="165" t="s">
        <v>87</v>
      </c>
      <c r="F341" s="203">
        <f>SUM(F335:F340)</f>
        <v>11101896.82</v>
      </c>
      <c r="H341" s="347">
        <f t="shared" ref="H341:M341" si="149">SUM(H335:H340)</f>
        <v>126347.26404986961</v>
      </c>
      <c r="I341" s="347">
        <f t="shared" si="149"/>
        <v>119104.75442169399</v>
      </c>
      <c r="J341" s="347">
        <f t="shared" si="149"/>
        <v>122321.40501870748</v>
      </c>
      <c r="K341" s="347">
        <f t="shared" si="149"/>
        <v>10734123.396509729</v>
      </c>
      <c r="L341" s="347">
        <f t="shared" si="149"/>
        <v>0</v>
      </c>
      <c r="M341" s="347">
        <f t="shared" si="149"/>
        <v>0</v>
      </c>
      <c r="N341" s="347">
        <f>SUM(N335:N340)</f>
        <v>0</v>
      </c>
      <c r="O341" s="347">
        <f>SUM(O335:O340)</f>
        <v>0</v>
      </c>
      <c r="P341" s="347">
        <f>SUM(P335:P340)</f>
        <v>0</v>
      </c>
      <c r="Q341" s="347">
        <f t="shared" ref="Q341:AB341" si="150">SUM(Q335:Q340)</f>
        <v>0</v>
      </c>
      <c r="R341" s="347">
        <f t="shared" si="150"/>
        <v>0</v>
      </c>
      <c r="S341" s="347">
        <f t="shared" si="150"/>
        <v>0</v>
      </c>
      <c r="T341" s="347">
        <f t="shared" si="150"/>
        <v>0</v>
      </c>
      <c r="U341" s="347">
        <f t="shared" si="150"/>
        <v>0</v>
      </c>
      <c r="V341" s="347">
        <f t="shared" si="150"/>
        <v>0</v>
      </c>
      <c r="W341" s="347">
        <f t="shared" si="150"/>
        <v>0</v>
      </c>
      <c r="X341" s="347">
        <f t="shared" si="150"/>
        <v>0</v>
      </c>
      <c r="Y341" s="347">
        <f t="shared" si="150"/>
        <v>0</v>
      </c>
      <c r="Z341" s="347">
        <f t="shared" si="150"/>
        <v>0</v>
      </c>
      <c r="AA341" s="347">
        <f t="shared" si="150"/>
        <v>0</v>
      </c>
      <c r="AB341" s="347">
        <f t="shared" si="150"/>
        <v>0</v>
      </c>
      <c r="AC341" s="347">
        <f>SUM(AC335:AC340)</f>
        <v>0</v>
      </c>
      <c r="AD341" s="347">
        <f>SUM(AD335:AD340)</f>
        <v>0</v>
      </c>
      <c r="AE341" s="347">
        <f>SUM(AE335:AE340)</f>
        <v>0</v>
      </c>
      <c r="AF341" s="201">
        <f t="shared" si="143"/>
        <v>11101896.82</v>
      </c>
      <c r="AG341" s="333" t="str">
        <f>IF(ABS(AF341-F341)&lt;1,"ok","err")</f>
        <v>ok</v>
      </c>
    </row>
    <row r="342" spans="1:33">
      <c r="A342" s="318"/>
      <c r="B342" s="318"/>
      <c r="F342" s="203"/>
      <c r="H342" s="347"/>
      <c r="I342" s="347"/>
      <c r="J342" s="347"/>
      <c r="K342" s="347"/>
      <c r="L342" s="347"/>
      <c r="M342" s="347"/>
      <c r="N342" s="347"/>
      <c r="O342" s="347"/>
      <c r="P342" s="347"/>
      <c r="Q342" s="347"/>
      <c r="R342" s="347"/>
      <c r="S342" s="347"/>
      <c r="T342" s="347"/>
      <c r="U342" s="347"/>
      <c r="V342" s="347"/>
      <c r="W342" s="347"/>
      <c r="X342" s="347"/>
      <c r="Y342" s="347"/>
      <c r="Z342" s="347"/>
      <c r="AA342" s="347"/>
      <c r="AB342" s="347"/>
      <c r="AC342" s="347"/>
      <c r="AD342" s="347"/>
      <c r="AE342" s="347"/>
      <c r="AF342" s="201"/>
      <c r="AG342" s="333"/>
    </row>
    <row r="343" spans="1:33">
      <c r="A343" s="318"/>
      <c r="B343" s="318" t="s">
        <v>249</v>
      </c>
      <c r="F343" s="203">
        <f>F332+F341</f>
        <v>31243916.41</v>
      </c>
      <c r="H343" s="347">
        <f t="shared" ref="H343:M343" si="151">H332+H341</f>
        <v>6166139.4819792146</v>
      </c>
      <c r="I343" s="347">
        <f t="shared" si="151"/>
        <v>5812682.4846889395</v>
      </c>
      <c r="J343" s="347">
        <f t="shared" si="151"/>
        <v>5969665.0390412696</v>
      </c>
      <c r="K343" s="347">
        <f t="shared" si="151"/>
        <v>13295429.404290577</v>
      </c>
      <c r="L343" s="347">
        <f t="shared" si="151"/>
        <v>0</v>
      </c>
      <c r="M343" s="347">
        <f t="shared" si="151"/>
        <v>0</v>
      </c>
      <c r="N343" s="347">
        <f>N332+N341</f>
        <v>0</v>
      </c>
      <c r="O343" s="347">
        <f>O332+O341</f>
        <v>0</v>
      </c>
      <c r="P343" s="347">
        <f>P332+P341</f>
        <v>0</v>
      </c>
      <c r="Q343" s="347">
        <f t="shared" ref="Q343:AB343" si="152">Q332+Q341</f>
        <v>0</v>
      </c>
      <c r="R343" s="347">
        <f t="shared" si="152"/>
        <v>0</v>
      </c>
      <c r="S343" s="347">
        <f t="shared" si="152"/>
        <v>0</v>
      </c>
      <c r="T343" s="347">
        <f t="shared" si="152"/>
        <v>0</v>
      </c>
      <c r="U343" s="347">
        <f t="shared" si="152"/>
        <v>0</v>
      </c>
      <c r="V343" s="347">
        <f t="shared" si="152"/>
        <v>0</v>
      </c>
      <c r="W343" s="347">
        <f t="shared" si="152"/>
        <v>0</v>
      </c>
      <c r="X343" s="347">
        <f t="shared" si="152"/>
        <v>0</v>
      </c>
      <c r="Y343" s="347">
        <f t="shared" si="152"/>
        <v>0</v>
      </c>
      <c r="Z343" s="347">
        <f t="shared" si="152"/>
        <v>0</v>
      </c>
      <c r="AA343" s="347">
        <f t="shared" si="152"/>
        <v>0</v>
      </c>
      <c r="AB343" s="347">
        <f t="shared" si="152"/>
        <v>0</v>
      </c>
      <c r="AC343" s="347">
        <f>AC332+AC341</f>
        <v>0</v>
      </c>
      <c r="AD343" s="347">
        <f>AD332+AD341</f>
        <v>0</v>
      </c>
      <c r="AE343" s="347">
        <f>AE332+AE341</f>
        <v>0</v>
      </c>
      <c r="AF343" s="201">
        <f t="shared" si="143"/>
        <v>31243916.410000004</v>
      </c>
      <c r="AG343" s="333" t="str">
        <f>IF(ABS(AF343-F343)&lt;1,"ok","err")</f>
        <v>ok</v>
      </c>
    </row>
    <row r="344" spans="1:33">
      <c r="A344" s="318"/>
      <c r="B344" s="318"/>
      <c r="F344" s="203"/>
      <c r="W344" s="165"/>
      <c r="AF344" s="201"/>
      <c r="AG344" s="333"/>
    </row>
    <row r="345" spans="1:33">
      <c r="A345" s="87" t="s">
        <v>337</v>
      </c>
      <c r="B345" s="318"/>
      <c r="W345" s="165"/>
      <c r="AG345" s="333"/>
    </row>
    <row r="346" spans="1:33">
      <c r="A346" s="356">
        <v>535</v>
      </c>
      <c r="B346" s="318" t="s">
        <v>225</v>
      </c>
      <c r="C346" s="165" t="s">
        <v>619</v>
      </c>
      <c r="D346" s="165" t="s">
        <v>683</v>
      </c>
      <c r="F346" s="203">
        <v>86701.83</v>
      </c>
      <c r="H346" s="201">
        <f t="shared" ref="H346:Q351" si="153">IF(VLOOKUP($D346,$C$6:$AE$598,H$2,)=0,0,((VLOOKUP($D346,$C$6:$AE$598,H$2,)/VLOOKUP($D346,$C$6:$AE$598,4,))*$F346))</f>
        <v>29786.108263765545</v>
      </c>
      <c r="I346" s="201">
        <f t="shared" si="153"/>
        <v>28078.701478913787</v>
      </c>
      <c r="J346" s="201">
        <f t="shared" si="153"/>
        <v>28837.02025732067</v>
      </c>
      <c r="K346" s="201">
        <f t="shared" si="153"/>
        <v>0</v>
      </c>
      <c r="L346" s="201">
        <f t="shared" si="153"/>
        <v>0</v>
      </c>
      <c r="M346" s="201">
        <f t="shared" si="153"/>
        <v>0</v>
      </c>
      <c r="N346" s="201">
        <f t="shared" si="153"/>
        <v>0</v>
      </c>
      <c r="O346" s="201">
        <f t="shared" si="153"/>
        <v>0</v>
      </c>
      <c r="P346" s="201">
        <f t="shared" si="153"/>
        <v>0</v>
      </c>
      <c r="Q346" s="201">
        <f t="shared" si="153"/>
        <v>0</v>
      </c>
      <c r="R346" s="201">
        <f t="shared" ref="R346:AE351" si="154">IF(VLOOKUP($D346,$C$6:$AE$598,R$2,)=0,0,((VLOOKUP($D346,$C$6:$AE$598,R$2,)/VLOOKUP($D346,$C$6:$AE$598,4,))*$F346))</f>
        <v>0</v>
      </c>
      <c r="S346" s="201">
        <f t="shared" si="154"/>
        <v>0</v>
      </c>
      <c r="T346" s="201">
        <f t="shared" si="154"/>
        <v>0</v>
      </c>
      <c r="U346" s="201">
        <f t="shared" si="154"/>
        <v>0</v>
      </c>
      <c r="V346" s="201">
        <f t="shared" si="154"/>
        <v>0</v>
      </c>
      <c r="W346" s="201">
        <f t="shared" si="154"/>
        <v>0</v>
      </c>
      <c r="X346" s="201">
        <f t="shared" si="154"/>
        <v>0</v>
      </c>
      <c r="Y346" s="201">
        <f t="shared" si="154"/>
        <v>0</v>
      </c>
      <c r="Z346" s="201">
        <f t="shared" si="154"/>
        <v>0</v>
      </c>
      <c r="AA346" s="201">
        <f t="shared" si="154"/>
        <v>0</v>
      </c>
      <c r="AB346" s="201">
        <f t="shared" si="154"/>
        <v>0</v>
      </c>
      <c r="AC346" s="201">
        <f t="shared" si="154"/>
        <v>0</v>
      </c>
      <c r="AD346" s="201">
        <f t="shared" si="154"/>
        <v>0</v>
      </c>
      <c r="AE346" s="201">
        <f t="shared" si="154"/>
        <v>0</v>
      </c>
      <c r="AF346" s="201">
        <f t="shared" ref="AF346:AF351" si="155">SUM(H346:AE346)</f>
        <v>86701.83</v>
      </c>
      <c r="AG346" s="333" t="str">
        <f t="shared" ref="AG346:AG351" si="156">IF(ABS(AF346-F346)&lt;1,"ok","err")</f>
        <v>ok</v>
      </c>
    </row>
    <row r="347" spans="1:33">
      <c r="A347" s="357">
        <v>536</v>
      </c>
      <c r="B347" s="318" t="s">
        <v>344</v>
      </c>
      <c r="C347" s="165" t="s">
        <v>620</v>
      </c>
      <c r="D347" s="165" t="s">
        <v>679</v>
      </c>
      <c r="F347" s="340">
        <v>0</v>
      </c>
      <c r="H347" s="201">
        <f t="shared" si="153"/>
        <v>0</v>
      </c>
      <c r="I347" s="201">
        <f t="shared" si="153"/>
        <v>0</v>
      </c>
      <c r="J347" s="201">
        <f t="shared" si="153"/>
        <v>0</v>
      </c>
      <c r="K347" s="201">
        <f t="shared" si="153"/>
        <v>0</v>
      </c>
      <c r="L347" s="201">
        <f t="shared" si="153"/>
        <v>0</v>
      </c>
      <c r="M347" s="201">
        <f t="shared" si="153"/>
        <v>0</v>
      </c>
      <c r="N347" s="201">
        <f t="shared" si="153"/>
        <v>0</v>
      </c>
      <c r="O347" s="201">
        <f t="shared" si="153"/>
        <v>0</v>
      </c>
      <c r="P347" s="201">
        <f t="shared" si="153"/>
        <v>0</v>
      </c>
      <c r="Q347" s="201">
        <f t="shared" si="153"/>
        <v>0</v>
      </c>
      <c r="R347" s="201">
        <f t="shared" si="154"/>
        <v>0</v>
      </c>
      <c r="S347" s="201">
        <f t="shared" si="154"/>
        <v>0</v>
      </c>
      <c r="T347" s="201">
        <f t="shared" si="154"/>
        <v>0</v>
      </c>
      <c r="U347" s="201">
        <f t="shared" si="154"/>
        <v>0</v>
      </c>
      <c r="V347" s="201">
        <f t="shared" si="154"/>
        <v>0</v>
      </c>
      <c r="W347" s="201">
        <f t="shared" si="154"/>
        <v>0</v>
      </c>
      <c r="X347" s="201">
        <f t="shared" si="154"/>
        <v>0</v>
      </c>
      <c r="Y347" s="201">
        <f t="shared" si="154"/>
        <v>0</v>
      </c>
      <c r="Z347" s="201">
        <f t="shared" si="154"/>
        <v>0</v>
      </c>
      <c r="AA347" s="201">
        <f t="shared" si="154"/>
        <v>0</v>
      </c>
      <c r="AB347" s="201">
        <f t="shared" si="154"/>
        <v>0</v>
      </c>
      <c r="AC347" s="201">
        <f t="shared" si="154"/>
        <v>0</v>
      </c>
      <c r="AD347" s="201">
        <f t="shared" si="154"/>
        <v>0</v>
      </c>
      <c r="AE347" s="201">
        <f t="shared" si="154"/>
        <v>0</v>
      </c>
      <c r="AF347" s="201">
        <f t="shared" si="155"/>
        <v>0</v>
      </c>
      <c r="AG347" s="333" t="str">
        <f t="shared" si="156"/>
        <v>ok</v>
      </c>
    </row>
    <row r="348" spans="1:33">
      <c r="A348" s="318">
        <v>537</v>
      </c>
      <c r="B348" s="318" t="s">
        <v>343</v>
      </c>
      <c r="C348" s="165" t="s">
        <v>621</v>
      </c>
      <c r="D348" s="165" t="s">
        <v>679</v>
      </c>
      <c r="F348" s="340">
        <v>0</v>
      </c>
      <c r="H348" s="201">
        <f t="shared" si="153"/>
        <v>0</v>
      </c>
      <c r="I348" s="201">
        <f t="shared" si="153"/>
        <v>0</v>
      </c>
      <c r="J348" s="201">
        <f t="shared" si="153"/>
        <v>0</v>
      </c>
      <c r="K348" s="201">
        <f t="shared" si="153"/>
        <v>0</v>
      </c>
      <c r="L348" s="201">
        <f t="shared" si="153"/>
        <v>0</v>
      </c>
      <c r="M348" s="201">
        <f t="shared" si="153"/>
        <v>0</v>
      </c>
      <c r="N348" s="201">
        <f t="shared" si="153"/>
        <v>0</v>
      </c>
      <c r="O348" s="201">
        <f t="shared" si="153"/>
        <v>0</v>
      </c>
      <c r="P348" s="201">
        <f t="shared" si="153"/>
        <v>0</v>
      </c>
      <c r="Q348" s="201">
        <f t="shared" si="153"/>
        <v>0</v>
      </c>
      <c r="R348" s="201">
        <f t="shared" si="154"/>
        <v>0</v>
      </c>
      <c r="S348" s="201">
        <f t="shared" si="154"/>
        <v>0</v>
      </c>
      <c r="T348" s="201">
        <f t="shared" si="154"/>
        <v>0</v>
      </c>
      <c r="U348" s="201">
        <f t="shared" si="154"/>
        <v>0</v>
      </c>
      <c r="V348" s="201">
        <f t="shared" si="154"/>
        <v>0</v>
      </c>
      <c r="W348" s="201">
        <f t="shared" si="154"/>
        <v>0</v>
      </c>
      <c r="X348" s="201">
        <f t="shared" si="154"/>
        <v>0</v>
      </c>
      <c r="Y348" s="201">
        <f t="shared" si="154"/>
        <v>0</v>
      </c>
      <c r="Z348" s="201">
        <f t="shared" si="154"/>
        <v>0</v>
      </c>
      <c r="AA348" s="201">
        <f t="shared" si="154"/>
        <v>0</v>
      </c>
      <c r="AB348" s="201">
        <f t="shared" si="154"/>
        <v>0</v>
      </c>
      <c r="AC348" s="201">
        <f t="shared" si="154"/>
        <v>0</v>
      </c>
      <c r="AD348" s="201">
        <f t="shared" si="154"/>
        <v>0</v>
      </c>
      <c r="AE348" s="201">
        <f t="shared" si="154"/>
        <v>0</v>
      </c>
      <c r="AF348" s="201">
        <f t="shared" si="155"/>
        <v>0</v>
      </c>
      <c r="AG348" s="333" t="str">
        <f t="shared" si="156"/>
        <v>ok</v>
      </c>
    </row>
    <row r="349" spans="1:33">
      <c r="A349" s="355">
        <v>538</v>
      </c>
      <c r="B349" s="318" t="s">
        <v>231</v>
      </c>
      <c r="C349" s="165" t="s">
        <v>622</v>
      </c>
      <c r="D349" s="165" t="s">
        <v>679</v>
      </c>
      <c r="F349" s="340">
        <v>212162.64</v>
      </c>
      <c r="H349" s="201">
        <f t="shared" si="153"/>
        <v>72887.727566607471</v>
      </c>
      <c r="I349" s="201">
        <f t="shared" si="153"/>
        <v>68709.638926170912</v>
      </c>
      <c r="J349" s="201">
        <f t="shared" si="153"/>
        <v>70565.273507221631</v>
      </c>
      <c r="K349" s="201">
        <f t="shared" si="153"/>
        <v>0</v>
      </c>
      <c r="L349" s="201">
        <f t="shared" si="153"/>
        <v>0</v>
      </c>
      <c r="M349" s="201">
        <f t="shared" si="153"/>
        <v>0</v>
      </c>
      <c r="N349" s="201">
        <f t="shared" si="153"/>
        <v>0</v>
      </c>
      <c r="O349" s="201">
        <f t="shared" si="153"/>
        <v>0</v>
      </c>
      <c r="P349" s="201">
        <f t="shared" si="153"/>
        <v>0</v>
      </c>
      <c r="Q349" s="201">
        <f t="shared" si="153"/>
        <v>0</v>
      </c>
      <c r="R349" s="201">
        <f t="shared" si="154"/>
        <v>0</v>
      </c>
      <c r="S349" s="201">
        <f t="shared" si="154"/>
        <v>0</v>
      </c>
      <c r="T349" s="201">
        <f t="shared" si="154"/>
        <v>0</v>
      </c>
      <c r="U349" s="201">
        <f t="shared" si="154"/>
        <v>0</v>
      </c>
      <c r="V349" s="201">
        <f t="shared" si="154"/>
        <v>0</v>
      </c>
      <c r="W349" s="201">
        <f t="shared" si="154"/>
        <v>0</v>
      </c>
      <c r="X349" s="201">
        <f t="shared" si="154"/>
        <v>0</v>
      </c>
      <c r="Y349" s="201">
        <f t="shared" si="154"/>
        <v>0</v>
      </c>
      <c r="Z349" s="201">
        <f t="shared" si="154"/>
        <v>0</v>
      </c>
      <c r="AA349" s="201">
        <f t="shared" si="154"/>
        <v>0</v>
      </c>
      <c r="AB349" s="201">
        <f t="shared" si="154"/>
        <v>0</v>
      </c>
      <c r="AC349" s="201">
        <f t="shared" si="154"/>
        <v>0</v>
      </c>
      <c r="AD349" s="201">
        <f t="shared" si="154"/>
        <v>0</v>
      </c>
      <c r="AE349" s="201">
        <f t="shared" si="154"/>
        <v>0</v>
      </c>
      <c r="AF349" s="201">
        <f t="shared" si="155"/>
        <v>212162.64</v>
      </c>
      <c r="AG349" s="333" t="str">
        <f t="shared" si="156"/>
        <v>ok</v>
      </c>
    </row>
    <row r="350" spans="1:33">
      <c r="A350" s="318">
        <v>539</v>
      </c>
      <c r="B350" s="318" t="s">
        <v>345</v>
      </c>
      <c r="C350" s="165" t="s">
        <v>623</v>
      </c>
      <c r="D350" s="165" t="s">
        <v>679</v>
      </c>
      <c r="F350" s="340">
        <v>1052.8399999999999</v>
      </c>
      <c r="H350" s="201">
        <f t="shared" si="153"/>
        <v>361.69947306098283</v>
      </c>
      <c r="I350" s="201">
        <f t="shared" si="153"/>
        <v>340.96604495037286</v>
      </c>
      <c r="J350" s="201">
        <f t="shared" si="153"/>
        <v>350.17448198864423</v>
      </c>
      <c r="K350" s="201">
        <f t="shared" si="153"/>
        <v>0</v>
      </c>
      <c r="L350" s="201">
        <f t="shared" si="153"/>
        <v>0</v>
      </c>
      <c r="M350" s="201">
        <f t="shared" si="153"/>
        <v>0</v>
      </c>
      <c r="N350" s="201">
        <f t="shared" si="153"/>
        <v>0</v>
      </c>
      <c r="O350" s="201">
        <f t="shared" si="153"/>
        <v>0</v>
      </c>
      <c r="P350" s="201">
        <f t="shared" si="153"/>
        <v>0</v>
      </c>
      <c r="Q350" s="201">
        <f t="shared" si="153"/>
        <v>0</v>
      </c>
      <c r="R350" s="201">
        <f t="shared" si="154"/>
        <v>0</v>
      </c>
      <c r="S350" s="201">
        <f t="shared" si="154"/>
        <v>0</v>
      </c>
      <c r="T350" s="201">
        <f t="shared" si="154"/>
        <v>0</v>
      </c>
      <c r="U350" s="201">
        <f t="shared" si="154"/>
        <v>0</v>
      </c>
      <c r="V350" s="201">
        <f t="shared" si="154"/>
        <v>0</v>
      </c>
      <c r="W350" s="201">
        <f t="shared" si="154"/>
        <v>0</v>
      </c>
      <c r="X350" s="201">
        <f t="shared" si="154"/>
        <v>0</v>
      </c>
      <c r="Y350" s="201">
        <f t="shared" si="154"/>
        <v>0</v>
      </c>
      <c r="Z350" s="201">
        <f t="shared" si="154"/>
        <v>0</v>
      </c>
      <c r="AA350" s="201">
        <f t="shared" si="154"/>
        <v>0</v>
      </c>
      <c r="AB350" s="201">
        <f t="shared" si="154"/>
        <v>0</v>
      </c>
      <c r="AC350" s="201">
        <f t="shared" si="154"/>
        <v>0</v>
      </c>
      <c r="AD350" s="201">
        <f t="shared" si="154"/>
        <v>0</v>
      </c>
      <c r="AE350" s="201">
        <f t="shared" si="154"/>
        <v>0</v>
      </c>
      <c r="AF350" s="201">
        <f t="shared" si="155"/>
        <v>1052.8399999999999</v>
      </c>
      <c r="AG350" s="333" t="str">
        <f t="shared" si="156"/>
        <v>ok</v>
      </c>
    </row>
    <row r="351" spans="1:33">
      <c r="A351" s="355">
        <v>540</v>
      </c>
      <c r="B351" s="318" t="s">
        <v>1108</v>
      </c>
      <c r="D351" s="165" t="s">
        <v>679</v>
      </c>
      <c r="F351" s="340">
        <v>0</v>
      </c>
      <c r="H351" s="201">
        <f t="shared" si="153"/>
        <v>0</v>
      </c>
      <c r="I351" s="201">
        <f t="shared" si="153"/>
        <v>0</v>
      </c>
      <c r="J351" s="201">
        <f t="shared" si="153"/>
        <v>0</v>
      </c>
      <c r="K351" s="201">
        <f t="shared" si="153"/>
        <v>0</v>
      </c>
      <c r="L351" s="201">
        <f t="shared" si="153"/>
        <v>0</v>
      </c>
      <c r="M351" s="201">
        <f t="shared" si="153"/>
        <v>0</v>
      </c>
      <c r="N351" s="201">
        <f t="shared" si="153"/>
        <v>0</v>
      </c>
      <c r="O351" s="201">
        <f t="shared" si="153"/>
        <v>0</v>
      </c>
      <c r="P351" s="201">
        <f t="shared" si="153"/>
        <v>0</v>
      </c>
      <c r="Q351" s="201">
        <f t="shared" si="153"/>
        <v>0</v>
      </c>
      <c r="R351" s="201">
        <f t="shared" si="154"/>
        <v>0</v>
      </c>
      <c r="S351" s="201">
        <f t="shared" si="154"/>
        <v>0</v>
      </c>
      <c r="T351" s="201">
        <f t="shared" si="154"/>
        <v>0</v>
      </c>
      <c r="U351" s="201">
        <f t="shared" si="154"/>
        <v>0</v>
      </c>
      <c r="V351" s="201">
        <f t="shared" si="154"/>
        <v>0</v>
      </c>
      <c r="W351" s="201">
        <f t="shared" si="154"/>
        <v>0</v>
      </c>
      <c r="X351" s="201">
        <f t="shared" si="154"/>
        <v>0</v>
      </c>
      <c r="Y351" s="201">
        <f t="shared" si="154"/>
        <v>0</v>
      </c>
      <c r="Z351" s="201">
        <f t="shared" si="154"/>
        <v>0</v>
      </c>
      <c r="AA351" s="201">
        <f t="shared" si="154"/>
        <v>0</v>
      </c>
      <c r="AB351" s="201">
        <f t="shared" si="154"/>
        <v>0</v>
      </c>
      <c r="AC351" s="201">
        <f t="shared" si="154"/>
        <v>0</v>
      </c>
      <c r="AD351" s="201">
        <f t="shared" si="154"/>
        <v>0</v>
      </c>
      <c r="AE351" s="201">
        <f t="shared" si="154"/>
        <v>0</v>
      </c>
      <c r="AF351" s="201">
        <f t="shared" si="155"/>
        <v>0</v>
      </c>
      <c r="AG351" s="333" t="str">
        <f t="shared" si="156"/>
        <v>ok</v>
      </c>
    </row>
    <row r="352" spans="1:33">
      <c r="A352" s="318"/>
      <c r="B352" s="318"/>
      <c r="F352" s="203"/>
      <c r="W352" s="165"/>
      <c r="AF352" s="201"/>
      <c r="AG352" s="333"/>
    </row>
    <row r="353" spans="1:33">
      <c r="A353" s="318"/>
      <c r="B353" s="318" t="s">
        <v>340</v>
      </c>
      <c r="C353" s="165" t="s">
        <v>685</v>
      </c>
      <c r="F353" s="203">
        <f>SUM(F346:F352)</f>
        <v>299917.31000000006</v>
      </c>
      <c r="H353" s="347">
        <f t="shared" ref="H353:M353" si="157">SUM(H346:H352)</f>
        <v>103035.53530343401</v>
      </c>
      <c r="I353" s="347">
        <f t="shared" si="157"/>
        <v>97129.306450035074</v>
      </c>
      <c r="J353" s="347">
        <f t="shared" si="157"/>
        <v>99752.468246530931</v>
      </c>
      <c r="K353" s="347">
        <f t="shared" si="157"/>
        <v>0</v>
      </c>
      <c r="L353" s="347">
        <f t="shared" si="157"/>
        <v>0</v>
      </c>
      <c r="M353" s="347">
        <f t="shared" si="157"/>
        <v>0</v>
      </c>
      <c r="N353" s="347">
        <f>SUM(N346:N352)</f>
        <v>0</v>
      </c>
      <c r="O353" s="347">
        <f>SUM(O346:O352)</f>
        <v>0</v>
      </c>
      <c r="P353" s="347">
        <f>SUM(P346:P352)</f>
        <v>0</v>
      </c>
      <c r="Q353" s="347">
        <f t="shared" ref="Q353:AB353" si="158">SUM(Q346:Q352)</f>
        <v>0</v>
      </c>
      <c r="R353" s="347">
        <f t="shared" si="158"/>
        <v>0</v>
      </c>
      <c r="S353" s="347">
        <f t="shared" si="158"/>
        <v>0</v>
      </c>
      <c r="T353" s="347">
        <f t="shared" si="158"/>
        <v>0</v>
      </c>
      <c r="U353" s="347">
        <f t="shared" si="158"/>
        <v>0</v>
      </c>
      <c r="V353" s="347">
        <f t="shared" si="158"/>
        <v>0</v>
      </c>
      <c r="W353" s="347">
        <f t="shared" si="158"/>
        <v>0</v>
      </c>
      <c r="X353" s="347">
        <f t="shared" si="158"/>
        <v>0</v>
      </c>
      <c r="Y353" s="347">
        <f t="shared" si="158"/>
        <v>0</v>
      </c>
      <c r="Z353" s="347">
        <f t="shared" si="158"/>
        <v>0</v>
      </c>
      <c r="AA353" s="347">
        <f t="shared" si="158"/>
        <v>0</v>
      </c>
      <c r="AB353" s="347">
        <f t="shared" si="158"/>
        <v>0</v>
      </c>
      <c r="AC353" s="347">
        <f>SUM(AC346:AC352)</f>
        <v>0</v>
      </c>
      <c r="AD353" s="347">
        <f>SUM(AD346:AD352)</f>
        <v>0</v>
      </c>
      <c r="AE353" s="347">
        <f>SUM(AE346:AE352)</f>
        <v>0</v>
      </c>
      <c r="AF353" s="201">
        <f>SUM(H353:AE353)</f>
        <v>299917.31</v>
      </c>
      <c r="AG353" s="333" t="str">
        <f>IF(ABS(AF353-F353)&lt;1,"ok","err")</f>
        <v>ok</v>
      </c>
    </row>
    <row r="354" spans="1:33">
      <c r="A354" s="318"/>
      <c r="B354" s="318"/>
      <c r="F354" s="203"/>
      <c r="W354" s="165"/>
      <c r="AG354" s="333"/>
    </row>
    <row r="355" spans="1:33">
      <c r="A355" s="87" t="s">
        <v>338</v>
      </c>
      <c r="B355" s="318"/>
      <c r="F355" s="203"/>
      <c r="W355" s="165"/>
      <c r="AG355" s="333"/>
    </row>
    <row r="356" spans="1:33">
      <c r="A356" s="356">
        <v>541</v>
      </c>
      <c r="B356" s="318" t="s">
        <v>240</v>
      </c>
      <c r="C356" s="165" t="s">
        <v>624</v>
      </c>
      <c r="D356" s="165" t="s">
        <v>690</v>
      </c>
      <c r="F356" s="203">
        <v>9934.26</v>
      </c>
      <c r="H356" s="201">
        <f t="shared" ref="H356:Q360" si="159">IF(VLOOKUP($D356,$C$6:$AE$598,H$2,)=0,0,((VLOOKUP($D356,$C$6:$AE$598,H$2,)/VLOOKUP($D356,$C$6:$AE$598,4,))*$F356))</f>
        <v>1141.2977535978116</v>
      </c>
      <c r="I356" s="201">
        <f t="shared" si="159"/>
        <v>1075.8759968925394</v>
      </c>
      <c r="J356" s="201">
        <f t="shared" si="159"/>
        <v>1104.9320760097851</v>
      </c>
      <c r="K356" s="201">
        <f t="shared" si="159"/>
        <v>6612.1541734998636</v>
      </c>
      <c r="L356" s="201">
        <f t="shared" si="159"/>
        <v>0</v>
      </c>
      <c r="M356" s="201">
        <f t="shared" si="159"/>
        <v>0</v>
      </c>
      <c r="N356" s="201">
        <f t="shared" si="159"/>
        <v>0</v>
      </c>
      <c r="O356" s="201">
        <f t="shared" si="159"/>
        <v>0</v>
      </c>
      <c r="P356" s="201">
        <f t="shared" si="159"/>
        <v>0</v>
      </c>
      <c r="Q356" s="201">
        <f t="shared" si="159"/>
        <v>0</v>
      </c>
      <c r="R356" s="201">
        <f t="shared" ref="R356:AE360" si="160">IF(VLOOKUP($D356,$C$6:$AE$598,R$2,)=0,0,((VLOOKUP($D356,$C$6:$AE$598,R$2,)/VLOOKUP($D356,$C$6:$AE$598,4,))*$F356))</f>
        <v>0</v>
      </c>
      <c r="S356" s="201">
        <f t="shared" si="160"/>
        <v>0</v>
      </c>
      <c r="T356" s="201">
        <f t="shared" si="160"/>
        <v>0</v>
      </c>
      <c r="U356" s="201">
        <f t="shared" si="160"/>
        <v>0</v>
      </c>
      <c r="V356" s="201">
        <f t="shared" si="160"/>
        <v>0</v>
      </c>
      <c r="W356" s="201">
        <f t="shared" si="160"/>
        <v>0</v>
      </c>
      <c r="X356" s="201">
        <f t="shared" si="160"/>
        <v>0</v>
      </c>
      <c r="Y356" s="201">
        <f t="shared" si="160"/>
        <v>0</v>
      </c>
      <c r="Z356" s="201">
        <f t="shared" si="160"/>
        <v>0</v>
      </c>
      <c r="AA356" s="201">
        <f t="shared" si="160"/>
        <v>0</v>
      </c>
      <c r="AB356" s="201">
        <f t="shared" si="160"/>
        <v>0</v>
      </c>
      <c r="AC356" s="201">
        <f t="shared" si="160"/>
        <v>0</v>
      </c>
      <c r="AD356" s="201">
        <f t="shared" si="160"/>
        <v>0</v>
      </c>
      <c r="AE356" s="201">
        <f t="shared" si="160"/>
        <v>0</v>
      </c>
      <c r="AF356" s="201">
        <f>SUM(H356:AE356)</f>
        <v>9934.26</v>
      </c>
      <c r="AG356" s="333" t="str">
        <f>IF(ABS(AF356-F356)&lt;1,"ok","err")</f>
        <v>ok</v>
      </c>
    </row>
    <row r="357" spans="1:33">
      <c r="A357" s="356">
        <v>542</v>
      </c>
      <c r="B357" s="318" t="s">
        <v>239</v>
      </c>
      <c r="C357" s="165" t="s">
        <v>625</v>
      </c>
      <c r="D357" s="165" t="s">
        <v>679</v>
      </c>
      <c r="F357" s="340">
        <v>30439.5</v>
      </c>
      <c r="H357" s="201">
        <f t="shared" si="159"/>
        <v>10457.382992895204</v>
      </c>
      <c r="I357" s="201">
        <f t="shared" si="159"/>
        <v>9857.9422564367578</v>
      </c>
      <c r="J357" s="201">
        <f t="shared" si="159"/>
        <v>10124.174750668039</v>
      </c>
      <c r="K357" s="201">
        <f t="shared" si="159"/>
        <v>0</v>
      </c>
      <c r="L357" s="201">
        <f t="shared" si="159"/>
        <v>0</v>
      </c>
      <c r="M357" s="201">
        <f t="shared" si="159"/>
        <v>0</v>
      </c>
      <c r="N357" s="201">
        <f t="shared" si="159"/>
        <v>0</v>
      </c>
      <c r="O357" s="201">
        <f t="shared" si="159"/>
        <v>0</v>
      </c>
      <c r="P357" s="201">
        <f t="shared" si="159"/>
        <v>0</v>
      </c>
      <c r="Q357" s="201">
        <f t="shared" si="159"/>
        <v>0</v>
      </c>
      <c r="R357" s="201">
        <f t="shared" si="160"/>
        <v>0</v>
      </c>
      <c r="S357" s="201">
        <f t="shared" si="160"/>
        <v>0</v>
      </c>
      <c r="T357" s="201">
        <f t="shared" si="160"/>
        <v>0</v>
      </c>
      <c r="U357" s="201">
        <f t="shared" si="160"/>
        <v>0</v>
      </c>
      <c r="V357" s="201">
        <f t="shared" si="160"/>
        <v>0</v>
      </c>
      <c r="W357" s="201">
        <f t="shared" si="160"/>
        <v>0</v>
      </c>
      <c r="X357" s="201">
        <f t="shared" si="160"/>
        <v>0</v>
      </c>
      <c r="Y357" s="201">
        <f t="shared" si="160"/>
        <v>0</v>
      </c>
      <c r="Z357" s="201">
        <f t="shared" si="160"/>
        <v>0</v>
      </c>
      <c r="AA357" s="201">
        <f t="shared" si="160"/>
        <v>0</v>
      </c>
      <c r="AB357" s="201">
        <f t="shared" si="160"/>
        <v>0</v>
      </c>
      <c r="AC357" s="201">
        <f t="shared" si="160"/>
        <v>0</v>
      </c>
      <c r="AD357" s="201">
        <f t="shared" si="160"/>
        <v>0</v>
      </c>
      <c r="AE357" s="201">
        <f t="shared" si="160"/>
        <v>0</v>
      </c>
      <c r="AF357" s="201">
        <f>SUM(H357:AE357)</f>
        <v>30439.5</v>
      </c>
      <c r="AG357" s="333" t="str">
        <f>IF(ABS(AF357-F357)&lt;1,"ok","err")</f>
        <v>ok</v>
      </c>
    </row>
    <row r="358" spans="1:33">
      <c r="A358" s="356">
        <v>543</v>
      </c>
      <c r="B358" s="318" t="s">
        <v>339</v>
      </c>
      <c r="C358" s="165" t="s">
        <v>626</v>
      </c>
      <c r="D358" s="165" t="s">
        <v>679</v>
      </c>
      <c r="F358" s="340">
        <v>31136.21</v>
      </c>
      <c r="H358" s="201">
        <f t="shared" si="159"/>
        <v>10696.73525902901</v>
      </c>
      <c r="I358" s="201">
        <f t="shared" si="159"/>
        <v>10083.574311808299</v>
      </c>
      <c r="J358" s="201">
        <f t="shared" si="159"/>
        <v>10355.90042916269</v>
      </c>
      <c r="K358" s="201">
        <f t="shared" si="159"/>
        <v>0</v>
      </c>
      <c r="L358" s="201">
        <f t="shared" si="159"/>
        <v>0</v>
      </c>
      <c r="M358" s="201">
        <f t="shared" si="159"/>
        <v>0</v>
      </c>
      <c r="N358" s="201">
        <f t="shared" si="159"/>
        <v>0</v>
      </c>
      <c r="O358" s="201">
        <f t="shared" si="159"/>
        <v>0</v>
      </c>
      <c r="P358" s="201">
        <f t="shared" si="159"/>
        <v>0</v>
      </c>
      <c r="Q358" s="201">
        <f t="shared" si="159"/>
        <v>0</v>
      </c>
      <c r="R358" s="201">
        <f t="shared" si="160"/>
        <v>0</v>
      </c>
      <c r="S358" s="201">
        <f t="shared" si="160"/>
        <v>0</v>
      </c>
      <c r="T358" s="201">
        <f t="shared" si="160"/>
        <v>0</v>
      </c>
      <c r="U358" s="201">
        <f t="shared" si="160"/>
        <v>0</v>
      </c>
      <c r="V358" s="201">
        <f t="shared" si="160"/>
        <v>0</v>
      </c>
      <c r="W358" s="201">
        <f t="shared" si="160"/>
        <v>0</v>
      </c>
      <c r="X358" s="201">
        <f t="shared" si="160"/>
        <v>0</v>
      </c>
      <c r="Y358" s="201">
        <f t="shared" si="160"/>
        <v>0</v>
      </c>
      <c r="Z358" s="201">
        <f t="shared" si="160"/>
        <v>0</v>
      </c>
      <c r="AA358" s="201">
        <f t="shared" si="160"/>
        <v>0</v>
      </c>
      <c r="AB358" s="201">
        <f t="shared" si="160"/>
        <v>0</v>
      </c>
      <c r="AC358" s="201">
        <f t="shared" si="160"/>
        <v>0</v>
      </c>
      <c r="AD358" s="201">
        <f t="shared" si="160"/>
        <v>0</v>
      </c>
      <c r="AE358" s="201">
        <f t="shared" si="160"/>
        <v>0</v>
      </c>
      <c r="AF358" s="201">
        <f>SUM(H358:AE358)</f>
        <v>31136.21</v>
      </c>
      <c r="AG358" s="333" t="str">
        <f>IF(ABS(AF358-F358)&lt;1,"ok","err")</f>
        <v>ok</v>
      </c>
    </row>
    <row r="359" spans="1:33">
      <c r="A359" s="318">
        <v>544</v>
      </c>
      <c r="B359" s="318" t="s">
        <v>243</v>
      </c>
      <c r="C359" s="165" t="s">
        <v>627</v>
      </c>
      <c r="D359" s="165" t="s">
        <v>1034</v>
      </c>
      <c r="F359" s="340">
        <v>122557.23</v>
      </c>
      <c r="H359" s="201">
        <f t="shared" si="159"/>
        <v>0</v>
      </c>
      <c r="I359" s="201">
        <f t="shared" si="159"/>
        <v>0</v>
      </c>
      <c r="J359" s="201">
        <f t="shared" si="159"/>
        <v>0</v>
      </c>
      <c r="K359" s="201">
        <f t="shared" si="159"/>
        <v>122557.23</v>
      </c>
      <c r="L359" s="201">
        <f t="shared" si="159"/>
        <v>0</v>
      </c>
      <c r="M359" s="201">
        <f t="shared" si="159"/>
        <v>0</v>
      </c>
      <c r="N359" s="201">
        <f t="shared" si="159"/>
        <v>0</v>
      </c>
      <c r="O359" s="201">
        <f t="shared" si="159"/>
        <v>0</v>
      </c>
      <c r="P359" s="201">
        <f t="shared" si="159"/>
        <v>0</v>
      </c>
      <c r="Q359" s="201">
        <f t="shared" si="159"/>
        <v>0</v>
      </c>
      <c r="R359" s="201">
        <f t="shared" si="160"/>
        <v>0</v>
      </c>
      <c r="S359" s="201">
        <f t="shared" si="160"/>
        <v>0</v>
      </c>
      <c r="T359" s="201">
        <f t="shared" si="160"/>
        <v>0</v>
      </c>
      <c r="U359" s="201">
        <f t="shared" si="160"/>
        <v>0</v>
      </c>
      <c r="V359" s="201">
        <f t="shared" si="160"/>
        <v>0</v>
      </c>
      <c r="W359" s="201">
        <f t="shared" si="160"/>
        <v>0</v>
      </c>
      <c r="X359" s="201">
        <f t="shared" si="160"/>
        <v>0</v>
      </c>
      <c r="Y359" s="201">
        <f t="shared" si="160"/>
        <v>0</v>
      </c>
      <c r="Z359" s="201">
        <f t="shared" si="160"/>
        <v>0</v>
      </c>
      <c r="AA359" s="201">
        <f t="shared" si="160"/>
        <v>0</v>
      </c>
      <c r="AB359" s="201">
        <f t="shared" si="160"/>
        <v>0</v>
      </c>
      <c r="AC359" s="201">
        <f t="shared" si="160"/>
        <v>0</v>
      </c>
      <c r="AD359" s="201">
        <f t="shared" si="160"/>
        <v>0</v>
      </c>
      <c r="AE359" s="201">
        <f t="shared" si="160"/>
        <v>0</v>
      </c>
      <c r="AF359" s="201">
        <f>SUM(H359:AE359)</f>
        <v>122557.23</v>
      </c>
      <c r="AG359" s="333" t="str">
        <f>IF(ABS(AF359-F359)&lt;1,"ok","err")</f>
        <v>ok</v>
      </c>
    </row>
    <row r="360" spans="1:33">
      <c r="A360" s="318">
        <v>545</v>
      </c>
      <c r="B360" s="318" t="s">
        <v>346</v>
      </c>
      <c r="C360" s="165" t="s">
        <v>628</v>
      </c>
      <c r="D360" s="165" t="s">
        <v>1034</v>
      </c>
      <c r="F360" s="340">
        <v>0</v>
      </c>
      <c r="H360" s="201">
        <f t="shared" si="159"/>
        <v>0</v>
      </c>
      <c r="I360" s="201">
        <f t="shared" si="159"/>
        <v>0</v>
      </c>
      <c r="J360" s="201">
        <f t="shared" si="159"/>
        <v>0</v>
      </c>
      <c r="K360" s="201">
        <f t="shared" si="159"/>
        <v>0</v>
      </c>
      <c r="L360" s="201">
        <f t="shared" si="159"/>
        <v>0</v>
      </c>
      <c r="M360" s="201">
        <f t="shared" si="159"/>
        <v>0</v>
      </c>
      <c r="N360" s="201">
        <f t="shared" si="159"/>
        <v>0</v>
      </c>
      <c r="O360" s="201">
        <f t="shared" si="159"/>
        <v>0</v>
      </c>
      <c r="P360" s="201">
        <f t="shared" si="159"/>
        <v>0</v>
      </c>
      <c r="Q360" s="201">
        <f t="shared" si="159"/>
        <v>0</v>
      </c>
      <c r="R360" s="201">
        <f t="shared" si="160"/>
        <v>0</v>
      </c>
      <c r="S360" s="201">
        <f t="shared" si="160"/>
        <v>0</v>
      </c>
      <c r="T360" s="201">
        <f t="shared" si="160"/>
        <v>0</v>
      </c>
      <c r="U360" s="201">
        <f t="shared" si="160"/>
        <v>0</v>
      </c>
      <c r="V360" s="201">
        <f t="shared" si="160"/>
        <v>0</v>
      </c>
      <c r="W360" s="201">
        <f t="shared" si="160"/>
        <v>0</v>
      </c>
      <c r="X360" s="201">
        <f t="shared" si="160"/>
        <v>0</v>
      </c>
      <c r="Y360" s="201">
        <f t="shared" si="160"/>
        <v>0</v>
      </c>
      <c r="Z360" s="201">
        <f t="shared" si="160"/>
        <v>0</v>
      </c>
      <c r="AA360" s="201">
        <f t="shared" si="160"/>
        <v>0</v>
      </c>
      <c r="AB360" s="201">
        <f t="shared" si="160"/>
        <v>0</v>
      </c>
      <c r="AC360" s="201">
        <f t="shared" si="160"/>
        <v>0</v>
      </c>
      <c r="AD360" s="201">
        <f t="shared" si="160"/>
        <v>0</v>
      </c>
      <c r="AE360" s="201">
        <f t="shared" si="160"/>
        <v>0</v>
      </c>
      <c r="AF360" s="201">
        <f>SUM(H360:AE360)</f>
        <v>0</v>
      </c>
      <c r="AG360" s="333" t="str">
        <f>IF(ABS(AF360-F360)&lt;1,"ok","err")</f>
        <v>ok</v>
      </c>
    </row>
    <row r="361" spans="1:33">
      <c r="A361" s="318"/>
      <c r="B361" s="318"/>
      <c r="F361" s="203"/>
      <c r="W361" s="165"/>
      <c r="AG361" s="333"/>
    </row>
    <row r="362" spans="1:33">
      <c r="A362" s="318"/>
      <c r="B362" s="318" t="s">
        <v>342</v>
      </c>
      <c r="C362" s="165" t="s">
        <v>686</v>
      </c>
      <c r="F362" s="203">
        <f>SUM(F356:F361)</f>
        <v>194067.20000000001</v>
      </c>
      <c r="H362" s="347">
        <f t="shared" ref="H362:M362" si="161">SUM(H356:H361)</f>
        <v>22295.416005522027</v>
      </c>
      <c r="I362" s="347">
        <f t="shared" si="161"/>
        <v>21017.392565137598</v>
      </c>
      <c r="J362" s="347">
        <f t="shared" si="161"/>
        <v>21585.007255840515</v>
      </c>
      <c r="K362" s="347">
        <f t="shared" si="161"/>
        <v>129169.38417349986</v>
      </c>
      <c r="L362" s="347">
        <f t="shared" si="161"/>
        <v>0</v>
      </c>
      <c r="M362" s="347">
        <f t="shared" si="161"/>
        <v>0</v>
      </c>
      <c r="N362" s="347">
        <f>SUM(N356:N361)</f>
        <v>0</v>
      </c>
      <c r="O362" s="347">
        <f>SUM(O356:O361)</f>
        <v>0</v>
      </c>
      <c r="P362" s="347">
        <f>SUM(P356:P361)</f>
        <v>0</v>
      </c>
      <c r="Q362" s="347">
        <f t="shared" ref="Q362:AB362" si="162">SUM(Q356:Q361)</f>
        <v>0</v>
      </c>
      <c r="R362" s="347">
        <f t="shared" si="162"/>
        <v>0</v>
      </c>
      <c r="S362" s="347">
        <f t="shared" si="162"/>
        <v>0</v>
      </c>
      <c r="T362" s="347">
        <f t="shared" si="162"/>
        <v>0</v>
      </c>
      <c r="U362" s="347">
        <f t="shared" si="162"/>
        <v>0</v>
      </c>
      <c r="V362" s="347">
        <f t="shared" si="162"/>
        <v>0</v>
      </c>
      <c r="W362" s="347">
        <f t="shared" si="162"/>
        <v>0</v>
      </c>
      <c r="X362" s="347">
        <f t="shared" si="162"/>
        <v>0</v>
      </c>
      <c r="Y362" s="347">
        <f t="shared" si="162"/>
        <v>0</v>
      </c>
      <c r="Z362" s="347">
        <f t="shared" si="162"/>
        <v>0</v>
      </c>
      <c r="AA362" s="347">
        <f t="shared" si="162"/>
        <v>0</v>
      </c>
      <c r="AB362" s="347">
        <f t="shared" si="162"/>
        <v>0</v>
      </c>
      <c r="AC362" s="347">
        <f>SUM(AC356:AC361)</f>
        <v>0</v>
      </c>
      <c r="AD362" s="347">
        <f>SUM(AD356:AD361)</f>
        <v>0</v>
      </c>
      <c r="AE362" s="347">
        <f>SUM(AE356:AE361)</f>
        <v>0</v>
      </c>
      <c r="AF362" s="201">
        <f>SUM(H362:AE362)</f>
        <v>194067.20000000001</v>
      </c>
      <c r="AG362" s="333" t="str">
        <f>IF(ABS(AF362-F362)&lt;1,"ok","err")</f>
        <v>ok</v>
      </c>
    </row>
    <row r="363" spans="1:33">
      <c r="A363" s="318"/>
      <c r="B363" s="318"/>
      <c r="F363" s="203"/>
      <c r="H363" s="347"/>
      <c r="I363" s="347"/>
      <c r="J363" s="347"/>
      <c r="K363" s="347"/>
      <c r="L363" s="347"/>
      <c r="M363" s="347"/>
      <c r="N363" s="347"/>
      <c r="O363" s="347"/>
      <c r="P363" s="347"/>
      <c r="Q363" s="347"/>
      <c r="R363" s="347"/>
      <c r="S363" s="347"/>
      <c r="T363" s="347"/>
      <c r="U363" s="347"/>
      <c r="V363" s="347"/>
      <c r="W363" s="347"/>
      <c r="X363" s="347"/>
      <c r="Y363" s="347"/>
      <c r="Z363" s="347"/>
      <c r="AA363" s="347"/>
      <c r="AB363" s="347"/>
      <c r="AC363" s="347"/>
      <c r="AD363" s="347"/>
      <c r="AE363" s="347"/>
      <c r="AF363" s="201"/>
      <c r="AG363" s="333"/>
    </row>
    <row r="364" spans="1:33">
      <c r="A364" s="318"/>
      <c r="B364" s="318" t="s">
        <v>341</v>
      </c>
      <c r="F364" s="203">
        <f>F353+F362</f>
        <v>493984.51000000007</v>
      </c>
      <c r="H364" s="347">
        <f t="shared" ref="H364:M364" si="163">H353+H362</f>
        <v>125330.95130895604</v>
      </c>
      <c r="I364" s="347">
        <f t="shared" si="163"/>
        <v>118146.69901517266</v>
      </c>
      <c r="J364" s="347">
        <f t="shared" si="163"/>
        <v>121337.47550237144</v>
      </c>
      <c r="K364" s="347">
        <f t="shared" si="163"/>
        <v>129169.38417349986</v>
      </c>
      <c r="L364" s="347">
        <f t="shared" si="163"/>
        <v>0</v>
      </c>
      <c r="M364" s="347">
        <f t="shared" si="163"/>
        <v>0</v>
      </c>
      <c r="N364" s="347">
        <f>N353+N362</f>
        <v>0</v>
      </c>
      <c r="O364" s="347">
        <f>O353+O362</f>
        <v>0</v>
      </c>
      <c r="P364" s="347">
        <f>P353+P362</f>
        <v>0</v>
      </c>
      <c r="Q364" s="347">
        <f t="shared" ref="Q364:AB364" si="164">Q353+Q362</f>
        <v>0</v>
      </c>
      <c r="R364" s="347">
        <f t="shared" si="164"/>
        <v>0</v>
      </c>
      <c r="S364" s="347">
        <f t="shared" si="164"/>
        <v>0</v>
      </c>
      <c r="T364" s="347">
        <f t="shared" si="164"/>
        <v>0</v>
      </c>
      <c r="U364" s="347">
        <f t="shared" si="164"/>
        <v>0</v>
      </c>
      <c r="V364" s="347">
        <f t="shared" si="164"/>
        <v>0</v>
      </c>
      <c r="W364" s="347">
        <f t="shared" si="164"/>
        <v>0</v>
      </c>
      <c r="X364" s="347">
        <f t="shared" si="164"/>
        <v>0</v>
      </c>
      <c r="Y364" s="347">
        <f t="shared" si="164"/>
        <v>0</v>
      </c>
      <c r="Z364" s="347">
        <f t="shared" si="164"/>
        <v>0</v>
      </c>
      <c r="AA364" s="347">
        <f t="shared" si="164"/>
        <v>0</v>
      </c>
      <c r="AB364" s="347">
        <f t="shared" si="164"/>
        <v>0</v>
      </c>
      <c r="AC364" s="347">
        <f>AC353+AC362</f>
        <v>0</v>
      </c>
      <c r="AD364" s="347">
        <f>AD353+AD362</f>
        <v>0</v>
      </c>
      <c r="AE364" s="347">
        <f>AE353+AE362</f>
        <v>0</v>
      </c>
      <c r="AF364" s="201">
        <f>SUM(H364:AE364)</f>
        <v>493984.51</v>
      </c>
      <c r="AG364" s="333" t="str">
        <f>IF(ABS(AF364-F364)&lt;1,"ok","err")</f>
        <v>ok</v>
      </c>
    </row>
    <row r="365" spans="1:33">
      <c r="A365" s="318"/>
      <c r="B365" s="318"/>
      <c r="F365" s="203"/>
      <c r="W365" s="165"/>
      <c r="AF365" s="201"/>
      <c r="AG365" s="333"/>
    </row>
    <row r="366" spans="1:33">
      <c r="A366" s="337" t="s">
        <v>45</v>
      </c>
      <c r="B366" s="318"/>
      <c r="F366" s="203"/>
      <c r="W366" s="165"/>
      <c r="AF366" s="201"/>
      <c r="AG366" s="333"/>
    </row>
    <row r="367" spans="1:33">
      <c r="A367" s="318"/>
      <c r="B367" s="318"/>
      <c r="F367" s="203"/>
      <c r="W367" s="165"/>
      <c r="AF367" s="201"/>
      <c r="AG367" s="333"/>
    </row>
    <row r="368" spans="1:33">
      <c r="A368" s="87" t="s">
        <v>250</v>
      </c>
      <c r="B368" s="318"/>
      <c r="F368" s="203"/>
      <c r="W368" s="165"/>
      <c r="AF368" s="201"/>
      <c r="AG368" s="333"/>
    </row>
    <row r="369" spans="1:33">
      <c r="A369" s="318">
        <v>546</v>
      </c>
      <c r="B369" s="318" t="s">
        <v>225</v>
      </c>
      <c r="C369" s="165" t="s">
        <v>309</v>
      </c>
      <c r="D369" s="165" t="s">
        <v>679</v>
      </c>
      <c r="F369" s="203">
        <v>37064.620000000003</v>
      </c>
      <c r="H369" s="201">
        <f t="shared" ref="H369:Q373" si="165">IF(VLOOKUP($D369,$C$6:$AE$598,H$2,)=0,0,((VLOOKUP($D369,$C$6:$AE$598,H$2,)/VLOOKUP($D369,$C$6:$AE$598,4,))*$F369))</f>
        <v>12733.419629958556</v>
      </c>
      <c r="I369" s="201">
        <f t="shared" si="165"/>
        <v>12003.511349291906</v>
      </c>
      <c r="J369" s="201">
        <f t="shared" si="165"/>
        <v>12327.68902074954</v>
      </c>
      <c r="K369" s="201">
        <f t="shared" si="165"/>
        <v>0</v>
      </c>
      <c r="L369" s="201">
        <f t="shared" si="165"/>
        <v>0</v>
      </c>
      <c r="M369" s="201">
        <f t="shared" si="165"/>
        <v>0</v>
      </c>
      <c r="N369" s="201">
        <f t="shared" si="165"/>
        <v>0</v>
      </c>
      <c r="O369" s="201">
        <f t="shared" si="165"/>
        <v>0</v>
      </c>
      <c r="P369" s="201">
        <f t="shared" si="165"/>
        <v>0</v>
      </c>
      <c r="Q369" s="201">
        <f t="shared" si="165"/>
        <v>0</v>
      </c>
      <c r="R369" s="201">
        <f t="shared" ref="R369:AE373" si="166">IF(VLOOKUP($D369,$C$6:$AE$598,R$2,)=0,0,((VLOOKUP($D369,$C$6:$AE$598,R$2,)/VLOOKUP($D369,$C$6:$AE$598,4,))*$F369))</f>
        <v>0</v>
      </c>
      <c r="S369" s="201">
        <f t="shared" si="166"/>
        <v>0</v>
      </c>
      <c r="T369" s="201">
        <f t="shared" si="166"/>
        <v>0</v>
      </c>
      <c r="U369" s="201">
        <f t="shared" si="166"/>
        <v>0</v>
      </c>
      <c r="V369" s="201">
        <f t="shared" si="166"/>
        <v>0</v>
      </c>
      <c r="W369" s="201">
        <f t="shared" si="166"/>
        <v>0</v>
      </c>
      <c r="X369" s="201">
        <f t="shared" si="166"/>
        <v>0</v>
      </c>
      <c r="Y369" s="201">
        <f t="shared" si="166"/>
        <v>0</v>
      </c>
      <c r="Z369" s="201">
        <f t="shared" si="166"/>
        <v>0</v>
      </c>
      <c r="AA369" s="201">
        <f t="shared" si="166"/>
        <v>0</v>
      </c>
      <c r="AB369" s="201">
        <f t="shared" si="166"/>
        <v>0</v>
      </c>
      <c r="AC369" s="201">
        <f t="shared" si="166"/>
        <v>0</v>
      </c>
      <c r="AD369" s="201">
        <f t="shared" si="166"/>
        <v>0</v>
      </c>
      <c r="AE369" s="201">
        <f t="shared" si="166"/>
        <v>0</v>
      </c>
      <c r="AF369" s="201">
        <f t="shared" ref="AF369:AF375" si="167">SUM(H369:AE369)</f>
        <v>37064.620000000003</v>
      </c>
      <c r="AG369" s="333" t="str">
        <f>IF(ABS(AF369-F369)&lt;1,"ok","err")</f>
        <v>ok</v>
      </c>
    </row>
    <row r="370" spans="1:33">
      <c r="A370" s="318">
        <v>547</v>
      </c>
      <c r="B370" s="318" t="s">
        <v>227</v>
      </c>
      <c r="C370" s="165" t="s">
        <v>310</v>
      </c>
      <c r="D370" s="165" t="s">
        <v>1034</v>
      </c>
      <c r="F370" s="340">
        <v>0</v>
      </c>
      <c r="H370" s="201">
        <f t="shared" si="165"/>
        <v>0</v>
      </c>
      <c r="I370" s="201">
        <f t="shared" si="165"/>
        <v>0</v>
      </c>
      <c r="J370" s="201">
        <f t="shared" si="165"/>
        <v>0</v>
      </c>
      <c r="K370" s="201">
        <f t="shared" si="165"/>
        <v>0</v>
      </c>
      <c r="L370" s="201">
        <f t="shared" si="165"/>
        <v>0</v>
      </c>
      <c r="M370" s="201">
        <f t="shared" si="165"/>
        <v>0</v>
      </c>
      <c r="N370" s="201">
        <f t="shared" si="165"/>
        <v>0</v>
      </c>
      <c r="O370" s="201">
        <f t="shared" si="165"/>
        <v>0</v>
      </c>
      <c r="P370" s="201">
        <f t="shared" si="165"/>
        <v>0</v>
      </c>
      <c r="Q370" s="201">
        <f t="shared" si="165"/>
        <v>0</v>
      </c>
      <c r="R370" s="201">
        <f t="shared" si="166"/>
        <v>0</v>
      </c>
      <c r="S370" s="201">
        <f t="shared" si="166"/>
        <v>0</v>
      </c>
      <c r="T370" s="201">
        <f t="shared" si="166"/>
        <v>0</v>
      </c>
      <c r="U370" s="201">
        <f t="shared" si="166"/>
        <v>0</v>
      </c>
      <c r="V370" s="201">
        <f t="shared" si="166"/>
        <v>0</v>
      </c>
      <c r="W370" s="201">
        <f t="shared" si="166"/>
        <v>0</v>
      </c>
      <c r="X370" s="201">
        <f t="shared" si="166"/>
        <v>0</v>
      </c>
      <c r="Y370" s="201">
        <f t="shared" si="166"/>
        <v>0</v>
      </c>
      <c r="Z370" s="201">
        <f t="shared" si="166"/>
        <v>0</v>
      </c>
      <c r="AA370" s="201">
        <f t="shared" si="166"/>
        <v>0</v>
      </c>
      <c r="AB370" s="201">
        <f t="shared" si="166"/>
        <v>0</v>
      </c>
      <c r="AC370" s="201">
        <f t="shared" si="166"/>
        <v>0</v>
      </c>
      <c r="AD370" s="201">
        <f t="shared" si="166"/>
        <v>0</v>
      </c>
      <c r="AE370" s="201">
        <f t="shared" si="166"/>
        <v>0</v>
      </c>
      <c r="AF370" s="201">
        <f t="shared" si="167"/>
        <v>0</v>
      </c>
      <c r="AG370" s="333" t="str">
        <f>IF(ABS(AF370-F370)&lt;1,"ok","err")</f>
        <v>ok</v>
      </c>
    </row>
    <row r="371" spans="1:33">
      <c r="A371" s="318">
        <v>548</v>
      </c>
      <c r="B371" s="318" t="s">
        <v>253</v>
      </c>
      <c r="C371" s="165" t="s">
        <v>311</v>
      </c>
      <c r="D371" s="165" t="s">
        <v>679</v>
      </c>
      <c r="F371" s="340">
        <v>96565.89</v>
      </c>
      <c r="H371" s="201">
        <f t="shared" si="165"/>
        <v>33174.871327708701</v>
      </c>
      <c r="I371" s="201">
        <f t="shared" si="165"/>
        <v>31273.213014715213</v>
      </c>
      <c r="J371" s="201">
        <f t="shared" si="165"/>
        <v>32117.805657576086</v>
      </c>
      <c r="K371" s="201">
        <f t="shared" si="165"/>
        <v>0</v>
      </c>
      <c r="L371" s="201">
        <f t="shared" si="165"/>
        <v>0</v>
      </c>
      <c r="M371" s="201">
        <f t="shared" si="165"/>
        <v>0</v>
      </c>
      <c r="N371" s="201">
        <f t="shared" si="165"/>
        <v>0</v>
      </c>
      <c r="O371" s="201">
        <f t="shared" si="165"/>
        <v>0</v>
      </c>
      <c r="P371" s="201">
        <f t="shared" si="165"/>
        <v>0</v>
      </c>
      <c r="Q371" s="201">
        <f t="shared" si="165"/>
        <v>0</v>
      </c>
      <c r="R371" s="201">
        <f t="shared" si="166"/>
        <v>0</v>
      </c>
      <c r="S371" s="201">
        <f t="shared" si="166"/>
        <v>0</v>
      </c>
      <c r="T371" s="201">
        <f t="shared" si="166"/>
        <v>0</v>
      </c>
      <c r="U371" s="201">
        <f t="shared" si="166"/>
        <v>0</v>
      </c>
      <c r="V371" s="201">
        <f t="shared" si="166"/>
        <v>0</v>
      </c>
      <c r="W371" s="201">
        <f t="shared" si="166"/>
        <v>0</v>
      </c>
      <c r="X371" s="201">
        <f t="shared" si="166"/>
        <v>0</v>
      </c>
      <c r="Y371" s="201">
        <f t="shared" si="166"/>
        <v>0</v>
      </c>
      <c r="Z371" s="201">
        <f t="shared" si="166"/>
        <v>0</v>
      </c>
      <c r="AA371" s="201">
        <f t="shared" si="166"/>
        <v>0</v>
      </c>
      <c r="AB371" s="201">
        <f t="shared" si="166"/>
        <v>0</v>
      </c>
      <c r="AC371" s="201">
        <f t="shared" si="166"/>
        <v>0</v>
      </c>
      <c r="AD371" s="201">
        <f t="shared" si="166"/>
        <v>0</v>
      </c>
      <c r="AE371" s="201">
        <f t="shared" si="166"/>
        <v>0</v>
      </c>
      <c r="AF371" s="201">
        <f t="shared" si="167"/>
        <v>96565.89</v>
      </c>
      <c r="AG371" s="333" t="str">
        <f>IF(ABS(AF371-F371)&lt;1,"ok","err")</f>
        <v>ok</v>
      </c>
    </row>
    <row r="372" spans="1:33">
      <c r="A372" s="318">
        <v>549</v>
      </c>
      <c r="B372" s="318" t="s">
        <v>255</v>
      </c>
      <c r="C372" s="165" t="s">
        <v>312</v>
      </c>
      <c r="D372" s="165" t="s">
        <v>679</v>
      </c>
      <c r="F372" s="340">
        <v>1648.6000000000001</v>
      </c>
      <c r="H372" s="201">
        <f t="shared" si="165"/>
        <v>566.37072232089997</v>
      </c>
      <c r="I372" s="201">
        <f t="shared" si="165"/>
        <v>533.90507741459749</v>
      </c>
      <c r="J372" s="201">
        <f t="shared" si="165"/>
        <v>548.32420026450268</v>
      </c>
      <c r="K372" s="201">
        <f t="shared" si="165"/>
        <v>0</v>
      </c>
      <c r="L372" s="201">
        <f t="shared" si="165"/>
        <v>0</v>
      </c>
      <c r="M372" s="201">
        <f t="shared" si="165"/>
        <v>0</v>
      </c>
      <c r="N372" s="201">
        <f t="shared" si="165"/>
        <v>0</v>
      </c>
      <c r="O372" s="201">
        <f t="shared" si="165"/>
        <v>0</v>
      </c>
      <c r="P372" s="201">
        <f t="shared" si="165"/>
        <v>0</v>
      </c>
      <c r="Q372" s="201">
        <f t="shared" si="165"/>
        <v>0</v>
      </c>
      <c r="R372" s="201">
        <f t="shared" si="166"/>
        <v>0</v>
      </c>
      <c r="S372" s="201">
        <f t="shared" si="166"/>
        <v>0</v>
      </c>
      <c r="T372" s="201">
        <f t="shared" si="166"/>
        <v>0</v>
      </c>
      <c r="U372" s="201">
        <f t="shared" si="166"/>
        <v>0</v>
      </c>
      <c r="V372" s="201">
        <f t="shared" si="166"/>
        <v>0</v>
      </c>
      <c r="W372" s="201">
        <f t="shared" si="166"/>
        <v>0</v>
      </c>
      <c r="X372" s="201">
        <f t="shared" si="166"/>
        <v>0</v>
      </c>
      <c r="Y372" s="201">
        <f t="shared" si="166"/>
        <v>0</v>
      </c>
      <c r="Z372" s="201">
        <f t="shared" si="166"/>
        <v>0</v>
      </c>
      <c r="AA372" s="201">
        <f t="shared" si="166"/>
        <v>0</v>
      </c>
      <c r="AB372" s="201">
        <f t="shared" si="166"/>
        <v>0</v>
      </c>
      <c r="AC372" s="201">
        <f t="shared" si="166"/>
        <v>0</v>
      </c>
      <c r="AD372" s="201">
        <f t="shared" si="166"/>
        <v>0</v>
      </c>
      <c r="AE372" s="201">
        <f t="shared" si="166"/>
        <v>0</v>
      </c>
      <c r="AF372" s="201">
        <f t="shared" si="167"/>
        <v>1648.6000000000001</v>
      </c>
      <c r="AG372" s="333" t="str">
        <f>IF(ABS(AF372-F372)&lt;1,"ok","err")</f>
        <v>ok</v>
      </c>
    </row>
    <row r="373" spans="1:33">
      <c r="A373" s="318">
        <v>550</v>
      </c>
      <c r="B373" s="318" t="s">
        <v>1108</v>
      </c>
      <c r="C373" s="165" t="s">
        <v>313</v>
      </c>
      <c r="D373" s="165" t="s">
        <v>679</v>
      </c>
      <c r="F373" s="340">
        <v>0</v>
      </c>
      <c r="H373" s="201">
        <f t="shared" si="165"/>
        <v>0</v>
      </c>
      <c r="I373" s="201">
        <f t="shared" si="165"/>
        <v>0</v>
      </c>
      <c r="J373" s="201">
        <f t="shared" si="165"/>
        <v>0</v>
      </c>
      <c r="K373" s="201">
        <f t="shared" si="165"/>
        <v>0</v>
      </c>
      <c r="L373" s="201">
        <f t="shared" si="165"/>
        <v>0</v>
      </c>
      <c r="M373" s="201">
        <f t="shared" si="165"/>
        <v>0</v>
      </c>
      <c r="N373" s="201">
        <f t="shared" si="165"/>
        <v>0</v>
      </c>
      <c r="O373" s="201">
        <f t="shared" si="165"/>
        <v>0</v>
      </c>
      <c r="P373" s="201">
        <f t="shared" si="165"/>
        <v>0</v>
      </c>
      <c r="Q373" s="201">
        <f t="shared" si="165"/>
        <v>0</v>
      </c>
      <c r="R373" s="201">
        <f t="shared" si="166"/>
        <v>0</v>
      </c>
      <c r="S373" s="201">
        <f t="shared" si="166"/>
        <v>0</v>
      </c>
      <c r="T373" s="201">
        <f t="shared" si="166"/>
        <v>0</v>
      </c>
      <c r="U373" s="201">
        <f t="shared" si="166"/>
        <v>0</v>
      </c>
      <c r="V373" s="201">
        <f t="shared" si="166"/>
        <v>0</v>
      </c>
      <c r="W373" s="201">
        <f t="shared" si="166"/>
        <v>0</v>
      </c>
      <c r="X373" s="201">
        <f t="shared" si="166"/>
        <v>0</v>
      </c>
      <c r="Y373" s="201">
        <f t="shared" si="166"/>
        <v>0</v>
      </c>
      <c r="Z373" s="201">
        <f t="shared" si="166"/>
        <v>0</v>
      </c>
      <c r="AA373" s="201">
        <f t="shared" si="166"/>
        <v>0</v>
      </c>
      <c r="AB373" s="201">
        <f t="shared" si="166"/>
        <v>0</v>
      </c>
      <c r="AC373" s="201">
        <f t="shared" si="166"/>
        <v>0</v>
      </c>
      <c r="AD373" s="201">
        <f t="shared" si="166"/>
        <v>0</v>
      </c>
      <c r="AE373" s="201">
        <f t="shared" si="166"/>
        <v>0</v>
      </c>
      <c r="AF373" s="201">
        <f t="shared" si="167"/>
        <v>0</v>
      </c>
      <c r="AG373" s="333" t="str">
        <f>IF(ABS(AF373-F373)&lt;1,"ok","err")</f>
        <v>ok</v>
      </c>
    </row>
    <row r="374" spans="1:33">
      <c r="A374" s="318"/>
      <c r="B374" s="318"/>
      <c r="F374" s="340"/>
      <c r="W374" s="165"/>
      <c r="AF374" s="201"/>
      <c r="AG374" s="333"/>
    </row>
    <row r="375" spans="1:33">
      <c r="A375" s="318"/>
      <c r="B375" s="318" t="s">
        <v>258</v>
      </c>
      <c r="C375" s="165" t="s">
        <v>687</v>
      </c>
      <c r="F375" s="203">
        <f>SUM(F369:F374)</f>
        <v>135279.11000000002</v>
      </c>
      <c r="H375" s="347">
        <f t="shared" ref="H375:M375" si="168">SUM(H369:H374)</f>
        <v>46474.661679988152</v>
      </c>
      <c r="I375" s="347">
        <f t="shared" si="168"/>
        <v>43810.629441421712</v>
      </c>
      <c r="J375" s="347">
        <f t="shared" si="168"/>
        <v>44993.818878590129</v>
      </c>
      <c r="K375" s="347">
        <f t="shared" si="168"/>
        <v>0</v>
      </c>
      <c r="L375" s="347">
        <f t="shared" si="168"/>
        <v>0</v>
      </c>
      <c r="M375" s="347">
        <f t="shared" si="168"/>
        <v>0</v>
      </c>
      <c r="N375" s="347">
        <f>SUM(N369:N374)</f>
        <v>0</v>
      </c>
      <c r="O375" s="347">
        <f>SUM(O369:O374)</f>
        <v>0</v>
      </c>
      <c r="P375" s="347">
        <f>SUM(P369:P374)</f>
        <v>0</v>
      </c>
      <c r="Q375" s="347">
        <f t="shared" ref="Q375:AB375" si="169">SUM(Q369:Q374)</f>
        <v>0</v>
      </c>
      <c r="R375" s="347">
        <f t="shared" si="169"/>
        <v>0</v>
      </c>
      <c r="S375" s="347">
        <f t="shared" si="169"/>
        <v>0</v>
      </c>
      <c r="T375" s="347">
        <f t="shared" si="169"/>
        <v>0</v>
      </c>
      <c r="U375" s="347">
        <f t="shared" si="169"/>
        <v>0</v>
      </c>
      <c r="V375" s="347">
        <f t="shared" si="169"/>
        <v>0</v>
      </c>
      <c r="W375" s="347">
        <f t="shared" si="169"/>
        <v>0</v>
      </c>
      <c r="X375" s="347">
        <f t="shared" si="169"/>
        <v>0</v>
      </c>
      <c r="Y375" s="347">
        <f t="shared" si="169"/>
        <v>0</v>
      </c>
      <c r="Z375" s="347">
        <f t="shared" si="169"/>
        <v>0</v>
      </c>
      <c r="AA375" s="347">
        <f t="shared" si="169"/>
        <v>0</v>
      </c>
      <c r="AB375" s="347">
        <f t="shared" si="169"/>
        <v>0</v>
      </c>
      <c r="AC375" s="347">
        <f>SUM(AC369:AC374)</f>
        <v>0</v>
      </c>
      <c r="AD375" s="347">
        <f>SUM(AD369:AD374)</f>
        <v>0</v>
      </c>
      <c r="AE375" s="347">
        <f>SUM(AE369:AE374)</f>
        <v>0</v>
      </c>
      <c r="AF375" s="201">
        <f t="shared" si="167"/>
        <v>135279.10999999999</v>
      </c>
      <c r="AG375" s="333" t="str">
        <f>IF(ABS(AF375-F375)&lt;1,"ok","err")</f>
        <v>ok</v>
      </c>
    </row>
    <row r="376" spans="1:33">
      <c r="A376" s="318"/>
      <c r="B376" s="318"/>
      <c r="F376" s="203"/>
      <c r="W376" s="165"/>
      <c r="AF376" s="201"/>
      <c r="AG376" s="333"/>
    </row>
    <row r="377" spans="1:33">
      <c r="A377" s="87" t="s">
        <v>259</v>
      </c>
      <c r="B377" s="318"/>
      <c r="F377" s="203"/>
      <c r="W377" s="165"/>
      <c r="AF377" s="201"/>
      <c r="AG377" s="333"/>
    </row>
    <row r="378" spans="1:33">
      <c r="A378" s="318">
        <v>551</v>
      </c>
      <c r="B378" s="318" t="s">
        <v>240</v>
      </c>
      <c r="C378" s="165" t="s">
        <v>314</v>
      </c>
      <c r="D378" s="165" t="s">
        <v>679</v>
      </c>
      <c r="F378" s="203">
        <v>21607.68</v>
      </c>
      <c r="H378" s="201">
        <f t="shared" ref="H378:Q381" si="170">IF(VLOOKUP($D378,$C$6:$AE$598,H$2,)=0,0,((VLOOKUP($D378,$C$6:$AE$598,H$2,)/VLOOKUP($D378,$C$6:$AE$598,4,))*$F378))</f>
        <v>7423.2423445825934</v>
      </c>
      <c r="I378" s="201">
        <f t="shared" si="170"/>
        <v>6997.7253810201682</v>
      </c>
      <c r="J378" s="201">
        <f t="shared" si="170"/>
        <v>7186.7122743972395</v>
      </c>
      <c r="K378" s="201">
        <f t="shared" si="170"/>
        <v>0</v>
      </c>
      <c r="L378" s="201">
        <f t="shared" si="170"/>
        <v>0</v>
      </c>
      <c r="M378" s="201">
        <f t="shared" si="170"/>
        <v>0</v>
      </c>
      <c r="N378" s="201">
        <f t="shared" si="170"/>
        <v>0</v>
      </c>
      <c r="O378" s="201">
        <f t="shared" si="170"/>
        <v>0</v>
      </c>
      <c r="P378" s="201">
        <f t="shared" si="170"/>
        <v>0</v>
      </c>
      <c r="Q378" s="201">
        <f t="shared" si="170"/>
        <v>0</v>
      </c>
      <c r="R378" s="201">
        <f t="shared" ref="R378:AE381" si="171">IF(VLOOKUP($D378,$C$6:$AE$598,R$2,)=0,0,((VLOOKUP($D378,$C$6:$AE$598,R$2,)/VLOOKUP($D378,$C$6:$AE$598,4,))*$F378))</f>
        <v>0</v>
      </c>
      <c r="S378" s="201">
        <f t="shared" si="171"/>
        <v>0</v>
      </c>
      <c r="T378" s="201">
        <f t="shared" si="171"/>
        <v>0</v>
      </c>
      <c r="U378" s="201">
        <f t="shared" si="171"/>
        <v>0</v>
      </c>
      <c r="V378" s="201">
        <f t="shared" si="171"/>
        <v>0</v>
      </c>
      <c r="W378" s="201">
        <f t="shared" si="171"/>
        <v>0</v>
      </c>
      <c r="X378" s="201">
        <f t="shared" si="171"/>
        <v>0</v>
      </c>
      <c r="Y378" s="201">
        <f t="shared" si="171"/>
        <v>0</v>
      </c>
      <c r="Z378" s="201">
        <f t="shared" si="171"/>
        <v>0</v>
      </c>
      <c r="AA378" s="201">
        <f t="shared" si="171"/>
        <v>0</v>
      </c>
      <c r="AB378" s="201">
        <f t="shared" si="171"/>
        <v>0</v>
      </c>
      <c r="AC378" s="201">
        <f t="shared" si="171"/>
        <v>0</v>
      </c>
      <c r="AD378" s="201">
        <f t="shared" si="171"/>
        <v>0</v>
      </c>
      <c r="AE378" s="201">
        <f t="shared" si="171"/>
        <v>0</v>
      </c>
      <c r="AF378" s="201">
        <f t="shared" ref="AF378:AF385" si="172">SUM(H378:AE378)</f>
        <v>21607.68</v>
      </c>
      <c r="AG378" s="333" t="str">
        <f>IF(ABS(AF378-F378)&lt;1,"ok","err")</f>
        <v>ok</v>
      </c>
    </row>
    <row r="379" spans="1:33">
      <c r="A379" s="318">
        <v>552</v>
      </c>
      <c r="B379" s="318" t="s">
        <v>239</v>
      </c>
      <c r="C379" s="165" t="s">
        <v>315</v>
      </c>
      <c r="D379" s="165" t="s">
        <v>679</v>
      </c>
      <c r="F379" s="340">
        <v>57956.160000000003</v>
      </c>
      <c r="H379" s="201">
        <f t="shared" si="170"/>
        <v>19910.634600355243</v>
      </c>
      <c r="I379" s="201">
        <f t="shared" si="170"/>
        <v>18769.312199110031</v>
      </c>
      <c r="J379" s="201">
        <f t="shared" si="170"/>
        <v>19276.21320053473</v>
      </c>
      <c r="K379" s="201">
        <f t="shared" si="170"/>
        <v>0</v>
      </c>
      <c r="L379" s="201">
        <f t="shared" si="170"/>
        <v>0</v>
      </c>
      <c r="M379" s="201">
        <f t="shared" si="170"/>
        <v>0</v>
      </c>
      <c r="N379" s="201">
        <f t="shared" si="170"/>
        <v>0</v>
      </c>
      <c r="O379" s="201">
        <f t="shared" si="170"/>
        <v>0</v>
      </c>
      <c r="P379" s="201">
        <f t="shared" si="170"/>
        <v>0</v>
      </c>
      <c r="Q379" s="201">
        <f t="shared" si="170"/>
        <v>0</v>
      </c>
      <c r="R379" s="201">
        <f t="shared" si="171"/>
        <v>0</v>
      </c>
      <c r="S379" s="201">
        <f t="shared" si="171"/>
        <v>0</v>
      </c>
      <c r="T379" s="201">
        <f t="shared" si="171"/>
        <v>0</v>
      </c>
      <c r="U379" s="201">
        <f t="shared" si="171"/>
        <v>0</v>
      </c>
      <c r="V379" s="201">
        <f t="shared" si="171"/>
        <v>0</v>
      </c>
      <c r="W379" s="201">
        <f t="shared" si="171"/>
        <v>0</v>
      </c>
      <c r="X379" s="201">
        <f t="shared" si="171"/>
        <v>0</v>
      </c>
      <c r="Y379" s="201">
        <f t="shared" si="171"/>
        <v>0</v>
      </c>
      <c r="Z379" s="201">
        <f t="shared" si="171"/>
        <v>0</v>
      </c>
      <c r="AA379" s="201">
        <f t="shared" si="171"/>
        <v>0</v>
      </c>
      <c r="AB379" s="201">
        <f t="shared" si="171"/>
        <v>0</v>
      </c>
      <c r="AC379" s="201">
        <f t="shared" si="171"/>
        <v>0</v>
      </c>
      <c r="AD379" s="201">
        <f t="shared" si="171"/>
        <v>0</v>
      </c>
      <c r="AE379" s="201">
        <f t="shared" si="171"/>
        <v>0</v>
      </c>
      <c r="AF379" s="201">
        <f t="shared" si="172"/>
        <v>57956.160000000003</v>
      </c>
      <c r="AG379" s="333" t="str">
        <f>IF(ABS(AF379-F379)&lt;1,"ok","err")</f>
        <v>ok</v>
      </c>
    </row>
    <row r="380" spans="1:33">
      <c r="A380" s="318">
        <v>553</v>
      </c>
      <c r="B380" s="318" t="s">
        <v>262</v>
      </c>
      <c r="C380" s="165" t="s">
        <v>316</v>
      </c>
      <c r="D380" s="165" t="s">
        <v>679</v>
      </c>
      <c r="F380" s="340">
        <v>264849.19</v>
      </c>
      <c r="H380" s="201">
        <f t="shared" si="170"/>
        <v>90988.006215216112</v>
      </c>
      <c r="I380" s="201">
        <f t="shared" si="170"/>
        <v>85772.368852446569</v>
      </c>
      <c r="J380" s="201">
        <f t="shared" si="170"/>
        <v>88088.814932337322</v>
      </c>
      <c r="K380" s="201">
        <f t="shared" si="170"/>
        <v>0</v>
      </c>
      <c r="L380" s="201">
        <f t="shared" si="170"/>
        <v>0</v>
      </c>
      <c r="M380" s="201">
        <f t="shared" si="170"/>
        <v>0</v>
      </c>
      <c r="N380" s="201">
        <f t="shared" si="170"/>
        <v>0</v>
      </c>
      <c r="O380" s="201">
        <f t="shared" si="170"/>
        <v>0</v>
      </c>
      <c r="P380" s="201">
        <f t="shared" si="170"/>
        <v>0</v>
      </c>
      <c r="Q380" s="201">
        <f t="shared" si="170"/>
        <v>0</v>
      </c>
      <c r="R380" s="201">
        <f t="shared" si="171"/>
        <v>0</v>
      </c>
      <c r="S380" s="201">
        <f t="shared" si="171"/>
        <v>0</v>
      </c>
      <c r="T380" s="201">
        <f t="shared" si="171"/>
        <v>0</v>
      </c>
      <c r="U380" s="201">
        <f t="shared" si="171"/>
        <v>0</v>
      </c>
      <c r="V380" s="201">
        <f t="shared" si="171"/>
        <v>0</v>
      </c>
      <c r="W380" s="201">
        <f t="shared" si="171"/>
        <v>0</v>
      </c>
      <c r="X380" s="201">
        <f t="shared" si="171"/>
        <v>0</v>
      </c>
      <c r="Y380" s="201">
        <f t="shared" si="171"/>
        <v>0</v>
      </c>
      <c r="Z380" s="201">
        <f t="shared" si="171"/>
        <v>0</v>
      </c>
      <c r="AA380" s="201">
        <f t="shared" si="171"/>
        <v>0</v>
      </c>
      <c r="AB380" s="201">
        <f t="shared" si="171"/>
        <v>0</v>
      </c>
      <c r="AC380" s="201">
        <f t="shared" si="171"/>
        <v>0</v>
      </c>
      <c r="AD380" s="201">
        <f t="shared" si="171"/>
        <v>0</v>
      </c>
      <c r="AE380" s="201">
        <f t="shared" si="171"/>
        <v>0</v>
      </c>
      <c r="AF380" s="201">
        <f t="shared" si="172"/>
        <v>264849.19</v>
      </c>
      <c r="AG380" s="333" t="str">
        <f>IF(ABS(AF380-F380)&lt;1,"ok","err")</f>
        <v>ok</v>
      </c>
    </row>
    <row r="381" spans="1:33">
      <c r="A381" s="318">
        <v>554</v>
      </c>
      <c r="B381" s="318" t="s">
        <v>264</v>
      </c>
      <c r="C381" s="165" t="s">
        <v>317</v>
      </c>
      <c r="D381" s="165" t="s">
        <v>679</v>
      </c>
      <c r="F381" s="340">
        <v>31947.87</v>
      </c>
      <c r="H381" s="201">
        <f t="shared" si="170"/>
        <v>10975.578192717585</v>
      </c>
      <c r="I381" s="201">
        <f t="shared" si="170"/>
        <v>10346.433340762766</v>
      </c>
      <c r="J381" s="201">
        <f t="shared" si="170"/>
        <v>10625.85846651965</v>
      </c>
      <c r="K381" s="201">
        <f t="shared" si="170"/>
        <v>0</v>
      </c>
      <c r="L381" s="201">
        <f t="shared" si="170"/>
        <v>0</v>
      </c>
      <c r="M381" s="201">
        <f t="shared" si="170"/>
        <v>0</v>
      </c>
      <c r="N381" s="201">
        <f t="shared" si="170"/>
        <v>0</v>
      </c>
      <c r="O381" s="201">
        <f t="shared" si="170"/>
        <v>0</v>
      </c>
      <c r="P381" s="201">
        <f t="shared" si="170"/>
        <v>0</v>
      </c>
      <c r="Q381" s="201">
        <f t="shared" si="170"/>
        <v>0</v>
      </c>
      <c r="R381" s="201">
        <f t="shared" si="171"/>
        <v>0</v>
      </c>
      <c r="S381" s="201">
        <f t="shared" si="171"/>
        <v>0</v>
      </c>
      <c r="T381" s="201">
        <f t="shared" si="171"/>
        <v>0</v>
      </c>
      <c r="U381" s="201">
        <f t="shared" si="171"/>
        <v>0</v>
      </c>
      <c r="V381" s="201">
        <f t="shared" si="171"/>
        <v>0</v>
      </c>
      <c r="W381" s="201">
        <f t="shared" si="171"/>
        <v>0</v>
      </c>
      <c r="X381" s="201">
        <f t="shared" si="171"/>
        <v>0</v>
      </c>
      <c r="Y381" s="201">
        <f t="shared" si="171"/>
        <v>0</v>
      </c>
      <c r="Z381" s="201">
        <f t="shared" si="171"/>
        <v>0</v>
      </c>
      <c r="AA381" s="201">
        <f t="shared" si="171"/>
        <v>0</v>
      </c>
      <c r="AB381" s="201">
        <f t="shared" si="171"/>
        <v>0</v>
      </c>
      <c r="AC381" s="201">
        <f t="shared" si="171"/>
        <v>0</v>
      </c>
      <c r="AD381" s="201">
        <f t="shared" si="171"/>
        <v>0</v>
      </c>
      <c r="AE381" s="201">
        <f t="shared" si="171"/>
        <v>0</v>
      </c>
      <c r="AF381" s="201">
        <f t="shared" si="172"/>
        <v>31947.87</v>
      </c>
      <c r="AG381" s="333" t="str">
        <f>IF(ABS(AF381-F381)&lt;1,"ok","err")</f>
        <v>ok</v>
      </c>
    </row>
    <row r="382" spans="1:33">
      <c r="A382" s="318"/>
      <c r="B382" s="318"/>
      <c r="F382" s="340"/>
      <c r="W382" s="165"/>
      <c r="AF382" s="201"/>
      <c r="AG382" s="333"/>
    </row>
    <row r="383" spans="1:33">
      <c r="A383" s="318"/>
      <c r="B383" s="318" t="s">
        <v>267</v>
      </c>
      <c r="C383" s="165" t="s">
        <v>688</v>
      </c>
      <c r="F383" s="203">
        <f>SUM(F378:F382)</f>
        <v>376360.9</v>
      </c>
      <c r="H383" s="347">
        <f t="shared" ref="H383:M383" si="173">SUM(H378:H382)</f>
        <v>129297.46135287154</v>
      </c>
      <c r="I383" s="347">
        <f t="shared" si="173"/>
        <v>121885.83977333954</v>
      </c>
      <c r="J383" s="347">
        <f t="shared" si="173"/>
        <v>125177.59887378894</v>
      </c>
      <c r="K383" s="347">
        <f t="shared" si="173"/>
        <v>0</v>
      </c>
      <c r="L383" s="347">
        <f t="shared" si="173"/>
        <v>0</v>
      </c>
      <c r="M383" s="347">
        <f t="shared" si="173"/>
        <v>0</v>
      </c>
      <c r="N383" s="347">
        <f>SUM(N378:N382)</f>
        <v>0</v>
      </c>
      <c r="O383" s="347">
        <f>SUM(O378:O382)</f>
        <v>0</v>
      </c>
      <c r="P383" s="347">
        <f>SUM(P378:P382)</f>
        <v>0</v>
      </c>
      <c r="Q383" s="347">
        <f t="shared" ref="Q383:AB383" si="174">SUM(Q378:Q382)</f>
        <v>0</v>
      </c>
      <c r="R383" s="347">
        <f t="shared" si="174"/>
        <v>0</v>
      </c>
      <c r="S383" s="347">
        <f t="shared" si="174"/>
        <v>0</v>
      </c>
      <c r="T383" s="347">
        <f t="shared" si="174"/>
        <v>0</v>
      </c>
      <c r="U383" s="347">
        <f t="shared" si="174"/>
        <v>0</v>
      </c>
      <c r="V383" s="347">
        <f t="shared" si="174"/>
        <v>0</v>
      </c>
      <c r="W383" s="347">
        <f t="shared" si="174"/>
        <v>0</v>
      </c>
      <c r="X383" s="347">
        <f t="shared" si="174"/>
        <v>0</v>
      </c>
      <c r="Y383" s="347">
        <f t="shared" si="174"/>
        <v>0</v>
      </c>
      <c r="Z383" s="347">
        <f t="shared" si="174"/>
        <v>0</v>
      </c>
      <c r="AA383" s="347">
        <f t="shared" si="174"/>
        <v>0</v>
      </c>
      <c r="AB383" s="347">
        <f t="shared" si="174"/>
        <v>0</v>
      </c>
      <c r="AC383" s="347">
        <f>SUM(AC378:AC382)</f>
        <v>0</v>
      </c>
      <c r="AD383" s="347">
        <f>SUM(AD378:AD382)</f>
        <v>0</v>
      </c>
      <c r="AE383" s="347">
        <f>SUM(AE378:AE382)</f>
        <v>0</v>
      </c>
      <c r="AF383" s="201">
        <f t="shared" si="172"/>
        <v>376360.9</v>
      </c>
      <c r="AG383" s="333" t="str">
        <f>IF(ABS(AF383-F383)&lt;1,"ok","err")</f>
        <v>ok</v>
      </c>
    </row>
    <row r="384" spans="1:33">
      <c r="A384" s="318"/>
      <c r="B384" s="318"/>
      <c r="F384" s="203"/>
      <c r="H384" s="347"/>
      <c r="I384" s="347"/>
      <c r="J384" s="347"/>
      <c r="K384" s="347"/>
      <c r="L384" s="347"/>
      <c r="M384" s="347"/>
      <c r="N384" s="347"/>
      <c r="O384" s="347"/>
      <c r="P384" s="347"/>
      <c r="Q384" s="347"/>
      <c r="R384" s="347"/>
      <c r="S384" s="347"/>
      <c r="T384" s="347"/>
      <c r="U384" s="347"/>
      <c r="V384" s="347"/>
      <c r="W384" s="347"/>
      <c r="X384" s="347"/>
      <c r="Y384" s="347"/>
      <c r="Z384" s="347"/>
      <c r="AA384" s="347"/>
      <c r="AB384" s="347"/>
      <c r="AC384" s="347"/>
      <c r="AD384" s="347"/>
      <c r="AE384" s="347"/>
      <c r="AF384" s="201"/>
      <c r="AG384" s="333"/>
    </row>
    <row r="385" spans="1:33">
      <c r="A385" s="318"/>
      <c r="B385" s="318" t="s">
        <v>266</v>
      </c>
      <c r="F385" s="203">
        <f>F375+F383</f>
        <v>511640.01</v>
      </c>
      <c r="H385" s="347">
        <f t="shared" ref="H385:M385" si="175">H375+H383</f>
        <v>175772.1230328597</v>
      </c>
      <c r="I385" s="347">
        <f t="shared" si="175"/>
        <v>165696.46921476125</v>
      </c>
      <c r="J385" s="347">
        <f t="shared" si="175"/>
        <v>170171.41775237909</v>
      </c>
      <c r="K385" s="347">
        <f t="shared" si="175"/>
        <v>0</v>
      </c>
      <c r="L385" s="347">
        <f t="shared" si="175"/>
        <v>0</v>
      </c>
      <c r="M385" s="347">
        <f t="shared" si="175"/>
        <v>0</v>
      </c>
      <c r="N385" s="347">
        <f>N375+N383</f>
        <v>0</v>
      </c>
      <c r="O385" s="347">
        <f>O375+O383</f>
        <v>0</v>
      </c>
      <c r="P385" s="347">
        <f>P375+P383</f>
        <v>0</v>
      </c>
      <c r="Q385" s="347">
        <f t="shared" ref="Q385:AB385" si="176">Q375+Q383</f>
        <v>0</v>
      </c>
      <c r="R385" s="347">
        <f t="shared" si="176"/>
        <v>0</v>
      </c>
      <c r="S385" s="347">
        <f t="shared" si="176"/>
        <v>0</v>
      </c>
      <c r="T385" s="347">
        <f t="shared" si="176"/>
        <v>0</v>
      </c>
      <c r="U385" s="347">
        <f t="shared" si="176"/>
        <v>0</v>
      </c>
      <c r="V385" s="347">
        <f t="shared" si="176"/>
        <v>0</v>
      </c>
      <c r="W385" s="347">
        <f t="shared" si="176"/>
        <v>0</v>
      </c>
      <c r="X385" s="347">
        <f t="shared" si="176"/>
        <v>0</v>
      </c>
      <c r="Y385" s="347">
        <f t="shared" si="176"/>
        <v>0</v>
      </c>
      <c r="Z385" s="347">
        <f t="shared" si="176"/>
        <v>0</v>
      </c>
      <c r="AA385" s="347">
        <f t="shared" si="176"/>
        <v>0</v>
      </c>
      <c r="AB385" s="347">
        <f t="shared" si="176"/>
        <v>0</v>
      </c>
      <c r="AC385" s="347">
        <f>AC375+AC383</f>
        <v>0</v>
      </c>
      <c r="AD385" s="347">
        <f>AD375+AD383</f>
        <v>0</v>
      </c>
      <c r="AE385" s="347">
        <f>AE375+AE383</f>
        <v>0</v>
      </c>
      <c r="AF385" s="201">
        <f t="shared" si="172"/>
        <v>511640.01</v>
      </c>
      <c r="AG385" s="333" t="str">
        <f>IF(ABS(AF385-F385)&lt;1,"ok","err")</f>
        <v>ok</v>
      </c>
    </row>
    <row r="386" spans="1:33">
      <c r="A386" s="318"/>
      <c r="B386" s="318"/>
      <c r="F386" s="203"/>
      <c r="W386" s="165"/>
      <c r="AF386" s="201"/>
      <c r="AG386" s="333"/>
    </row>
    <row r="387" spans="1:33">
      <c r="A387" s="318"/>
      <c r="B387" s="318" t="s">
        <v>358</v>
      </c>
      <c r="C387" s="165" t="s">
        <v>359</v>
      </c>
      <c r="F387" s="203">
        <f>F343+F364+F385</f>
        <v>32249540.930000003</v>
      </c>
      <c r="H387" s="347">
        <f t="shared" ref="H387:AE387" si="177">H343+H364+H385</f>
        <v>6467242.5563210305</v>
      </c>
      <c r="I387" s="347">
        <f t="shared" si="177"/>
        <v>6096525.6529188734</v>
      </c>
      <c r="J387" s="347">
        <f t="shared" si="177"/>
        <v>6261173.9322960209</v>
      </c>
      <c r="K387" s="347">
        <f t="shared" si="177"/>
        <v>13424598.788464077</v>
      </c>
      <c r="L387" s="347">
        <f t="shared" si="177"/>
        <v>0</v>
      </c>
      <c r="M387" s="347">
        <f t="shared" si="177"/>
        <v>0</v>
      </c>
      <c r="N387" s="347">
        <f t="shared" si="177"/>
        <v>0</v>
      </c>
      <c r="O387" s="347">
        <f t="shared" si="177"/>
        <v>0</v>
      </c>
      <c r="P387" s="347">
        <f t="shared" si="177"/>
        <v>0</v>
      </c>
      <c r="Q387" s="347">
        <f t="shared" si="177"/>
        <v>0</v>
      </c>
      <c r="R387" s="347">
        <f t="shared" si="177"/>
        <v>0</v>
      </c>
      <c r="S387" s="347">
        <f t="shared" si="177"/>
        <v>0</v>
      </c>
      <c r="T387" s="347">
        <f t="shared" si="177"/>
        <v>0</v>
      </c>
      <c r="U387" s="347">
        <f t="shared" si="177"/>
        <v>0</v>
      </c>
      <c r="V387" s="347">
        <f t="shared" si="177"/>
        <v>0</v>
      </c>
      <c r="W387" s="347">
        <f t="shared" si="177"/>
        <v>0</v>
      </c>
      <c r="X387" s="347">
        <f t="shared" si="177"/>
        <v>0</v>
      </c>
      <c r="Y387" s="347">
        <f t="shared" si="177"/>
        <v>0</v>
      </c>
      <c r="Z387" s="347">
        <f t="shared" si="177"/>
        <v>0</v>
      </c>
      <c r="AA387" s="347">
        <f t="shared" si="177"/>
        <v>0</v>
      </c>
      <c r="AB387" s="347">
        <f t="shared" si="177"/>
        <v>0</v>
      </c>
      <c r="AC387" s="347">
        <f t="shared" si="177"/>
        <v>0</v>
      </c>
      <c r="AD387" s="347">
        <f t="shared" si="177"/>
        <v>0</v>
      </c>
      <c r="AE387" s="347">
        <f t="shared" si="177"/>
        <v>0</v>
      </c>
      <c r="AF387" s="201">
        <f>SUM(H387:AE387)</f>
        <v>32249540.93</v>
      </c>
      <c r="AG387" s="333" t="str">
        <f>IF(ABS(AF387-F387)&lt;1,"ok","err")</f>
        <v>ok</v>
      </c>
    </row>
    <row r="388" spans="1:33">
      <c r="A388" s="337"/>
      <c r="B388" s="318"/>
      <c r="W388" s="165"/>
      <c r="AG388" s="333"/>
    </row>
    <row r="389" spans="1:33">
      <c r="A389" s="337"/>
      <c r="B389" s="318"/>
      <c r="F389" s="203"/>
      <c r="W389" s="165"/>
      <c r="AF389" s="201"/>
      <c r="AG389" s="333"/>
    </row>
    <row r="390" spans="1:33">
      <c r="A390" s="318"/>
      <c r="B390" s="318"/>
      <c r="F390" s="203"/>
      <c r="W390" s="165"/>
      <c r="AF390" s="201"/>
      <c r="AG390" s="333"/>
    </row>
    <row r="391" spans="1:33">
      <c r="A391" s="87" t="s">
        <v>1089</v>
      </c>
      <c r="B391" s="318"/>
      <c r="W391" s="165"/>
      <c r="AG391" s="333"/>
    </row>
    <row r="392" spans="1:33">
      <c r="A392" s="318">
        <v>555</v>
      </c>
      <c r="B392" s="318" t="s">
        <v>1256</v>
      </c>
      <c r="C392" s="165" t="s">
        <v>101</v>
      </c>
      <c r="D392" s="165" t="s">
        <v>1090</v>
      </c>
      <c r="F392" s="203">
        <v>0</v>
      </c>
      <c r="G392" s="347"/>
      <c r="H392" s="201">
        <f t="shared" ref="H392:Q394" si="178">IF(VLOOKUP($D392,$C$6:$AE$598,H$2,)=0,0,((VLOOKUP($D392,$C$6:$AE$598,H$2,)/VLOOKUP($D392,$C$6:$AE$598,4,))*$F392))</f>
        <v>0</v>
      </c>
      <c r="I392" s="201">
        <f t="shared" si="178"/>
        <v>0</v>
      </c>
      <c r="J392" s="201">
        <f t="shared" si="178"/>
        <v>0</v>
      </c>
      <c r="K392" s="201">
        <f t="shared" si="178"/>
        <v>0</v>
      </c>
      <c r="L392" s="201">
        <f t="shared" si="178"/>
        <v>0</v>
      </c>
      <c r="M392" s="201">
        <f t="shared" si="178"/>
        <v>0</v>
      </c>
      <c r="N392" s="201">
        <f t="shared" si="178"/>
        <v>0</v>
      </c>
      <c r="O392" s="201">
        <f t="shared" si="178"/>
        <v>0</v>
      </c>
      <c r="P392" s="201">
        <f t="shared" si="178"/>
        <v>0</v>
      </c>
      <c r="Q392" s="201">
        <f t="shared" si="178"/>
        <v>0</v>
      </c>
      <c r="R392" s="201">
        <f t="shared" ref="R392:AE394" si="179">IF(VLOOKUP($D392,$C$6:$AE$598,R$2,)=0,0,((VLOOKUP($D392,$C$6:$AE$598,R$2,)/VLOOKUP($D392,$C$6:$AE$598,4,))*$F392))</f>
        <v>0</v>
      </c>
      <c r="S392" s="201">
        <f t="shared" si="179"/>
        <v>0</v>
      </c>
      <c r="T392" s="201">
        <f t="shared" si="179"/>
        <v>0</v>
      </c>
      <c r="U392" s="201">
        <f t="shared" si="179"/>
        <v>0</v>
      </c>
      <c r="V392" s="201">
        <f t="shared" si="179"/>
        <v>0</v>
      </c>
      <c r="W392" s="201">
        <f t="shared" si="179"/>
        <v>0</v>
      </c>
      <c r="X392" s="201">
        <f t="shared" si="179"/>
        <v>0</v>
      </c>
      <c r="Y392" s="201">
        <f t="shared" si="179"/>
        <v>0</v>
      </c>
      <c r="Z392" s="201">
        <f t="shared" si="179"/>
        <v>0</v>
      </c>
      <c r="AA392" s="201">
        <f t="shared" si="179"/>
        <v>0</v>
      </c>
      <c r="AB392" s="201">
        <f t="shared" si="179"/>
        <v>0</v>
      </c>
      <c r="AC392" s="201">
        <f t="shared" si="179"/>
        <v>0</v>
      </c>
      <c r="AD392" s="201">
        <f t="shared" si="179"/>
        <v>0</v>
      </c>
      <c r="AE392" s="201">
        <f t="shared" si="179"/>
        <v>0</v>
      </c>
      <c r="AF392" s="201">
        <f>SUM(H392:AE392)</f>
        <v>0</v>
      </c>
      <c r="AG392" s="333" t="str">
        <f>IF(ABS(AF392-F392)&lt;1,"ok","err")</f>
        <v>ok</v>
      </c>
    </row>
    <row r="393" spans="1:33">
      <c r="A393" s="318">
        <v>556</v>
      </c>
      <c r="B393" s="318" t="s">
        <v>276</v>
      </c>
      <c r="C393" s="165" t="s">
        <v>629</v>
      </c>
      <c r="D393" s="165" t="s">
        <v>679</v>
      </c>
      <c r="F393" s="340">
        <v>1105816.32</v>
      </c>
      <c r="G393" s="347"/>
      <c r="H393" s="201">
        <f t="shared" si="178"/>
        <v>379899.30117229134</v>
      </c>
      <c r="I393" s="201">
        <f t="shared" si="178"/>
        <v>358122.61794002505</v>
      </c>
      <c r="J393" s="201">
        <f t="shared" si="178"/>
        <v>367794.40088768373</v>
      </c>
      <c r="K393" s="201">
        <f t="shared" si="178"/>
        <v>0</v>
      </c>
      <c r="L393" s="201">
        <f t="shared" si="178"/>
        <v>0</v>
      </c>
      <c r="M393" s="201">
        <f t="shared" si="178"/>
        <v>0</v>
      </c>
      <c r="N393" s="201">
        <f t="shared" si="178"/>
        <v>0</v>
      </c>
      <c r="O393" s="201">
        <f t="shared" si="178"/>
        <v>0</v>
      </c>
      <c r="P393" s="201">
        <f t="shared" si="178"/>
        <v>0</v>
      </c>
      <c r="Q393" s="201">
        <f t="shared" si="178"/>
        <v>0</v>
      </c>
      <c r="R393" s="201">
        <f t="shared" si="179"/>
        <v>0</v>
      </c>
      <c r="S393" s="201">
        <f t="shared" si="179"/>
        <v>0</v>
      </c>
      <c r="T393" s="201">
        <f t="shared" si="179"/>
        <v>0</v>
      </c>
      <c r="U393" s="201">
        <f t="shared" si="179"/>
        <v>0</v>
      </c>
      <c r="V393" s="201">
        <f t="shared" si="179"/>
        <v>0</v>
      </c>
      <c r="W393" s="201">
        <f t="shared" si="179"/>
        <v>0</v>
      </c>
      <c r="X393" s="201">
        <f t="shared" si="179"/>
        <v>0</v>
      </c>
      <c r="Y393" s="201">
        <f t="shared" si="179"/>
        <v>0</v>
      </c>
      <c r="Z393" s="201">
        <f t="shared" si="179"/>
        <v>0</v>
      </c>
      <c r="AA393" s="201">
        <f t="shared" si="179"/>
        <v>0</v>
      </c>
      <c r="AB393" s="201">
        <f t="shared" si="179"/>
        <v>0</v>
      </c>
      <c r="AC393" s="201">
        <f t="shared" si="179"/>
        <v>0</v>
      </c>
      <c r="AD393" s="201">
        <f t="shared" si="179"/>
        <v>0</v>
      </c>
      <c r="AE393" s="201">
        <f t="shared" si="179"/>
        <v>0</v>
      </c>
      <c r="AF393" s="201">
        <f>SUM(H393:AE393)</f>
        <v>1105816.32</v>
      </c>
      <c r="AG393" s="333" t="str">
        <f>IF(ABS(AF393-F393)&lt;1,"ok","err")</f>
        <v>ok</v>
      </c>
    </row>
    <row r="394" spans="1:33">
      <c r="A394" s="318">
        <v>557</v>
      </c>
      <c r="B394" s="318" t="s">
        <v>7</v>
      </c>
      <c r="C394" s="165" t="s">
        <v>47</v>
      </c>
      <c r="D394" s="165" t="s">
        <v>679</v>
      </c>
      <c r="F394" s="340">
        <v>0</v>
      </c>
      <c r="G394" s="347"/>
      <c r="H394" s="201">
        <f t="shared" si="178"/>
        <v>0</v>
      </c>
      <c r="I394" s="201">
        <f t="shared" si="178"/>
        <v>0</v>
      </c>
      <c r="J394" s="201">
        <f t="shared" si="178"/>
        <v>0</v>
      </c>
      <c r="K394" s="201">
        <f t="shared" si="178"/>
        <v>0</v>
      </c>
      <c r="L394" s="201">
        <f t="shared" si="178"/>
        <v>0</v>
      </c>
      <c r="M394" s="201">
        <f t="shared" si="178"/>
        <v>0</v>
      </c>
      <c r="N394" s="201">
        <f t="shared" si="178"/>
        <v>0</v>
      </c>
      <c r="O394" s="201">
        <f t="shared" si="178"/>
        <v>0</v>
      </c>
      <c r="P394" s="201">
        <f t="shared" si="178"/>
        <v>0</v>
      </c>
      <c r="Q394" s="201">
        <f t="shared" si="178"/>
        <v>0</v>
      </c>
      <c r="R394" s="201">
        <f t="shared" si="179"/>
        <v>0</v>
      </c>
      <c r="S394" s="201">
        <f t="shared" si="179"/>
        <v>0</v>
      </c>
      <c r="T394" s="201">
        <f t="shared" si="179"/>
        <v>0</v>
      </c>
      <c r="U394" s="201">
        <f t="shared" si="179"/>
        <v>0</v>
      </c>
      <c r="V394" s="201">
        <f t="shared" si="179"/>
        <v>0</v>
      </c>
      <c r="W394" s="201">
        <f t="shared" si="179"/>
        <v>0</v>
      </c>
      <c r="X394" s="201">
        <f t="shared" si="179"/>
        <v>0</v>
      </c>
      <c r="Y394" s="201">
        <f t="shared" si="179"/>
        <v>0</v>
      </c>
      <c r="Z394" s="201">
        <f t="shared" si="179"/>
        <v>0</v>
      </c>
      <c r="AA394" s="201">
        <f t="shared" si="179"/>
        <v>0</v>
      </c>
      <c r="AB394" s="201">
        <f t="shared" si="179"/>
        <v>0</v>
      </c>
      <c r="AC394" s="201">
        <f t="shared" si="179"/>
        <v>0</v>
      </c>
      <c r="AD394" s="201">
        <f t="shared" si="179"/>
        <v>0</v>
      </c>
      <c r="AE394" s="201">
        <f t="shared" si="179"/>
        <v>0</v>
      </c>
      <c r="AF394" s="201">
        <f>SUM(H394:AE394)</f>
        <v>0</v>
      </c>
      <c r="AG394" s="333" t="str">
        <f>IF(ABS(AF394-F394)&lt;1,"ok","err")</f>
        <v>ok</v>
      </c>
    </row>
    <row r="395" spans="1:33">
      <c r="A395" s="318"/>
      <c r="B395" s="318"/>
      <c r="F395" s="203"/>
      <c r="G395" s="347"/>
      <c r="H395" s="347"/>
      <c r="I395" s="347"/>
      <c r="J395" s="347"/>
      <c r="K395" s="347"/>
      <c r="L395" s="347"/>
      <c r="M395" s="347"/>
      <c r="N395" s="347"/>
      <c r="O395" s="347"/>
      <c r="P395" s="347"/>
      <c r="Q395" s="347"/>
      <c r="R395" s="347"/>
      <c r="S395" s="347"/>
      <c r="T395" s="347"/>
      <c r="U395" s="347"/>
      <c r="V395" s="347"/>
      <c r="W395" s="347"/>
      <c r="X395" s="347"/>
      <c r="Y395" s="347"/>
      <c r="Z395" s="347"/>
      <c r="AA395" s="347"/>
      <c r="AB395" s="347"/>
      <c r="AC395" s="347"/>
      <c r="AD395" s="347"/>
      <c r="AE395" s="347"/>
      <c r="AF395" s="201"/>
      <c r="AG395" s="333"/>
    </row>
    <row r="396" spans="1:33">
      <c r="A396" s="318"/>
      <c r="B396" s="318" t="s">
        <v>103</v>
      </c>
      <c r="C396" s="165" t="s">
        <v>46</v>
      </c>
      <c r="F396" s="203">
        <f>SUM(F392:F394)</f>
        <v>1105816.32</v>
      </c>
      <c r="G396" s="347"/>
      <c r="H396" s="347">
        <f t="shared" ref="H396:M396" si="180">SUM(H392:H394)</f>
        <v>379899.30117229134</v>
      </c>
      <c r="I396" s="347">
        <f t="shared" si="180"/>
        <v>358122.61794002505</v>
      </c>
      <c r="J396" s="347">
        <f t="shared" si="180"/>
        <v>367794.40088768373</v>
      </c>
      <c r="K396" s="347">
        <f t="shared" si="180"/>
        <v>0</v>
      </c>
      <c r="L396" s="347">
        <f t="shared" si="180"/>
        <v>0</v>
      </c>
      <c r="M396" s="347">
        <f t="shared" si="180"/>
        <v>0</v>
      </c>
      <c r="N396" s="347">
        <f>SUM(N392:N394)</f>
        <v>0</v>
      </c>
      <c r="O396" s="347">
        <f>SUM(O392:O394)</f>
        <v>0</v>
      </c>
      <c r="P396" s="347">
        <f>SUM(P392:P394)</f>
        <v>0</v>
      </c>
      <c r="Q396" s="347">
        <f t="shared" ref="Q396:AB396" si="181">SUM(Q392:Q394)</f>
        <v>0</v>
      </c>
      <c r="R396" s="347">
        <f t="shared" si="181"/>
        <v>0</v>
      </c>
      <c r="S396" s="347">
        <f t="shared" si="181"/>
        <v>0</v>
      </c>
      <c r="T396" s="347">
        <f t="shared" si="181"/>
        <v>0</v>
      </c>
      <c r="U396" s="347">
        <f t="shared" si="181"/>
        <v>0</v>
      </c>
      <c r="V396" s="347">
        <f t="shared" si="181"/>
        <v>0</v>
      </c>
      <c r="W396" s="347">
        <f t="shared" si="181"/>
        <v>0</v>
      </c>
      <c r="X396" s="347">
        <f t="shared" si="181"/>
        <v>0</v>
      </c>
      <c r="Y396" s="347">
        <f t="shared" si="181"/>
        <v>0</v>
      </c>
      <c r="Z396" s="347">
        <f t="shared" si="181"/>
        <v>0</v>
      </c>
      <c r="AA396" s="347">
        <f t="shared" si="181"/>
        <v>0</v>
      </c>
      <c r="AB396" s="347">
        <f t="shared" si="181"/>
        <v>0</v>
      </c>
      <c r="AC396" s="347">
        <f>SUM(AC392:AC394)</f>
        <v>0</v>
      </c>
      <c r="AD396" s="347">
        <f>SUM(AD392:AD394)</f>
        <v>0</v>
      </c>
      <c r="AE396" s="347">
        <f>SUM(AE392:AE394)</f>
        <v>0</v>
      </c>
      <c r="AF396" s="201">
        <f>SUM(H396:AE396)</f>
        <v>1105816.32</v>
      </c>
      <c r="AG396" s="333" t="str">
        <f>IF(ABS(AF396-F396)&lt;1,"ok","err")</f>
        <v>ok</v>
      </c>
    </row>
    <row r="397" spans="1:33">
      <c r="A397" s="318"/>
      <c r="B397" s="318"/>
      <c r="F397" s="203"/>
      <c r="G397" s="347"/>
      <c r="H397" s="347"/>
      <c r="I397" s="347"/>
      <c r="J397" s="347"/>
      <c r="K397" s="347"/>
      <c r="L397" s="347"/>
      <c r="M397" s="347"/>
      <c r="N397" s="347"/>
      <c r="O397" s="347"/>
      <c r="P397" s="347"/>
      <c r="Q397" s="347"/>
      <c r="R397" s="347"/>
      <c r="S397" s="347"/>
      <c r="T397" s="347"/>
      <c r="U397" s="347"/>
      <c r="V397" s="347"/>
      <c r="W397" s="347"/>
      <c r="X397" s="347"/>
      <c r="Y397" s="347"/>
      <c r="Z397" s="347"/>
      <c r="AA397" s="347"/>
      <c r="AB397" s="347"/>
      <c r="AC397" s="347"/>
      <c r="AD397" s="347"/>
      <c r="AE397" s="347"/>
      <c r="AF397" s="201"/>
      <c r="AG397" s="333"/>
    </row>
    <row r="398" spans="1:33">
      <c r="A398" s="318"/>
      <c r="B398" s="318"/>
      <c r="F398" s="203"/>
      <c r="G398" s="347"/>
      <c r="H398" s="347"/>
      <c r="I398" s="347"/>
      <c r="J398" s="347"/>
      <c r="K398" s="347"/>
      <c r="L398" s="347"/>
      <c r="M398" s="347"/>
      <c r="N398" s="347"/>
      <c r="O398" s="347"/>
      <c r="P398" s="347"/>
      <c r="Q398" s="347"/>
      <c r="R398" s="347"/>
      <c r="S398" s="347"/>
      <c r="T398" s="347"/>
      <c r="U398" s="347"/>
      <c r="V398" s="347"/>
      <c r="W398" s="347"/>
      <c r="X398" s="347"/>
      <c r="Y398" s="347"/>
      <c r="Z398" s="347"/>
      <c r="AA398" s="347"/>
      <c r="AB398" s="347"/>
      <c r="AC398" s="347"/>
      <c r="AD398" s="347"/>
      <c r="AE398" s="347"/>
      <c r="AF398" s="201"/>
      <c r="AG398" s="333"/>
    </row>
    <row r="399" spans="1:33">
      <c r="A399" s="337" t="s">
        <v>45</v>
      </c>
      <c r="B399" s="318"/>
      <c r="F399" s="203"/>
      <c r="G399" s="347"/>
      <c r="H399" s="347"/>
      <c r="I399" s="347"/>
      <c r="J399" s="347"/>
      <c r="K399" s="347"/>
      <c r="L399" s="347"/>
      <c r="M399" s="347"/>
      <c r="N399" s="347"/>
      <c r="O399" s="347"/>
      <c r="P399" s="347"/>
      <c r="Q399" s="347"/>
      <c r="R399" s="347"/>
      <c r="S399" s="347"/>
      <c r="T399" s="347"/>
      <c r="U399" s="347"/>
      <c r="V399" s="347"/>
      <c r="W399" s="347"/>
      <c r="X399" s="347"/>
      <c r="Y399" s="347"/>
      <c r="Z399" s="347"/>
      <c r="AA399" s="347"/>
      <c r="AB399" s="347"/>
      <c r="AC399" s="347"/>
      <c r="AD399" s="347"/>
      <c r="AE399" s="347"/>
      <c r="AF399" s="201"/>
      <c r="AG399" s="333"/>
    </row>
    <row r="400" spans="1:33">
      <c r="A400" s="318"/>
      <c r="B400" s="318"/>
      <c r="F400" s="203"/>
      <c r="G400" s="347"/>
      <c r="H400" s="347"/>
      <c r="I400" s="347"/>
      <c r="J400" s="347"/>
      <c r="K400" s="347"/>
      <c r="L400" s="347"/>
      <c r="M400" s="347"/>
      <c r="N400" s="347"/>
      <c r="O400" s="347"/>
      <c r="P400" s="347"/>
      <c r="Q400" s="347"/>
      <c r="R400" s="347"/>
      <c r="S400" s="347"/>
      <c r="T400" s="347"/>
      <c r="U400" s="347"/>
      <c r="V400" s="347"/>
      <c r="W400" s="347"/>
      <c r="X400" s="347"/>
      <c r="Y400" s="347"/>
      <c r="Z400" s="347"/>
      <c r="AA400" s="347"/>
      <c r="AB400" s="347"/>
      <c r="AC400" s="347"/>
      <c r="AD400" s="347"/>
      <c r="AE400" s="347"/>
      <c r="AF400" s="201"/>
      <c r="AG400" s="333"/>
    </row>
    <row r="401" spans="1:33">
      <c r="A401" s="87" t="s">
        <v>105</v>
      </c>
      <c r="B401" s="318"/>
      <c r="F401" s="203"/>
      <c r="G401" s="347"/>
      <c r="H401" s="347"/>
      <c r="I401" s="347"/>
      <c r="J401" s="347"/>
      <c r="K401" s="347"/>
      <c r="L401" s="347"/>
      <c r="M401" s="347"/>
      <c r="N401" s="347"/>
      <c r="O401" s="347"/>
      <c r="P401" s="347"/>
      <c r="Q401" s="347"/>
      <c r="R401" s="347"/>
      <c r="S401" s="347"/>
      <c r="T401" s="347"/>
      <c r="U401" s="347"/>
      <c r="V401" s="347"/>
      <c r="W401" s="347"/>
      <c r="X401" s="347"/>
      <c r="Y401" s="347"/>
      <c r="Z401" s="347"/>
      <c r="AA401" s="347"/>
      <c r="AB401" s="347"/>
      <c r="AC401" s="347"/>
      <c r="AD401" s="347"/>
      <c r="AE401" s="347"/>
      <c r="AF401" s="201"/>
      <c r="AG401" s="333"/>
    </row>
    <row r="402" spans="1:33">
      <c r="A402" s="318">
        <v>560</v>
      </c>
      <c r="B402" s="318" t="s">
        <v>1251</v>
      </c>
      <c r="C402" s="165" t="s">
        <v>102</v>
      </c>
      <c r="D402" s="165" t="s">
        <v>1266</v>
      </c>
      <c r="F402" s="203">
        <v>586814.38</v>
      </c>
      <c r="G402" s="347"/>
      <c r="H402" s="201">
        <f t="shared" ref="H402:Q410" si="182">IF(VLOOKUP($D402,$C$6:$AE$598,H$2,)=0,0,((VLOOKUP($D402,$C$6:$AE$598,H$2,)/VLOOKUP($D402,$C$6:$AE$598,4,))*$F402))</f>
        <v>0</v>
      </c>
      <c r="I402" s="201">
        <f t="shared" si="182"/>
        <v>0</v>
      </c>
      <c r="J402" s="201">
        <f t="shared" si="182"/>
        <v>0</v>
      </c>
      <c r="K402" s="201">
        <f t="shared" si="182"/>
        <v>0</v>
      </c>
      <c r="L402" s="201">
        <f t="shared" si="182"/>
        <v>0</v>
      </c>
      <c r="M402" s="201">
        <f t="shared" si="182"/>
        <v>0</v>
      </c>
      <c r="N402" s="201">
        <f t="shared" si="182"/>
        <v>201598.01302249852</v>
      </c>
      <c r="O402" s="201">
        <f t="shared" si="182"/>
        <v>190041.96104688765</v>
      </c>
      <c r="P402" s="201">
        <f t="shared" si="182"/>
        <v>195174.40593061384</v>
      </c>
      <c r="Q402" s="201">
        <f t="shared" si="182"/>
        <v>0</v>
      </c>
      <c r="R402" s="201">
        <f t="shared" ref="R402:AE410" si="183">IF(VLOOKUP($D402,$C$6:$AE$598,R$2,)=0,0,((VLOOKUP($D402,$C$6:$AE$598,R$2,)/VLOOKUP($D402,$C$6:$AE$598,4,))*$F402))</f>
        <v>0</v>
      </c>
      <c r="S402" s="201">
        <f t="shared" si="183"/>
        <v>0</v>
      </c>
      <c r="T402" s="201">
        <f t="shared" si="183"/>
        <v>0</v>
      </c>
      <c r="U402" s="201">
        <f t="shared" si="183"/>
        <v>0</v>
      </c>
      <c r="V402" s="201">
        <f t="shared" si="183"/>
        <v>0</v>
      </c>
      <c r="W402" s="201">
        <f t="shared" si="183"/>
        <v>0</v>
      </c>
      <c r="X402" s="201">
        <f t="shared" si="183"/>
        <v>0</v>
      </c>
      <c r="Y402" s="201">
        <f t="shared" si="183"/>
        <v>0</v>
      </c>
      <c r="Z402" s="201">
        <f t="shared" si="183"/>
        <v>0</v>
      </c>
      <c r="AA402" s="201">
        <f t="shared" si="183"/>
        <v>0</v>
      </c>
      <c r="AB402" s="201">
        <f t="shared" si="183"/>
        <v>0</v>
      </c>
      <c r="AC402" s="201">
        <f t="shared" si="183"/>
        <v>0</v>
      </c>
      <c r="AD402" s="201">
        <f t="shared" si="183"/>
        <v>0</v>
      </c>
      <c r="AE402" s="201">
        <f t="shared" si="183"/>
        <v>0</v>
      </c>
      <c r="AF402" s="201">
        <f t="shared" ref="AF402:AF409" si="184">SUM(H402:AE402)</f>
        <v>586814.38</v>
      </c>
      <c r="AG402" s="333" t="str">
        <f t="shared" ref="AG402:AG410" si="185">IF(ABS(AF402-F402)&lt;1,"ok","err")</f>
        <v>ok</v>
      </c>
    </row>
    <row r="403" spans="1:33">
      <c r="A403" s="318">
        <v>561</v>
      </c>
      <c r="B403" s="318" t="s">
        <v>1094</v>
      </c>
      <c r="C403" s="165" t="s">
        <v>48</v>
      </c>
      <c r="D403" s="165" t="s">
        <v>1266</v>
      </c>
      <c r="F403" s="340">
        <v>1395742.53</v>
      </c>
      <c r="G403" s="347"/>
      <c r="H403" s="201">
        <f t="shared" si="182"/>
        <v>0</v>
      </c>
      <c r="I403" s="201">
        <f t="shared" si="182"/>
        <v>0</v>
      </c>
      <c r="J403" s="201">
        <f t="shared" si="182"/>
        <v>0</v>
      </c>
      <c r="K403" s="201">
        <f t="shared" si="182"/>
        <v>0</v>
      </c>
      <c r="L403" s="201">
        <f t="shared" si="182"/>
        <v>0</v>
      </c>
      <c r="M403" s="201">
        <f t="shared" si="182"/>
        <v>0</v>
      </c>
      <c r="N403" s="201">
        <f t="shared" si="182"/>
        <v>479502.42926731793</v>
      </c>
      <c r="O403" s="201">
        <f t="shared" si="182"/>
        <v>452016.27049041376</v>
      </c>
      <c r="P403" s="201">
        <f t="shared" si="182"/>
        <v>464223.83024226833</v>
      </c>
      <c r="Q403" s="201">
        <f t="shared" si="182"/>
        <v>0</v>
      </c>
      <c r="R403" s="201">
        <f t="shared" si="183"/>
        <v>0</v>
      </c>
      <c r="S403" s="201">
        <f t="shared" si="183"/>
        <v>0</v>
      </c>
      <c r="T403" s="201">
        <f t="shared" si="183"/>
        <v>0</v>
      </c>
      <c r="U403" s="201">
        <f t="shared" si="183"/>
        <v>0</v>
      </c>
      <c r="V403" s="201">
        <f t="shared" si="183"/>
        <v>0</v>
      </c>
      <c r="W403" s="201">
        <f t="shared" si="183"/>
        <v>0</v>
      </c>
      <c r="X403" s="201">
        <f t="shared" si="183"/>
        <v>0</v>
      </c>
      <c r="Y403" s="201">
        <f t="shared" si="183"/>
        <v>0</v>
      </c>
      <c r="Z403" s="201">
        <f t="shared" si="183"/>
        <v>0</v>
      </c>
      <c r="AA403" s="201">
        <f t="shared" si="183"/>
        <v>0</v>
      </c>
      <c r="AB403" s="201">
        <f t="shared" si="183"/>
        <v>0</v>
      </c>
      <c r="AC403" s="201">
        <f t="shared" si="183"/>
        <v>0</v>
      </c>
      <c r="AD403" s="201">
        <f t="shared" si="183"/>
        <v>0</v>
      </c>
      <c r="AE403" s="201">
        <f t="shared" si="183"/>
        <v>0</v>
      </c>
      <c r="AF403" s="201">
        <f t="shared" si="184"/>
        <v>1395742.53</v>
      </c>
      <c r="AG403" s="333" t="str">
        <f t="shared" si="185"/>
        <v>ok</v>
      </c>
    </row>
    <row r="404" spans="1:33">
      <c r="A404" s="318">
        <v>562</v>
      </c>
      <c r="B404" s="318" t="s">
        <v>1249</v>
      </c>
      <c r="C404" s="165" t="s">
        <v>49</v>
      </c>
      <c r="D404" s="165" t="s">
        <v>1266</v>
      </c>
      <c r="F404" s="340">
        <v>668824.76</v>
      </c>
      <c r="G404" s="347"/>
      <c r="H404" s="201">
        <f t="shared" si="182"/>
        <v>0</v>
      </c>
      <c r="I404" s="201">
        <f t="shared" si="182"/>
        <v>0</v>
      </c>
      <c r="J404" s="201">
        <f t="shared" si="182"/>
        <v>0</v>
      </c>
      <c r="K404" s="201">
        <f t="shared" si="182"/>
        <v>0</v>
      </c>
      <c r="L404" s="201">
        <f t="shared" si="182"/>
        <v>0</v>
      </c>
      <c r="M404" s="201">
        <f t="shared" si="182"/>
        <v>0</v>
      </c>
      <c r="N404" s="201">
        <f t="shared" si="182"/>
        <v>229772.39016577858</v>
      </c>
      <c r="O404" s="201">
        <f t="shared" si="182"/>
        <v>216601.31946172484</v>
      </c>
      <c r="P404" s="201">
        <f t="shared" si="182"/>
        <v>222451.05037249663</v>
      </c>
      <c r="Q404" s="201">
        <f t="shared" si="182"/>
        <v>0</v>
      </c>
      <c r="R404" s="201">
        <f t="shared" si="183"/>
        <v>0</v>
      </c>
      <c r="S404" s="201">
        <f t="shared" si="183"/>
        <v>0</v>
      </c>
      <c r="T404" s="201">
        <f t="shared" si="183"/>
        <v>0</v>
      </c>
      <c r="U404" s="201">
        <f t="shared" si="183"/>
        <v>0</v>
      </c>
      <c r="V404" s="201">
        <f t="shared" si="183"/>
        <v>0</v>
      </c>
      <c r="W404" s="201">
        <f t="shared" si="183"/>
        <v>0</v>
      </c>
      <c r="X404" s="201">
        <f t="shared" si="183"/>
        <v>0</v>
      </c>
      <c r="Y404" s="201">
        <f t="shared" si="183"/>
        <v>0</v>
      </c>
      <c r="Z404" s="201">
        <f t="shared" si="183"/>
        <v>0</v>
      </c>
      <c r="AA404" s="201">
        <f t="shared" si="183"/>
        <v>0</v>
      </c>
      <c r="AB404" s="201">
        <f t="shared" si="183"/>
        <v>0</v>
      </c>
      <c r="AC404" s="201">
        <f t="shared" si="183"/>
        <v>0</v>
      </c>
      <c r="AD404" s="201">
        <f t="shared" si="183"/>
        <v>0</v>
      </c>
      <c r="AE404" s="201">
        <f t="shared" si="183"/>
        <v>0</v>
      </c>
      <c r="AF404" s="201">
        <f t="shared" si="184"/>
        <v>668824.76</v>
      </c>
      <c r="AG404" s="333" t="str">
        <f t="shared" si="185"/>
        <v>ok</v>
      </c>
    </row>
    <row r="405" spans="1:33">
      <c r="A405" s="318">
        <v>563</v>
      </c>
      <c r="B405" s="318" t="s">
        <v>1096</v>
      </c>
      <c r="C405" s="165" t="s">
        <v>50</v>
      </c>
      <c r="D405" s="165" t="s">
        <v>1266</v>
      </c>
      <c r="F405" s="340">
        <v>21024.9</v>
      </c>
      <c r="G405" s="347"/>
      <c r="H405" s="201">
        <f t="shared" si="182"/>
        <v>0</v>
      </c>
      <c r="I405" s="201">
        <f t="shared" si="182"/>
        <v>0</v>
      </c>
      <c r="J405" s="201">
        <f t="shared" si="182"/>
        <v>0</v>
      </c>
      <c r="K405" s="201">
        <f t="shared" si="182"/>
        <v>0</v>
      </c>
      <c r="L405" s="201">
        <f t="shared" si="182"/>
        <v>0</v>
      </c>
      <c r="M405" s="201">
        <f t="shared" si="182"/>
        <v>0</v>
      </c>
      <c r="N405" s="201">
        <f t="shared" si="182"/>
        <v>7223.030328596803</v>
      </c>
      <c r="O405" s="201">
        <f t="shared" si="182"/>
        <v>6808.9899685394703</v>
      </c>
      <c r="P405" s="201">
        <f t="shared" si="182"/>
        <v>6992.8797028637282</v>
      </c>
      <c r="Q405" s="201">
        <f t="shared" si="182"/>
        <v>0</v>
      </c>
      <c r="R405" s="201">
        <f t="shared" si="183"/>
        <v>0</v>
      </c>
      <c r="S405" s="201">
        <f t="shared" si="183"/>
        <v>0</v>
      </c>
      <c r="T405" s="201">
        <f t="shared" si="183"/>
        <v>0</v>
      </c>
      <c r="U405" s="201">
        <f t="shared" si="183"/>
        <v>0</v>
      </c>
      <c r="V405" s="201">
        <f t="shared" si="183"/>
        <v>0</v>
      </c>
      <c r="W405" s="201">
        <f t="shared" si="183"/>
        <v>0</v>
      </c>
      <c r="X405" s="201">
        <f t="shared" si="183"/>
        <v>0</v>
      </c>
      <c r="Y405" s="201">
        <f t="shared" si="183"/>
        <v>0</v>
      </c>
      <c r="Z405" s="201">
        <f t="shared" si="183"/>
        <v>0</v>
      </c>
      <c r="AA405" s="201">
        <f t="shared" si="183"/>
        <v>0</v>
      </c>
      <c r="AB405" s="201">
        <f t="shared" si="183"/>
        <v>0</v>
      </c>
      <c r="AC405" s="201">
        <f t="shared" si="183"/>
        <v>0</v>
      </c>
      <c r="AD405" s="201">
        <f t="shared" si="183"/>
        <v>0</v>
      </c>
      <c r="AE405" s="201">
        <f t="shared" si="183"/>
        <v>0</v>
      </c>
      <c r="AF405" s="201">
        <f t="shared" si="184"/>
        <v>21024.9</v>
      </c>
      <c r="AG405" s="333" t="str">
        <f t="shared" si="185"/>
        <v>ok</v>
      </c>
    </row>
    <row r="406" spans="1:33">
      <c r="A406" s="318">
        <v>566</v>
      </c>
      <c r="B406" s="318" t="s">
        <v>149</v>
      </c>
      <c r="C406" s="165" t="s">
        <v>153</v>
      </c>
      <c r="D406" s="165" t="s">
        <v>1266</v>
      </c>
      <c r="F406" s="340">
        <v>88917.13</v>
      </c>
      <c r="G406" s="347"/>
      <c r="H406" s="201">
        <f t="shared" si="182"/>
        <v>0</v>
      </c>
      <c r="I406" s="201">
        <f t="shared" si="182"/>
        <v>0</v>
      </c>
      <c r="J406" s="201">
        <f t="shared" si="182"/>
        <v>0</v>
      </c>
      <c r="K406" s="201">
        <f t="shared" si="182"/>
        <v>0</v>
      </c>
      <c r="L406" s="201">
        <f t="shared" si="182"/>
        <v>0</v>
      </c>
      <c r="M406" s="201">
        <f t="shared" si="182"/>
        <v>0</v>
      </c>
      <c r="N406" s="201">
        <f t="shared" si="182"/>
        <v>30547.166774718771</v>
      </c>
      <c r="O406" s="201">
        <f t="shared" si="182"/>
        <v>28796.13440260453</v>
      </c>
      <c r="P406" s="201">
        <f t="shared" si="182"/>
        <v>29573.828822676707</v>
      </c>
      <c r="Q406" s="201">
        <f t="shared" si="182"/>
        <v>0</v>
      </c>
      <c r="R406" s="201">
        <f t="shared" si="183"/>
        <v>0</v>
      </c>
      <c r="S406" s="201">
        <f t="shared" si="183"/>
        <v>0</v>
      </c>
      <c r="T406" s="201">
        <f t="shared" si="183"/>
        <v>0</v>
      </c>
      <c r="U406" s="201">
        <f t="shared" si="183"/>
        <v>0</v>
      </c>
      <c r="V406" s="201">
        <f t="shared" si="183"/>
        <v>0</v>
      </c>
      <c r="W406" s="201">
        <f t="shared" si="183"/>
        <v>0</v>
      </c>
      <c r="X406" s="201">
        <f t="shared" si="183"/>
        <v>0</v>
      </c>
      <c r="Y406" s="201">
        <f t="shared" si="183"/>
        <v>0</v>
      </c>
      <c r="Z406" s="201">
        <f t="shared" si="183"/>
        <v>0</v>
      </c>
      <c r="AA406" s="201">
        <f t="shared" si="183"/>
        <v>0</v>
      </c>
      <c r="AB406" s="201">
        <f t="shared" si="183"/>
        <v>0</v>
      </c>
      <c r="AC406" s="201">
        <f t="shared" si="183"/>
        <v>0</v>
      </c>
      <c r="AD406" s="201">
        <f t="shared" si="183"/>
        <v>0</v>
      </c>
      <c r="AE406" s="201">
        <f t="shared" si="183"/>
        <v>0</v>
      </c>
      <c r="AF406" s="201">
        <f t="shared" si="184"/>
        <v>88917.13</v>
      </c>
      <c r="AG406" s="333" t="str">
        <f t="shared" si="185"/>
        <v>ok</v>
      </c>
    </row>
    <row r="407" spans="1:33">
      <c r="A407" s="318">
        <v>569</v>
      </c>
      <c r="B407" s="318" t="s">
        <v>630</v>
      </c>
      <c r="C407" s="165" t="s">
        <v>631</v>
      </c>
      <c r="D407" s="165" t="s">
        <v>1266</v>
      </c>
      <c r="F407" s="340">
        <v>0</v>
      </c>
      <c r="G407" s="347"/>
      <c r="H407" s="201">
        <f t="shared" si="182"/>
        <v>0</v>
      </c>
      <c r="I407" s="201">
        <f t="shared" si="182"/>
        <v>0</v>
      </c>
      <c r="J407" s="201">
        <f t="shared" si="182"/>
        <v>0</v>
      </c>
      <c r="K407" s="201">
        <f t="shared" si="182"/>
        <v>0</v>
      </c>
      <c r="L407" s="201">
        <f t="shared" si="182"/>
        <v>0</v>
      </c>
      <c r="M407" s="201">
        <f t="shared" si="182"/>
        <v>0</v>
      </c>
      <c r="N407" s="201">
        <f t="shared" si="182"/>
        <v>0</v>
      </c>
      <c r="O407" s="201">
        <f t="shared" si="182"/>
        <v>0</v>
      </c>
      <c r="P407" s="201">
        <f t="shared" si="182"/>
        <v>0</v>
      </c>
      <c r="Q407" s="201">
        <f t="shared" si="182"/>
        <v>0</v>
      </c>
      <c r="R407" s="201">
        <f t="shared" si="183"/>
        <v>0</v>
      </c>
      <c r="S407" s="201">
        <f t="shared" si="183"/>
        <v>0</v>
      </c>
      <c r="T407" s="201">
        <f t="shared" si="183"/>
        <v>0</v>
      </c>
      <c r="U407" s="201">
        <f t="shared" si="183"/>
        <v>0</v>
      </c>
      <c r="V407" s="201">
        <f t="shared" si="183"/>
        <v>0</v>
      </c>
      <c r="W407" s="201">
        <f t="shared" si="183"/>
        <v>0</v>
      </c>
      <c r="X407" s="201">
        <f t="shared" si="183"/>
        <v>0</v>
      </c>
      <c r="Y407" s="201">
        <f t="shared" si="183"/>
        <v>0</v>
      </c>
      <c r="Z407" s="201">
        <f t="shared" si="183"/>
        <v>0</v>
      </c>
      <c r="AA407" s="201">
        <f t="shared" si="183"/>
        <v>0</v>
      </c>
      <c r="AB407" s="201">
        <f t="shared" si="183"/>
        <v>0</v>
      </c>
      <c r="AC407" s="201">
        <f t="shared" si="183"/>
        <v>0</v>
      </c>
      <c r="AD407" s="201">
        <f t="shared" si="183"/>
        <v>0</v>
      </c>
      <c r="AE407" s="201">
        <f t="shared" si="183"/>
        <v>0</v>
      </c>
      <c r="AF407" s="201">
        <f t="shared" si="184"/>
        <v>0</v>
      </c>
      <c r="AG407" s="333" t="str">
        <f t="shared" si="185"/>
        <v>ok</v>
      </c>
    </row>
    <row r="408" spans="1:33">
      <c r="A408" s="318">
        <v>570</v>
      </c>
      <c r="B408" s="318" t="s">
        <v>1252</v>
      </c>
      <c r="C408" s="165" t="s">
        <v>51</v>
      </c>
      <c r="D408" s="165" t="s">
        <v>1266</v>
      </c>
      <c r="F408" s="340">
        <v>259553.52000000002</v>
      </c>
      <c r="G408" s="347"/>
      <c r="H408" s="201">
        <f t="shared" si="182"/>
        <v>0</v>
      </c>
      <c r="I408" s="201">
        <f t="shared" si="182"/>
        <v>0</v>
      </c>
      <c r="J408" s="201">
        <f t="shared" si="182"/>
        <v>0</v>
      </c>
      <c r="K408" s="201">
        <f t="shared" si="182"/>
        <v>0</v>
      </c>
      <c r="L408" s="201">
        <f t="shared" si="182"/>
        <v>0</v>
      </c>
      <c r="M408" s="201">
        <f t="shared" si="182"/>
        <v>0</v>
      </c>
      <c r="N408" s="201">
        <f t="shared" si="182"/>
        <v>89168.697442273537</v>
      </c>
      <c r="O408" s="201">
        <f t="shared" si="182"/>
        <v>84057.346954283188</v>
      </c>
      <c r="P408" s="201">
        <f t="shared" si="182"/>
        <v>86327.475603443279</v>
      </c>
      <c r="Q408" s="201">
        <f t="shared" si="182"/>
        <v>0</v>
      </c>
      <c r="R408" s="201">
        <f t="shared" si="183"/>
        <v>0</v>
      </c>
      <c r="S408" s="201">
        <f t="shared" si="183"/>
        <v>0</v>
      </c>
      <c r="T408" s="201">
        <f t="shared" si="183"/>
        <v>0</v>
      </c>
      <c r="U408" s="201">
        <f t="shared" si="183"/>
        <v>0</v>
      </c>
      <c r="V408" s="201">
        <f t="shared" si="183"/>
        <v>0</v>
      </c>
      <c r="W408" s="201">
        <f t="shared" si="183"/>
        <v>0</v>
      </c>
      <c r="X408" s="201">
        <f t="shared" si="183"/>
        <v>0</v>
      </c>
      <c r="Y408" s="201">
        <f t="shared" si="183"/>
        <v>0</v>
      </c>
      <c r="Z408" s="201">
        <f t="shared" si="183"/>
        <v>0</v>
      </c>
      <c r="AA408" s="201">
        <f t="shared" si="183"/>
        <v>0</v>
      </c>
      <c r="AB408" s="201">
        <f t="shared" si="183"/>
        <v>0</v>
      </c>
      <c r="AC408" s="201">
        <f t="shared" si="183"/>
        <v>0</v>
      </c>
      <c r="AD408" s="201">
        <f t="shared" si="183"/>
        <v>0</v>
      </c>
      <c r="AE408" s="201">
        <f t="shared" si="183"/>
        <v>0</v>
      </c>
      <c r="AF408" s="201">
        <f t="shared" si="184"/>
        <v>259553.52000000002</v>
      </c>
      <c r="AG408" s="333" t="str">
        <f t="shared" si="185"/>
        <v>ok</v>
      </c>
    </row>
    <row r="409" spans="1:33">
      <c r="A409" s="318">
        <v>571</v>
      </c>
      <c r="B409" s="318" t="s">
        <v>1253</v>
      </c>
      <c r="C409" s="165" t="s">
        <v>52</v>
      </c>
      <c r="D409" s="165" t="s">
        <v>1266</v>
      </c>
      <c r="F409" s="340">
        <v>44706.6</v>
      </c>
      <c r="G409" s="347"/>
      <c r="H409" s="201">
        <f t="shared" si="182"/>
        <v>0</v>
      </c>
      <c r="I409" s="201">
        <f t="shared" si="182"/>
        <v>0</v>
      </c>
      <c r="J409" s="201">
        <f t="shared" si="182"/>
        <v>0</v>
      </c>
      <c r="K409" s="201">
        <f t="shared" si="182"/>
        <v>0</v>
      </c>
      <c r="L409" s="201">
        <f t="shared" si="182"/>
        <v>0</v>
      </c>
      <c r="M409" s="201">
        <f t="shared" si="182"/>
        <v>0</v>
      </c>
      <c r="N409" s="201">
        <f t="shared" si="182"/>
        <v>15358.794937833036</v>
      </c>
      <c r="O409" s="201">
        <f t="shared" si="182"/>
        <v>14478.39423386112</v>
      </c>
      <c r="P409" s="201">
        <f t="shared" si="182"/>
        <v>14869.410828305843</v>
      </c>
      <c r="Q409" s="201">
        <f t="shared" si="182"/>
        <v>0</v>
      </c>
      <c r="R409" s="201">
        <f t="shared" si="183"/>
        <v>0</v>
      </c>
      <c r="S409" s="201">
        <f t="shared" si="183"/>
        <v>0</v>
      </c>
      <c r="T409" s="201">
        <f t="shared" si="183"/>
        <v>0</v>
      </c>
      <c r="U409" s="201">
        <f t="shared" si="183"/>
        <v>0</v>
      </c>
      <c r="V409" s="201">
        <f t="shared" si="183"/>
        <v>0</v>
      </c>
      <c r="W409" s="201">
        <f t="shared" si="183"/>
        <v>0</v>
      </c>
      <c r="X409" s="201">
        <f t="shared" si="183"/>
        <v>0</v>
      </c>
      <c r="Y409" s="201">
        <f t="shared" si="183"/>
        <v>0</v>
      </c>
      <c r="Z409" s="201">
        <f t="shared" si="183"/>
        <v>0</v>
      </c>
      <c r="AA409" s="201">
        <f t="shared" si="183"/>
        <v>0</v>
      </c>
      <c r="AB409" s="201">
        <f t="shared" si="183"/>
        <v>0</v>
      </c>
      <c r="AC409" s="201">
        <f t="shared" si="183"/>
        <v>0</v>
      </c>
      <c r="AD409" s="201">
        <f t="shared" si="183"/>
        <v>0</v>
      </c>
      <c r="AE409" s="201">
        <f t="shared" si="183"/>
        <v>0</v>
      </c>
      <c r="AF409" s="201">
        <f t="shared" si="184"/>
        <v>44706.6</v>
      </c>
      <c r="AG409" s="333" t="str">
        <f t="shared" si="185"/>
        <v>ok</v>
      </c>
    </row>
    <row r="410" spans="1:33">
      <c r="A410" s="318">
        <v>573</v>
      </c>
      <c r="B410" s="318" t="s">
        <v>632</v>
      </c>
      <c r="C410" s="165" t="s">
        <v>633</v>
      </c>
      <c r="D410" s="165" t="s">
        <v>1266</v>
      </c>
      <c r="F410" s="340">
        <v>2042.21</v>
      </c>
      <c r="G410" s="347"/>
      <c r="H410" s="201">
        <f t="shared" si="182"/>
        <v>0</v>
      </c>
      <c r="I410" s="201">
        <f t="shared" si="182"/>
        <v>0</v>
      </c>
      <c r="J410" s="201">
        <f t="shared" si="182"/>
        <v>0</v>
      </c>
      <c r="K410" s="201">
        <f t="shared" si="182"/>
        <v>0</v>
      </c>
      <c r="L410" s="201">
        <f t="shared" si="182"/>
        <v>0</v>
      </c>
      <c r="M410" s="201">
        <f t="shared" si="182"/>
        <v>0</v>
      </c>
      <c r="N410" s="201">
        <f t="shared" si="182"/>
        <v>701.59405121373595</v>
      </c>
      <c r="O410" s="201">
        <f t="shared" si="182"/>
        <v>661.37710065926547</v>
      </c>
      <c r="P410" s="201">
        <f t="shared" si="182"/>
        <v>679.23884812699862</v>
      </c>
      <c r="Q410" s="201">
        <f t="shared" si="182"/>
        <v>0</v>
      </c>
      <c r="R410" s="201">
        <f t="shared" si="183"/>
        <v>0</v>
      </c>
      <c r="S410" s="201">
        <f t="shared" si="183"/>
        <v>0</v>
      </c>
      <c r="T410" s="201">
        <f t="shared" si="183"/>
        <v>0</v>
      </c>
      <c r="U410" s="201">
        <f t="shared" si="183"/>
        <v>0</v>
      </c>
      <c r="V410" s="201">
        <f t="shared" si="183"/>
        <v>0</v>
      </c>
      <c r="W410" s="201">
        <f t="shared" si="183"/>
        <v>0</v>
      </c>
      <c r="X410" s="201">
        <f t="shared" si="183"/>
        <v>0</v>
      </c>
      <c r="Y410" s="201">
        <f t="shared" si="183"/>
        <v>0</v>
      </c>
      <c r="Z410" s="201">
        <f t="shared" si="183"/>
        <v>0</v>
      </c>
      <c r="AA410" s="201">
        <f t="shared" si="183"/>
        <v>0</v>
      </c>
      <c r="AB410" s="201">
        <f t="shared" si="183"/>
        <v>0</v>
      </c>
      <c r="AC410" s="201">
        <f t="shared" si="183"/>
        <v>0</v>
      </c>
      <c r="AD410" s="201">
        <f t="shared" si="183"/>
        <v>0</v>
      </c>
      <c r="AE410" s="201">
        <f t="shared" si="183"/>
        <v>0</v>
      </c>
      <c r="AF410" s="201">
        <f>SUM(H410:AE410)</f>
        <v>2042.21</v>
      </c>
      <c r="AG410" s="333" t="str">
        <f t="shared" si="185"/>
        <v>ok</v>
      </c>
    </row>
    <row r="411" spans="1:33">
      <c r="A411" s="318"/>
      <c r="B411" s="318"/>
      <c r="F411" s="203"/>
      <c r="G411" s="347"/>
      <c r="H411" s="347"/>
      <c r="I411" s="347"/>
      <c r="J411" s="347"/>
      <c r="K411" s="347"/>
      <c r="L411" s="347"/>
      <c r="M411" s="347"/>
      <c r="N411" s="347"/>
      <c r="O411" s="347"/>
      <c r="P411" s="347"/>
      <c r="Q411" s="347"/>
      <c r="R411" s="347"/>
      <c r="S411" s="347"/>
      <c r="T411" s="347"/>
      <c r="U411" s="347"/>
      <c r="V411" s="347"/>
      <c r="W411" s="347"/>
      <c r="X411" s="347"/>
      <c r="Y411" s="347"/>
      <c r="Z411" s="347"/>
      <c r="AA411" s="347"/>
      <c r="AB411" s="347"/>
      <c r="AC411" s="347"/>
      <c r="AD411" s="347"/>
      <c r="AE411" s="347"/>
      <c r="AF411" s="201"/>
      <c r="AG411" s="333"/>
    </row>
    <row r="412" spans="1:33">
      <c r="A412" s="318" t="s">
        <v>104</v>
      </c>
      <c r="B412" s="318"/>
      <c r="C412" s="165" t="s">
        <v>699</v>
      </c>
      <c r="F412" s="342">
        <f>SUM(F402:F411)</f>
        <v>3067626.03</v>
      </c>
      <c r="G412" s="343">
        <f>SUM(G402:G409)</f>
        <v>0</v>
      </c>
      <c r="H412" s="343">
        <f t="shared" ref="H412:M412" si="186">SUM(H402:H411)</f>
        <v>0</v>
      </c>
      <c r="I412" s="343">
        <f t="shared" si="186"/>
        <v>0</v>
      </c>
      <c r="J412" s="343">
        <f t="shared" si="186"/>
        <v>0</v>
      </c>
      <c r="K412" s="343">
        <f t="shared" si="186"/>
        <v>0</v>
      </c>
      <c r="L412" s="343">
        <f t="shared" si="186"/>
        <v>0</v>
      </c>
      <c r="M412" s="343">
        <f t="shared" si="186"/>
        <v>0</v>
      </c>
      <c r="N412" s="343">
        <f>SUM(N402:N411)</f>
        <v>1053872.1159902308</v>
      </c>
      <c r="O412" s="343">
        <f>SUM(O402:O411)</f>
        <v>993461.79365897388</v>
      </c>
      <c r="P412" s="343">
        <f>SUM(P402:P411)</f>
        <v>1020292.1203507953</v>
      </c>
      <c r="Q412" s="343">
        <f t="shared" ref="Q412:AB412" si="187">SUM(Q402:Q411)</f>
        <v>0</v>
      </c>
      <c r="R412" s="343">
        <f t="shared" si="187"/>
        <v>0</v>
      </c>
      <c r="S412" s="343">
        <f t="shared" si="187"/>
        <v>0</v>
      </c>
      <c r="T412" s="343">
        <f t="shared" si="187"/>
        <v>0</v>
      </c>
      <c r="U412" s="343">
        <f t="shared" si="187"/>
        <v>0</v>
      </c>
      <c r="V412" s="343">
        <f t="shared" si="187"/>
        <v>0</v>
      </c>
      <c r="W412" s="343">
        <f t="shared" si="187"/>
        <v>0</v>
      </c>
      <c r="X412" s="343">
        <f t="shared" si="187"/>
        <v>0</v>
      </c>
      <c r="Y412" s="343">
        <f t="shared" si="187"/>
        <v>0</v>
      </c>
      <c r="Z412" s="343">
        <f t="shared" si="187"/>
        <v>0</v>
      </c>
      <c r="AA412" s="343">
        <f t="shared" si="187"/>
        <v>0</v>
      </c>
      <c r="AB412" s="343">
        <f t="shared" si="187"/>
        <v>0</v>
      </c>
      <c r="AC412" s="343">
        <f>SUM(AC402:AC411)</f>
        <v>0</v>
      </c>
      <c r="AD412" s="343">
        <f>SUM(AD402:AD411)</f>
        <v>0</v>
      </c>
      <c r="AE412" s="343">
        <f>SUM(AE402:AE411)</f>
        <v>0</v>
      </c>
      <c r="AF412" s="347">
        <f>SUM(H412:AE412)</f>
        <v>3067626.0300000003</v>
      </c>
      <c r="AG412" s="333" t="str">
        <f>IF(ABS(AF412-F412)&lt;1,"ok","err")</f>
        <v>ok</v>
      </c>
    </row>
    <row r="413" spans="1:33">
      <c r="A413" s="318"/>
      <c r="B413" s="318"/>
      <c r="W413" s="165"/>
      <c r="AG413" s="333"/>
    </row>
    <row r="414" spans="1:33">
      <c r="A414" s="87" t="s">
        <v>106</v>
      </c>
      <c r="B414" s="318"/>
      <c r="W414" s="165"/>
      <c r="AG414" s="333"/>
    </row>
    <row r="415" spans="1:33">
      <c r="A415" s="318">
        <v>580</v>
      </c>
      <c r="B415" s="318" t="s">
        <v>1092</v>
      </c>
      <c r="C415" s="165" t="s">
        <v>53</v>
      </c>
      <c r="D415" s="165" t="s">
        <v>691</v>
      </c>
      <c r="F415" s="203">
        <v>1318755.18</v>
      </c>
      <c r="H415" s="201">
        <f t="shared" ref="H415:Q425" si="188">IF(VLOOKUP($D415,$C$6:$AE$598,H$2,)=0,0,((VLOOKUP($D415,$C$6:$AE$598,H$2,)/VLOOKUP($D415,$C$6:$AE$598,4,))*$F415))</f>
        <v>0</v>
      </c>
      <c r="I415" s="201">
        <f t="shared" si="188"/>
        <v>0</v>
      </c>
      <c r="J415" s="201">
        <f t="shared" si="188"/>
        <v>0</v>
      </c>
      <c r="K415" s="201">
        <f t="shared" si="188"/>
        <v>0</v>
      </c>
      <c r="L415" s="201">
        <f t="shared" si="188"/>
        <v>0</v>
      </c>
      <c r="M415" s="201">
        <f t="shared" si="188"/>
        <v>0</v>
      </c>
      <c r="N415" s="201">
        <f t="shared" si="188"/>
        <v>0</v>
      </c>
      <c r="O415" s="201">
        <f t="shared" si="188"/>
        <v>0</v>
      </c>
      <c r="P415" s="201">
        <f t="shared" si="188"/>
        <v>0</v>
      </c>
      <c r="Q415" s="201">
        <f t="shared" si="188"/>
        <v>0</v>
      </c>
      <c r="R415" s="201">
        <f t="shared" ref="R415:AE425" si="189">IF(VLOOKUP($D415,$C$6:$AE$598,R$2,)=0,0,((VLOOKUP($D415,$C$6:$AE$598,R$2,)/VLOOKUP($D415,$C$6:$AE$598,4,))*$F415))</f>
        <v>181784.50728710031</v>
      </c>
      <c r="S415" s="201">
        <f t="shared" si="189"/>
        <v>0</v>
      </c>
      <c r="T415" s="201">
        <f t="shared" si="189"/>
        <v>183847.15221622441</v>
      </c>
      <c r="U415" s="201">
        <f t="shared" si="189"/>
        <v>247346.39759269342</v>
      </c>
      <c r="V415" s="201">
        <f t="shared" si="189"/>
        <v>61282.38407207479</v>
      </c>
      <c r="W415" s="201">
        <f t="shared" si="189"/>
        <v>82448.799197564484</v>
      </c>
      <c r="X415" s="201">
        <f t="shared" si="189"/>
        <v>17279.131034557915</v>
      </c>
      <c r="Y415" s="201">
        <f t="shared" si="189"/>
        <v>13742.648201632235</v>
      </c>
      <c r="Z415" s="201">
        <f t="shared" si="189"/>
        <v>6292.2148982960171</v>
      </c>
      <c r="AA415" s="201">
        <f t="shared" si="189"/>
        <v>506082.40386278735</v>
      </c>
      <c r="AB415" s="201">
        <f t="shared" si="189"/>
        <v>18649.54163706904</v>
      </c>
      <c r="AC415" s="201">
        <f t="shared" si="189"/>
        <v>0</v>
      </c>
      <c r="AD415" s="201">
        <f t="shared" si="189"/>
        <v>0</v>
      </c>
      <c r="AE415" s="201">
        <f t="shared" si="189"/>
        <v>0</v>
      </c>
      <c r="AF415" s="201">
        <f t="shared" ref="AF415:AF425" si="190">SUM(H415:AE415)</f>
        <v>1318755.18</v>
      </c>
      <c r="AG415" s="333" t="str">
        <f t="shared" ref="AG415:AG425" si="191">IF(ABS(AF415-F415)&lt;1,"ok","err")</f>
        <v>ok</v>
      </c>
    </row>
    <row r="416" spans="1:33">
      <c r="A416" s="318">
        <v>581</v>
      </c>
      <c r="B416" s="318" t="s">
        <v>1094</v>
      </c>
      <c r="C416" s="165" t="s">
        <v>54</v>
      </c>
      <c r="D416" s="165" t="s">
        <v>1043</v>
      </c>
      <c r="F416" s="340">
        <v>452751.4</v>
      </c>
      <c r="H416" s="201">
        <f t="shared" si="188"/>
        <v>0</v>
      </c>
      <c r="I416" s="201">
        <f t="shared" si="188"/>
        <v>0</v>
      </c>
      <c r="J416" s="201">
        <f t="shared" si="188"/>
        <v>0</v>
      </c>
      <c r="K416" s="201">
        <f t="shared" si="188"/>
        <v>0</v>
      </c>
      <c r="L416" s="201">
        <f t="shared" si="188"/>
        <v>0</v>
      </c>
      <c r="M416" s="201">
        <f t="shared" si="188"/>
        <v>0</v>
      </c>
      <c r="N416" s="201">
        <f t="shared" si="188"/>
        <v>0</v>
      </c>
      <c r="O416" s="201">
        <f t="shared" si="188"/>
        <v>0</v>
      </c>
      <c r="P416" s="201">
        <f t="shared" si="188"/>
        <v>0</v>
      </c>
      <c r="Q416" s="201">
        <f t="shared" si="188"/>
        <v>0</v>
      </c>
      <c r="R416" s="201">
        <f t="shared" si="189"/>
        <v>452751.4</v>
      </c>
      <c r="S416" s="201">
        <f t="shared" si="189"/>
        <v>0</v>
      </c>
      <c r="T416" s="201">
        <f t="shared" si="189"/>
        <v>0</v>
      </c>
      <c r="U416" s="201">
        <f t="shared" si="189"/>
        <v>0</v>
      </c>
      <c r="V416" s="201">
        <f t="shared" si="189"/>
        <v>0</v>
      </c>
      <c r="W416" s="201">
        <f t="shared" si="189"/>
        <v>0</v>
      </c>
      <c r="X416" s="201">
        <f t="shared" si="189"/>
        <v>0</v>
      </c>
      <c r="Y416" s="201">
        <f t="shared" si="189"/>
        <v>0</v>
      </c>
      <c r="Z416" s="201">
        <f t="shared" si="189"/>
        <v>0</v>
      </c>
      <c r="AA416" s="201">
        <f t="shared" si="189"/>
        <v>0</v>
      </c>
      <c r="AB416" s="201">
        <f t="shared" si="189"/>
        <v>0</v>
      </c>
      <c r="AC416" s="201">
        <f t="shared" si="189"/>
        <v>0</v>
      </c>
      <c r="AD416" s="201">
        <f t="shared" si="189"/>
        <v>0</v>
      </c>
      <c r="AE416" s="201">
        <f t="shared" si="189"/>
        <v>0</v>
      </c>
      <c r="AF416" s="201">
        <f t="shared" si="190"/>
        <v>452751.4</v>
      </c>
      <c r="AG416" s="333" t="str">
        <f t="shared" si="191"/>
        <v>ok</v>
      </c>
    </row>
    <row r="417" spans="1:33">
      <c r="A417" s="318">
        <v>582</v>
      </c>
      <c r="B417" s="318" t="s">
        <v>1249</v>
      </c>
      <c r="C417" s="165" t="s">
        <v>55</v>
      </c>
      <c r="D417" s="165" t="s">
        <v>1043</v>
      </c>
      <c r="F417" s="340">
        <v>289545.82</v>
      </c>
      <c r="H417" s="201">
        <f t="shared" si="188"/>
        <v>0</v>
      </c>
      <c r="I417" s="201">
        <f t="shared" si="188"/>
        <v>0</v>
      </c>
      <c r="J417" s="201">
        <f t="shared" si="188"/>
        <v>0</v>
      </c>
      <c r="K417" s="201">
        <f t="shared" si="188"/>
        <v>0</v>
      </c>
      <c r="L417" s="201">
        <f t="shared" si="188"/>
        <v>0</v>
      </c>
      <c r="M417" s="201">
        <f t="shared" si="188"/>
        <v>0</v>
      </c>
      <c r="N417" s="201">
        <f t="shared" si="188"/>
        <v>0</v>
      </c>
      <c r="O417" s="201">
        <f t="shared" si="188"/>
        <v>0</v>
      </c>
      <c r="P417" s="201">
        <f t="shared" si="188"/>
        <v>0</v>
      </c>
      <c r="Q417" s="201">
        <f t="shared" si="188"/>
        <v>0</v>
      </c>
      <c r="R417" s="201">
        <f t="shared" si="189"/>
        <v>289545.82</v>
      </c>
      <c r="S417" s="201">
        <f t="shared" si="189"/>
        <v>0</v>
      </c>
      <c r="T417" s="201">
        <f t="shared" si="189"/>
        <v>0</v>
      </c>
      <c r="U417" s="201">
        <f t="shared" si="189"/>
        <v>0</v>
      </c>
      <c r="V417" s="201">
        <f t="shared" si="189"/>
        <v>0</v>
      </c>
      <c r="W417" s="201">
        <f t="shared" si="189"/>
        <v>0</v>
      </c>
      <c r="X417" s="201">
        <f t="shared" si="189"/>
        <v>0</v>
      </c>
      <c r="Y417" s="201">
        <f t="shared" si="189"/>
        <v>0</v>
      </c>
      <c r="Z417" s="201">
        <f t="shared" si="189"/>
        <v>0</v>
      </c>
      <c r="AA417" s="201">
        <f t="shared" si="189"/>
        <v>0</v>
      </c>
      <c r="AB417" s="201">
        <f t="shared" si="189"/>
        <v>0</v>
      </c>
      <c r="AC417" s="201">
        <f t="shared" si="189"/>
        <v>0</v>
      </c>
      <c r="AD417" s="201">
        <f t="shared" si="189"/>
        <v>0</v>
      </c>
      <c r="AE417" s="201">
        <f t="shared" si="189"/>
        <v>0</v>
      </c>
      <c r="AF417" s="201">
        <f t="shared" si="190"/>
        <v>289545.82</v>
      </c>
      <c r="AG417" s="333" t="str">
        <f t="shared" si="191"/>
        <v>ok</v>
      </c>
    </row>
    <row r="418" spans="1:33">
      <c r="A418" s="318">
        <v>583</v>
      </c>
      <c r="B418" s="318" t="s">
        <v>1096</v>
      </c>
      <c r="C418" s="165" t="s">
        <v>56</v>
      </c>
      <c r="D418" s="165" t="s">
        <v>1046</v>
      </c>
      <c r="F418" s="340">
        <v>1949678.23</v>
      </c>
      <c r="H418" s="201">
        <f t="shared" si="188"/>
        <v>0</v>
      </c>
      <c r="I418" s="201">
        <f t="shared" si="188"/>
        <v>0</v>
      </c>
      <c r="J418" s="201">
        <f t="shared" si="188"/>
        <v>0</v>
      </c>
      <c r="K418" s="201">
        <f t="shared" si="188"/>
        <v>0</v>
      </c>
      <c r="L418" s="201">
        <f t="shared" si="188"/>
        <v>0</v>
      </c>
      <c r="M418" s="201">
        <f t="shared" si="188"/>
        <v>0</v>
      </c>
      <c r="N418" s="201">
        <f t="shared" si="188"/>
        <v>0</v>
      </c>
      <c r="O418" s="201">
        <f t="shared" si="188"/>
        <v>0</v>
      </c>
      <c r="P418" s="201">
        <f t="shared" si="188"/>
        <v>0</v>
      </c>
      <c r="Q418" s="201">
        <f t="shared" si="188"/>
        <v>0</v>
      </c>
      <c r="R418" s="201">
        <f t="shared" si="189"/>
        <v>0</v>
      </c>
      <c r="S418" s="201">
        <f t="shared" si="189"/>
        <v>0</v>
      </c>
      <c r="T418" s="201">
        <f t="shared" si="189"/>
        <v>664304.11491675</v>
      </c>
      <c r="U418" s="201">
        <f t="shared" si="189"/>
        <v>797954.55758324987</v>
      </c>
      <c r="V418" s="201">
        <f t="shared" si="189"/>
        <v>221434.70497224998</v>
      </c>
      <c r="W418" s="201">
        <f t="shared" si="189"/>
        <v>265984.85252774996</v>
      </c>
      <c r="X418" s="201">
        <f t="shared" si="189"/>
        <v>0</v>
      </c>
      <c r="Y418" s="201">
        <f t="shared" si="189"/>
        <v>0</v>
      </c>
      <c r="Z418" s="201">
        <f t="shared" si="189"/>
        <v>0</v>
      </c>
      <c r="AA418" s="201">
        <f t="shared" si="189"/>
        <v>0</v>
      </c>
      <c r="AB418" s="201">
        <f t="shared" si="189"/>
        <v>0</v>
      </c>
      <c r="AC418" s="201">
        <f t="shared" si="189"/>
        <v>0</v>
      </c>
      <c r="AD418" s="201">
        <f t="shared" si="189"/>
        <v>0</v>
      </c>
      <c r="AE418" s="201">
        <f t="shared" si="189"/>
        <v>0</v>
      </c>
      <c r="AF418" s="201">
        <f t="shared" si="190"/>
        <v>1949678.2299999997</v>
      </c>
      <c r="AG418" s="333" t="str">
        <f t="shared" si="191"/>
        <v>ok</v>
      </c>
    </row>
    <row r="419" spans="1:33">
      <c r="A419" s="318">
        <v>584</v>
      </c>
      <c r="B419" s="318" t="s">
        <v>1098</v>
      </c>
      <c r="C419" s="165" t="s">
        <v>57</v>
      </c>
      <c r="D419" s="165" t="s">
        <v>1049</v>
      </c>
      <c r="F419" s="340">
        <v>143329.32</v>
      </c>
      <c r="H419" s="201">
        <f t="shared" si="188"/>
        <v>0</v>
      </c>
      <c r="I419" s="201">
        <f t="shared" si="188"/>
        <v>0</v>
      </c>
      <c r="J419" s="201">
        <f t="shared" si="188"/>
        <v>0</v>
      </c>
      <c r="K419" s="201">
        <f t="shared" si="188"/>
        <v>0</v>
      </c>
      <c r="L419" s="201">
        <f t="shared" si="188"/>
        <v>0</v>
      </c>
      <c r="M419" s="201">
        <f t="shared" si="188"/>
        <v>0</v>
      </c>
      <c r="N419" s="201">
        <f t="shared" si="188"/>
        <v>0</v>
      </c>
      <c r="O419" s="201">
        <f t="shared" si="188"/>
        <v>0</v>
      </c>
      <c r="P419" s="201">
        <f t="shared" si="188"/>
        <v>0</v>
      </c>
      <c r="Q419" s="201">
        <f t="shared" si="188"/>
        <v>0</v>
      </c>
      <c r="R419" s="201">
        <f t="shared" si="189"/>
        <v>0</v>
      </c>
      <c r="S419" s="201">
        <f t="shared" si="189"/>
        <v>0</v>
      </c>
      <c r="T419" s="201">
        <f t="shared" si="189"/>
        <v>26648.503821000002</v>
      </c>
      <c r="U419" s="201">
        <f t="shared" si="189"/>
        <v>80848.486179</v>
      </c>
      <c r="V419" s="201">
        <f t="shared" si="189"/>
        <v>8882.8346070000007</v>
      </c>
      <c r="W419" s="201">
        <f t="shared" si="189"/>
        <v>26949.495393000001</v>
      </c>
      <c r="X419" s="201">
        <f t="shared" si="189"/>
        <v>0</v>
      </c>
      <c r="Y419" s="201">
        <f t="shared" si="189"/>
        <v>0</v>
      </c>
      <c r="Z419" s="201">
        <f t="shared" si="189"/>
        <v>0</v>
      </c>
      <c r="AA419" s="201">
        <f t="shared" si="189"/>
        <v>0</v>
      </c>
      <c r="AB419" s="201">
        <f t="shared" si="189"/>
        <v>0</v>
      </c>
      <c r="AC419" s="201">
        <f t="shared" si="189"/>
        <v>0</v>
      </c>
      <c r="AD419" s="201">
        <f t="shared" si="189"/>
        <v>0</v>
      </c>
      <c r="AE419" s="201">
        <f t="shared" si="189"/>
        <v>0</v>
      </c>
      <c r="AF419" s="201">
        <f t="shared" si="190"/>
        <v>143329.32</v>
      </c>
      <c r="AG419" s="333" t="str">
        <f t="shared" si="191"/>
        <v>ok</v>
      </c>
    </row>
    <row r="420" spans="1:33">
      <c r="A420" s="318">
        <v>585</v>
      </c>
      <c r="B420" s="318" t="s">
        <v>1100</v>
      </c>
      <c r="C420" s="165" t="s">
        <v>58</v>
      </c>
      <c r="D420" s="165" t="s">
        <v>1057</v>
      </c>
      <c r="F420" s="340">
        <v>0</v>
      </c>
      <c r="H420" s="201">
        <f t="shared" si="188"/>
        <v>0</v>
      </c>
      <c r="I420" s="201">
        <f t="shared" si="188"/>
        <v>0</v>
      </c>
      <c r="J420" s="201">
        <f t="shared" si="188"/>
        <v>0</v>
      </c>
      <c r="K420" s="201">
        <f t="shared" si="188"/>
        <v>0</v>
      </c>
      <c r="L420" s="201">
        <f t="shared" si="188"/>
        <v>0</v>
      </c>
      <c r="M420" s="201">
        <f t="shared" si="188"/>
        <v>0</v>
      </c>
      <c r="N420" s="201">
        <f t="shared" si="188"/>
        <v>0</v>
      </c>
      <c r="O420" s="201">
        <f t="shared" si="188"/>
        <v>0</v>
      </c>
      <c r="P420" s="201">
        <f t="shared" si="188"/>
        <v>0</v>
      </c>
      <c r="Q420" s="201">
        <f t="shared" si="188"/>
        <v>0</v>
      </c>
      <c r="R420" s="201">
        <f t="shared" si="189"/>
        <v>0</v>
      </c>
      <c r="S420" s="201">
        <f t="shared" si="189"/>
        <v>0</v>
      </c>
      <c r="T420" s="201">
        <f t="shared" si="189"/>
        <v>0</v>
      </c>
      <c r="U420" s="201">
        <f t="shared" si="189"/>
        <v>0</v>
      </c>
      <c r="V420" s="201">
        <f t="shared" si="189"/>
        <v>0</v>
      </c>
      <c r="W420" s="201">
        <f t="shared" si="189"/>
        <v>0</v>
      </c>
      <c r="X420" s="201">
        <f t="shared" si="189"/>
        <v>0</v>
      </c>
      <c r="Y420" s="201">
        <f t="shared" si="189"/>
        <v>0</v>
      </c>
      <c r="Z420" s="201">
        <f t="shared" si="189"/>
        <v>0</v>
      </c>
      <c r="AA420" s="201">
        <f t="shared" si="189"/>
        <v>0</v>
      </c>
      <c r="AB420" s="201">
        <f t="shared" si="189"/>
        <v>0</v>
      </c>
      <c r="AC420" s="201">
        <f t="shared" si="189"/>
        <v>0</v>
      </c>
      <c r="AD420" s="201">
        <f t="shared" si="189"/>
        <v>0</v>
      </c>
      <c r="AE420" s="201">
        <f t="shared" si="189"/>
        <v>0</v>
      </c>
      <c r="AF420" s="201">
        <f t="shared" si="190"/>
        <v>0</v>
      </c>
      <c r="AG420" s="333" t="str">
        <f t="shared" si="191"/>
        <v>ok</v>
      </c>
    </row>
    <row r="421" spans="1:33">
      <c r="A421" s="318">
        <v>586</v>
      </c>
      <c r="B421" s="318" t="s">
        <v>1102</v>
      </c>
      <c r="C421" s="165" t="s">
        <v>59</v>
      </c>
      <c r="D421" s="165" t="s">
        <v>1054</v>
      </c>
      <c r="F421" s="340">
        <v>2341499.0300000003</v>
      </c>
      <c r="H421" s="201">
        <f t="shared" si="188"/>
        <v>0</v>
      </c>
      <c r="I421" s="201">
        <f t="shared" si="188"/>
        <v>0</v>
      </c>
      <c r="J421" s="201">
        <f t="shared" si="188"/>
        <v>0</v>
      </c>
      <c r="K421" s="201">
        <f t="shared" si="188"/>
        <v>0</v>
      </c>
      <c r="L421" s="201">
        <f t="shared" si="188"/>
        <v>0</v>
      </c>
      <c r="M421" s="201">
        <f t="shared" si="188"/>
        <v>0</v>
      </c>
      <c r="N421" s="201">
        <f t="shared" si="188"/>
        <v>0</v>
      </c>
      <c r="O421" s="201">
        <f t="shared" si="188"/>
        <v>0</v>
      </c>
      <c r="P421" s="201">
        <f t="shared" si="188"/>
        <v>0</v>
      </c>
      <c r="Q421" s="201">
        <f t="shared" si="188"/>
        <v>0</v>
      </c>
      <c r="R421" s="201">
        <f t="shared" si="189"/>
        <v>0</v>
      </c>
      <c r="S421" s="201">
        <f t="shared" si="189"/>
        <v>0</v>
      </c>
      <c r="T421" s="201">
        <f t="shared" si="189"/>
        <v>0</v>
      </c>
      <c r="U421" s="201">
        <f t="shared" si="189"/>
        <v>0</v>
      </c>
      <c r="V421" s="201">
        <f t="shared" si="189"/>
        <v>0</v>
      </c>
      <c r="W421" s="201">
        <f t="shared" si="189"/>
        <v>0</v>
      </c>
      <c r="X421" s="201">
        <f t="shared" si="189"/>
        <v>0</v>
      </c>
      <c r="Y421" s="201">
        <f t="shared" si="189"/>
        <v>0</v>
      </c>
      <c r="Z421" s="201">
        <f t="shared" si="189"/>
        <v>0</v>
      </c>
      <c r="AA421" s="201">
        <f t="shared" si="189"/>
        <v>2341499.0300000003</v>
      </c>
      <c r="AB421" s="201">
        <f t="shared" si="189"/>
        <v>0</v>
      </c>
      <c r="AC421" s="201">
        <f t="shared" si="189"/>
        <v>0</v>
      </c>
      <c r="AD421" s="201">
        <f t="shared" si="189"/>
        <v>0</v>
      </c>
      <c r="AE421" s="201">
        <f t="shared" si="189"/>
        <v>0</v>
      </c>
      <c r="AF421" s="201">
        <f t="shared" si="190"/>
        <v>2341499.0300000003</v>
      </c>
      <c r="AG421" s="333" t="str">
        <f t="shared" si="191"/>
        <v>ok</v>
      </c>
    </row>
    <row r="422" spans="1:33">
      <c r="A422" s="318">
        <v>586</v>
      </c>
      <c r="B422" s="318" t="s">
        <v>27</v>
      </c>
      <c r="C422" s="165" t="s">
        <v>60</v>
      </c>
      <c r="D422" s="165" t="s">
        <v>42</v>
      </c>
      <c r="F422" s="340">
        <v>0</v>
      </c>
      <c r="H422" s="201">
        <f t="shared" si="188"/>
        <v>0</v>
      </c>
      <c r="I422" s="201">
        <f t="shared" si="188"/>
        <v>0</v>
      </c>
      <c r="J422" s="201">
        <f t="shared" si="188"/>
        <v>0</v>
      </c>
      <c r="K422" s="201">
        <f t="shared" si="188"/>
        <v>0</v>
      </c>
      <c r="L422" s="201">
        <f t="shared" si="188"/>
        <v>0</v>
      </c>
      <c r="M422" s="201">
        <f t="shared" si="188"/>
        <v>0</v>
      </c>
      <c r="N422" s="201">
        <f t="shared" si="188"/>
        <v>0</v>
      </c>
      <c r="O422" s="201">
        <f t="shared" si="188"/>
        <v>0</v>
      </c>
      <c r="P422" s="201">
        <f t="shared" si="188"/>
        <v>0</v>
      </c>
      <c r="Q422" s="201">
        <f t="shared" si="188"/>
        <v>0</v>
      </c>
      <c r="R422" s="201">
        <f t="shared" si="189"/>
        <v>0</v>
      </c>
      <c r="S422" s="201">
        <f t="shared" si="189"/>
        <v>0</v>
      </c>
      <c r="T422" s="201">
        <f t="shared" si="189"/>
        <v>0</v>
      </c>
      <c r="U422" s="201">
        <f t="shared" si="189"/>
        <v>0</v>
      </c>
      <c r="V422" s="201">
        <f t="shared" si="189"/>
        <v>0</v>
      </c>
      <c r="W422" s="201">
        <f t="shared" si="189"/>
        <v>0</v>
      </c>
      <c r="X422" s="201">
        <f t="shared" si="189"/>
        <v>0</v>
      </c>
      <c r="Y422" s="201">
        <f t="shared" si="189"/>
        <v>0</v>
      </c>
      <c r="Z422" s="201">
        <f t="shared" si="189"/>
        <v>0</v>
      </c>
      <c r="AA422" s="201">
        <f t="shared" si="189"/>
        <v>0</v>
      </c>
      <c r="AB422" s="201">
        <f t="shared" si="189"/>
        <v>0</v>
      </c>
      <c r="AC422" s="201">
        <f t="shared" si="189"/>
        <v>0</v>
      </c>
      <c r="AD422" s="201">
        <f t="shared" si="189"/>
        <v>0</v>
      </c>
      <c r="AE422" s="201">
        <f t="shared" si="189"/>
        <v>0</v>
      </c>
      <c r="AF422" s="201">
        <f t="shared" si="190"/>
        <v>0</v>
      </c>
      <c r="AG422" s="333" t="str">
        <f t="shared" si="191"/>
        <v>ok</v>
      </c>
    </row>
    <row r="423" spans="1:33">
      <c r="A423" s="318">
        <v>587</v>
      </c>
      <c r="B423" s="318" t="s">
        <v>1104</v>
      </c>
      <c r="C423" s="165" t="s">
        <v>61</v>
      </c>
      <c r="D423" s="165" t="s">
        <v>1056</v>
      </c>
      <c r="F423" s="340">
        <v>0</v>
      </c>
      <c r="H423" s="201">
        <f t="shared" si="188"/>
        <v>0</v>
      </c>
      <c r="I423" s="201">
        <f t="shared" si="188"/>
        <v>0</v>
      </c>
      <c r="J423" s="201">
        <f t="shared" si="188"/>
        <v>0</v>
      </c>
      <c r="K423" s="201">
        <f t="shared" si="188"/>
        <v>0</v>
      </c>
      <c r="L423" s="201">
        <f t="shared" si="188"/>
        <v>0</v>
      </c>
      <c r="M423" s="201">
        <f t="shared" si="188"/>
        <v>0</v>
      </c>
      <c r="N423" s="201">
        <f t="shared" si="188"/>
        <v>0</v>
      </c>
      <c r="O423" s="201">
        <f t="shared" si="188"/>
        <v>0</v>
      </c>
      <c r="P423" s="201">
        <f t="shared" si="188"/>
        <v>0</v>
      </c>
      <c r="Q423" s="201">
        <f t="shared" si="188"/>
        <v>0</v>
      </c>
      <c r="R423" s="201">
        <f t="shared" si="189"/>
        <v>0</v>
      </c>
      <c r="S423" s="201">
        <f t="shared" si="189"/>
        <v>0</v>
      </c>
      <c r="T423" s="201">
        <f t="shared" si="189"/>
        <v>0</v>
      </c>
      <c r="U423" s="201">
        <f t="shared" si="189"/>
        <v>0</v>
      </c>
      <c r="V423" s="201">
        <f t="shared" si="189"/>
        <v>0</v>
      </c>
      <c r="W423" s="201">
        <f t="shared" si="189"/>
        <v>0</v>
      </c>
      <c r="X423" s="201">
        <f t="shared" si="189"/>
        <v>0</v>
      </c>
      <c r="Y423" s="201">
        <f t="shared" si="189"/>
        <v>0</v>
      </c>
      <c r="Z423" s="201">
        <f t="shared" si="189"/>
        <v>0</v>
      </c>
      <c r="AA423" s="201">
        <f t="shared" si="189"/>
        <v>0</v>
      </c>
      <c r="AB423" s="201">
        <f t="shared" si="189"/>
        <v>0</v>
      </c>
      <c r="AC423" s="201">
        <f t="shared" si="189"/>
        <v>0</v>
      </c>
      <c r="AD423" s="201">
        <f t="shared" si="189"/>
        <v>0</v>
      </c>
      <c r="AE423" s="201">
        <f t="shared" si="189"/>
        <v>0</v>
      </c>
      <c r="AF423" s="201">
        <f t="shared" si="190"/>
        <v>0</v>
      </c>
      <c r="AG423" s="333" t="str">
        <f t="shared" si="191"/>
        <v>ok</v>
      </c>
    </row>
    <row r="424" spans="1:33">
      <c r="A424" s="318">
        <v>588</v>
      </c>
      <c r="B424" s="318" t="s">
        <v>1106</v>
      </c>
      <c r="C424" s="165" t="s">
        <v>62</v>
      </c>
      <c r="D424" s="165" t="s">
        <v>1039</v>
      </c>
      <c r="F424" s="340">
        <v>1028668.02</v>
      </c>
      <c r="H424" s="201">
        <f t="shared" si="188"/>
        <v>0</v>
      </c>
      <c r="I424" s="201">
        <f t="shared" si="188"/>
        <v>0</v>
      </c>
      <c r="J424" s="201">
        <f t="shared" si="188"/>
        <v>0</v>
      </c>
      <c r="K424" s="201">
        <f t="shared" si="188"/>
        <v>0</v>
      </c>
      <c r="L424" s="201">
        <f t="shared" si="188"/>
        <v>0</v>
      </c>
      <c r="M424" s="201">
        <f t="shared" si="188"/>
        <v>0</v>
      </c>
      <c r="N424" s="201">
        <f t="shared" si="188"/>
        <v>0</v>
      </c>
      <c r="O424" s="201">
        <f t="shared" si="188"/>
        <v>0</v>
      </c>
      <c r="P424" s="201">
        <f t="shared" si="188"/>
        <v>0</v>
      </c>
      <c r="Q424" s="201">
        <f t="shared" si="188"/>
        <v>0</v>
      </c>
      <c r="R424" s="201">
        <f t="shared" si="189"/>
        <v>113099.33456192086</v>
      </c>
      <c r="S424" s="201">
        <f t="shared" si="189"/>
        <v>0</v>
      </c>
      <c r="T424" s="201">
        <f t="shared" si="189"/>
        <v>174149.81996132014</v>
      </c>
      <c r="U424" s="201">
        <f t="shared" si="189"/>
        <v>285098.43190056045</v>
      </c>
      <c r="V424" s="201">
        <f t="shared" si="189"/>
        <v>58049.939987106707</v>
      </c>
      <c r="W424" s="201">
        <f t="shared" si="189"/>
        <v>95032.81063352013</v>
      </c>
      <c r="X424" s="201">
        <f t="shared" si="189"/>
        <v>81307.859362521398</v>
      </c>
      <c r="Y424" s="201">
        <f t="shared" si="189"/>
        <v>64666.753496583435</v>
      </c>
      <c r="Z424" s="201">
        <f t="shared" si="189"/>
        <v>29608.347954894936</v>
      </c>
      <c r="AA424" s="201">
        <f t="shared" si="189"/>
        <v>39898.323653151587</v>
      </c>
      <c r="AB424" s="201">
        <f t="shared" si="189"/>
        <v>87756.398488420426</v>
      </c>
      <c r="AC424" s="201">
        <f t="shared" si="189"/>
        <v>0</v>
      </c>
      <c r="AD424" s="201">
        <f t="shared" si="189"/>
        <v>0</v>
      </c>
      <c r="AE424" s="201">
        <f t="shared" si="189"/>
        <v>0</v>
      </c>
      <c r="AF424" s="201">
        <f t="shared" si="190"/>
        <v>1028668.0200000001</v>
      </c>
      <c r="AG424" s="333" t="str">
        <f t="shared" si="191"/>
        <v>ok</v>
      </c>
    </row>
    <row r="425" spans="1:33">
      <c r="A425" s="318">
        <v>589</v>
      </c>
      <c r="B425" s="318" t="s">
        <v>1108</v>
      </c>
      <c r="C425" s="165" t="s">
        <v>63</v>
      </c>
      <c r="D425" s="165" t="s">
        <v>1039</v>
      </c>
      <c r="F425" s="340">
        <v>0</v>
      </c>
      <c r="H425" s="201">
        <f t="shared" si="188"/>
        <v>0</v>
      </c>
      <c r="I425" s="201">
        <f t="shared" si="188"/>
        <v>0</v>
      </c>
      <c r="J425" s="201">
        <f t="shared" si="188"/>
        <v>0</v>
      </c>
      <c r="K425" s="201">
        <f t="shared" si="188"/>
        <v>0</v>
      </c>
      <c r="L425" s="201">
        <f t="shared" si="188"/>
        <v>0</v>
      </c>
      <c r="M425" s="201">
        <f t="shared" si="188"/>
        <v>0</v>
      </c>
      <c r="N425" s="201">
        <f t="shared" si="188"/>
        <v>0</v>
      </c>
      <c r="O425" s="201">
        <f t="shared" si="188"/>
        <v>0</v>
      </c>
      <c r="P425" s="201">
        <f t="shared" si="188"/>
        <v>0</v>
      </c>
      <c r="Q425" s="201">
        <f t="shared" si="188"/>
        <v>0</v>
      </c>
      <c r="R425" s="201">
        <f t="shared" si="189"/>
        <v>0</v>
      </c>
      <c r="S425" s="201">
        <f t="shared" si="189"/>
        <v>0</v>
      </c>
      <c r="T425" s="201">
        <f t="shared" si="189"/>
        <v>0</v>
      </c>
      <c r="U425" s="201">
        <f t="shared" si="189"/>
        <v>0</v>
      </c>
      <c r="V425" s="201">
        <f t="shared" si="189"/>
        <v>0</v>
      </c>
      <c r="W425" s="201">
        <f t="shared" si="189"/>
        <v>0</v>
      </c>
      <c r="X425" s="201">
        <f t="shared" si="189"/>
        <v>0</v>
      </c>
      <c r="Y425" s="201">
        <f t="shared" si="189"/>
        <v>0</v>
      </c>
      <c r="Z425" s="201">
        <f t="shared" si="189"/>
        <v>0</v>
      </c>
      <c r="AA425" s="201">
        <f t="shared" si="189"/>
        <v>0</v>
      </c>
      <c r="AB425" s="201">
        <f t="shared" si="189"/>
        <v>0</v>
      </c>
      <c r="AC425" s="201">
        <f t="shared" si="189"/>
        <v>0</v>
      </c>
      <c r="AD425" s="201">
        <f t="shared" si="189"/>
        <v>0</v>
      </c>
      <c r="AE425" s="201">
        <f t="shared" si="189"/>
        <v>0</v>
      </c>
      <c r="AF425" s="201">
        <f t="shared" si="190"/>
        <v>0</v>
      </c>
      <c r="AG425" s="333" t="str">
        <f t="shared" si="191"/>
        <v>ok</v>
      </c>
    </row>
    <row r="426" spans="1:33">
      <c r="A426" s="318"/>
      <c r="B426" s="318"/>
      <c r="F426" s="340"/>
      <c r="H426" s="201"/>
      <c r="I426" s="201"/>
      <c r="J426" s="201"/>
      <c r="K426" s="201"/>
      <c r="L426" s="201"/>
      <c r="M426" s="201"/>
      <c r="N426" s="201"/>
      <c r="O426" s="201"/>
      <c r="P426" s="201"/>
      <c r="Q426" s="201"/>
      <c r="R426" s="201"/>
      <c r="S426" s="201"/>
      <c r="T426" s="201"/>
      <c r="U426" s="201"/>
      <c r="V426" s="201"/>
      <c r="W426" s="201"/>
      <c r="X426" s="201"/>
      <c r="Y426" s="201"/>
      <c r="Z426" s="201"/>
      <c r="AA426" s="201"/>
      <c r="AB426" s="201"/>
      <c r="AC426" s="201"/>
      <c r="AD426" s="201"/>
      <c r="AE426" s="201"/>
      <c r="AG426" s="333"/>
    </row>
    <row r="427" spans="1:33">
      <c r="A427" s="318" t="s">
        <v>107</v>
      </c>
      <c r="B427" s="318"/>
      <c r="C427" s="165" t="s">
        <v>64</v>
      </c>
      <c r="F427" s="203">
        <f>SUM(F415:F426)</f>
        <v>7524227</v>
      </c>
      <c r="G427" s="347">
        <f t="shared" ref="G427:M427" si="192">SUM(G415:G426)</f>
        <v>0</v>
      </c>
      <c r="H427" s="347">
        <f t="shared" si="192"/>
        <v>0</v>
      </c>
      <c r="I427" s="347">
        <f t="shared" si="192"/>
        <v>0</v>
      </c>
      <c r="J427" s="347">
        <f t="shared" si="192"/>
        <v>0</v>
      </c>
      <c r="K427" s="347">
        <f t="shared" si="192"/>
        <v>0</v>
      </c>
      <c r="L427" s="347">
        <f t="shared" si="192"/>
        <v>0</v>
      </c>
      <c r="M427" s="347">
        <f t="shared" si="192"/>
        <v>0</v>
      </c>
      <c r="N427" s="347">
        <f>SUM(N415:N426)</f>
        <v>0</v>
      </c>
      <c r="O427" s="347">
        <f>SUM(O415:O426)</f>
        <v>0</v>
      </c>
      <c r="P427" s="347">
        <f>SUM(P415:P426)</f>
        <v>0</v>
      </c>
      <c r="Q427" s="347">
        <f t="shared" ref="Q427:AB427" si="193">SUM(Q415:Q426)</f>
        <v>0</v>
      </c>
      <c r="R427" s="347">
        <f t="shared" si="193"/>
        <v>1037181.0618490212</v>
      </c>
      <c r="S427" s="347">
        <f t="shared" si="193"/>
        <v>0</v>
      </c>
      <c r="T427" s="347">
        <f t="shared" si="193"/>
        <v>1048949.5909152946</v>
      </c>
      <c r="U427" s="347">
        <f t="shared" si="193"/>
        <v>1411247.8732555038</v>
      </c>
      <c r="V427" s="347">
        <f t="shared" si="193"/>
        <v>349649.86363843147</v>
      </c>
      <c r="W427" s="347">
        <f t="shared" si="193"/>
        <v>470415.95775183459</v>
      </c>
      <c r="X427" s="347">
        <f t="shared" si="193"/>
        <v>98586.990397079309</v>
      </c>
      <c r="Y427" s="347">
        <f t="shared" si="193"/>
        <v>78409.401698215675</v>
      </c>
      <c r="Z427" s="347">
        <f t="shared" si="193"/>
        <v>35900.562853190953</v>
      </c>
      <c r="AA427" s="347">
        <f t="shared" si="193"/>
        <v>2887479.7575159394</v>
      </c>
      <c r="AB427" s="347">
        <f t="shared" si="193"/>
        <v>106405.94012548946</v>
      </c>
      <c r="AC427" s="347">
        <f>SUM(AC415:AC426)</f>
        <v>0</v>
      </c>
      <c r="AD427" s="347">
        <f>SUM(AD415:AD426)</f>
        <v>0</v>
      </c>
      <c r="AE427" s="347">
        <f>SUM(AE415:AE426)</f>
        <v>0</v>
      </c>
      <c r="AF427" s="201">
        <f>SUM(H427:AE427)</f>
        <v>7524227</v>
      </c>
      <c r="AG427" s="333" t="str">
        <f>IF(ABS(AF427-F427)&lt;1,"ok","err")</f>
        <v>ok</v>
      </c>
    </row>
    <row r="428" spans="1:33">
      <c r="A428" s="318"/>
      <c r="B428" s="318"/>
      <c r="F428" s="203"/>
      <c r="G428" s="347"/>
      <c r="H428" s="347"/>
      <c r="I428" s="347"/>
      <c r="J428" s="347"/>
      <c r="K428" s="347"/>
      <c r="L428" s="347"/>
      <c r="M428" s="347"/>
      <c r="N428" s="347"/>
      <c r="O428" s="347"/>
      <c r="P428" s="347"/>
      <c r="Q428" s="347"/>
      <c r="R428" s="347"/>
      <c r="S428" s="347"/>
      <c r="T428" s="347"/>
      <c r="U428" s="347"/>
      <c r="V428" s="347"/>
      <c r="W428" s="347"/>
      <c r="X428" s="347"/>
      <c r="Y428" s="347"/>
      <c r="Z428" s="347"/>
      <c r="AA428" s="347"/>
      <c r="AB428" s="347"/>
      <c r="AC428" s="347"/>
      <c r="AD428" s="347"/>
      <c r="AE428" s="347"/>
      <c r="AF428" s="201"/>
      <c r="AG428" s="333"/>
    </row>
    <row r="429" spans="1:33">
      <c r="A429" s="318"/>
      <c r="B429" s="318"/>
      <c r="F429" s="203"/>
      <c r="G429" s="347"/>
      <c r="H429" s="347"/>
      <c r="I429" s="347"/>
      <c r="J429" s="347"/>
      <c r="K429" s="347"/>
      <c r="L429" s="347"/>
      <c r="M429" s="347"/>
      <c r="N429" s="347"/>
      <c r="O429" s="347"/>
      <c r="P429" s="347"/>
      <c r="Q429" s="347"/>
      <c r="R429" s="347"/>
      <c r="S429" s="347"/>
      <c r="T429" s="347"/>
      <c r="U429" s="347"/>
      <c r="V429" s="347"/>
      <c r="W429" s="347"/>
      <c r="X429" s="347"/>
      <c r="Y429" s="347"/>
      <c r="Z429" s="347"/>
      <c r="AA429" s="347"/>
      <c r="AB429" s="347"/>
      <c r="AC429" s="347"/>
      <c r="AD429" s="347"/>
      <c r="AE429" s="347"/>
      <c r="AF429" s="201"/>
      <c r="AG429" s="333"/>
    </row>
    <row r="430" spans="1:33">
      <c r="A430" s="318"/>
      <c r="B430" s="318"/>
      <c r="F430" s="203"/>
      <c r="G430" s="347"/>
      <c r="H430" s="347"/>
      <c r="I430" s="347"/>
      <c r="J430" s="347"/>
      <c r="K430" s="347"/>
      <c r="L430" s="347"/>
      <c r="M430" s="347"/>
      <c r="N430" s="347"/>
      <c r="O430" s="347"/>
      <c r="P430" s="347"/>
      <c r="Q430" s="347"/>
      <c r="R430" s="347"/>
      <c r="S430" s="347"/>
      <c r="T430" s="347"/>
      <c r="U430" s="347"/>
      <c r="V430" s="347"/>
      <c r="W430" s="347"/>
      <c r="X430" s="347"/>
      <c r="Y430" s="347"/>
      <c r="Z430" s="347"/>
      <c r="AA430" s="347"/>
      <c r="AB430" s="347"/>
      <c r="AC430" s="347"/>
      <c r="AD430" s="347"/>
      <c r="AE430" s="347"/>
      <c r="AF430" s="201"/>
      <c r="AG430" s="333"/>
    </row>
    <row r="431" spans="1:33">
      <c r="A431" s="318"/>
      <c r="B431" s="318"/>
      <c r="F431" s="203"/>
      <c r="G431" s="347"/>
      <c r="H431" s="347"/>
      <c r="I431" s="347"/>
      <c r="J431" s="347"/>
      <c r="K431" s="347"/>
      <c r="L431" s="347"/>
      <c r="M431" s="347"/>
      <c r="N431" s="347"/>
      <c r="O431" s="347"/>
      <c r="P431" s="347"/>
      <c r="Q431" s="347"/>
      <c r="R431" s="347"/>
      <c r="S431" s="347"/>
      <c r="T431" s="347"/>
      <c r="U431" s="347"/>
      <c r="V431" s="347"/>
      <c r="W431" s="347"/>
      <c r="X431" s="347"/>
      <c r="Y431" s="347"/>
      <c r="Z431" s="347"/>
      <c r="AA431" s="347"/>
      <c r="AB431" s="347"/>
      <c r="AC431" s="347"/>
      <c r="AD431" s="347"/>
      <c r="AE431" s="347"/>
      <c r="AF431" s="201"/>
      <c r="AG431" s="333"/>
    </row>
    <row r="432" spans="1:33">
      <c r="A432" s="87"/>
      <c r="B432" s="318"/>
      <c r="F432" s="340"/>
      <c r="H432" s="201"/>
      <c r="I432" s="201"/>
      <c r="J432" s="201"/>
      <c r="K432" s="201"/>
      <c r="L432" s="201"/>
      <c r="M432" s="201"/>
      <c r="N432" s="201"/>
      <c r="O432" s="201"/>
      <c r="P432" s="201"/>
      <c r="Q432" s="201"/>
      <c r="R432" s="201"/>
      <c r="S432" s="201"/>
      <c r="T432" s="201"/>
      <c r="U432" s="201"/>
      <c r="V432" s="201"/>
      <c r="W432" s="201"/>
      <c r="X432" s="201"/>
      <c r="Y432" s="201"/>
      <c r="Z432" s="201"/>
      <c r="AA432" s="201"/>
      <c r="AB432" s="201"/>
      <c r="AC432" s="201"/>
      <c r="AD432" s="201"/>
      <c r="AE432" s="201"/>
      <c r="AG432" s="333"/>
    </row>
    <row r="433" spans="1:33">
      <c r="A433" s="337" t="s">
        <v>45</v>
      </c>
      <c r="B433" s="318"/>
      <c r="F433" s="340"/>
      <c r="H433" s="201"/>
      <c r="I433" s="201"/>
      <c r="J433" s="201"/>
      <c r="K433" s="201"/>
      <c r="L433" s="201"/>
      <c r="M433" s="201"/>
      <c r="N433" s="201"/>
      <c r="O433" s="201"/>
      <c r="P433" s="201"/>
      <c r="Q433" s="201"/>
      <c r="R433" s="201"/>
      <c r="S433" s="201"/>
      <c r="T433" s="201"/>
      <c r="U433" s="201"/>
      <c r="V433" s="201"/>
      <c r="W433" s="201"/>
      <c r="X433" s="201"/>
      <c r="Y433" s="201"/>
      <c r="Z433" s="201"/>
      <c r="AA433" s="201"/>
      <c r="AB433" s="201"/>
      <c r="AC433" s="201"/>
      <c r="AD433" s="201"/>
      <c r="AE433" s="201"/>
      <c r="AG433" s="333"/>
    </row>
    <row r="434" spans="1:33">
      <c r="A434" s="318"/>
      <c r="B434" s="318"/>
      <c r="F434" s="340"/>
      <c r="H434" s="201"/>
      <c r="I434" s="201"/>
      <c r="J434" s="201"/>
      <c r="K434" s="201"/>
      <c r="L434" s="201"/>
      <c r="M434" s="201"/>
      <c r="N434" s="201"/>
      <c r="O434" s="201"/>
      <c r="P434" s="201"/>
      <c r="Q434" s="201"/>
      <c r="R434" s="201"/>
      <c r="S434" s="201"/>
      <c r="T434" s="201"/>
      <c r="U434" s="201"/>
      <c r="V434" s="201"/>
      <c r="W434" s="201"/>
      <c r="X434" s="201"/>
      <c r="Y434" s="201"/>
      <c r="Z434" s="201"/>
      <c r="AA434" s="201"/>
      <c r="AB434" s="201"/>
      <c r="AC434" s="201"/>
      <c r="AD434" s="201"/>
      <c r="AE434" s="201"/>
      <c r="AG434" s="333"/>
    </row>
    <row r="435" spans="1:33">
      <c r="A435" s="87" t="s">
        <v>108</v>
      </c>
      <c r="B435" s="318"/>
      <c r="F435" s="340"/>
      <c r="H435" s="201"/>
      <c r="I435" s="201"/>
      <c r="J435" s="201"/>
      <c r="K435" s="201"/>
      <c r="L435" s="201"/>
      <c r="M435" s="201"/>
      <c r="N435" s="201"/>
      <c r="O435" s="201"/>
      <c r="P435" s="201"/>
      <c r="Q435" s="201"/>
      <c r="R435" s="201"/>
      <c r="S435" s="201"/>
      <c r="T435" s="201"/>
      <c r="U435" s="201"/>
      <c r="V435" s="201"/>
      <c r="W435" s="201"/>
      <c r="X435" s="201"/>
      <c r="Y435" s="201"/>
      <c r="Z435" s="201"/>
      <c r="AA435" s="201"/>
      <c r="AB435" s="201"/>
      <c r="AC435" s="201"/>
      <c r="AD435" s="201"/>
      <c r="AE435" s="201"/>
      <c r="AG435" s="333"/>
    </row>
    <row r="436" spans="1:33">
      <c r="A436" s="318">
        <v>590</v>
      </c>
      <c r="B436" s="318" t="s">
        <v>1113</v>
      </c>
      <c r="C436" s="165" t="s">
        <v>65</v>
      </c>
      <c r="D436" s="165" t="s">
        <v>694</v>
      </c>
      <c r="F436" s="203">
        <v>72859.97</v>
      </c>
      <c r="H436" s="201">
        <f t="shared" ref="H436:Q444" si="194">IF(VLOOKUP($D436,$C$6:$AE$598,H$2,)=0,0,((VLOOKUP($D436,$C$6:$AE$598,H$2,)/VLOOKUP($D436,$C$6:$AE$598,4,))*$F436))</f>
        <v>0</v>
      </c>
      <c r="I436" s="201">
        <f t="shared" si="194"/>
        <v>0</v>
      </c>
      <c r="J436" s="201">
        <f t="shared" si="194"/>
        <v>0</v>
      </c>
      <c r="K436" s="201">
        <f t="shared" si="194"/>
        <v>0</v>
      </c>
      <c r="L436" s="201">
        <f t="shared" si="194"/>
        <v>0</v>
      </c>
      <c r="M436" s="201">
        <f t="shared" si="194"/>
        <v>0</v>
      </c>
      <c r="N436" s="201">
        <f t="shared" si="194"/>
        <v>0</v>
      </c>
      <c r="O436" s="201">
        <f t="shared" si="194"/>
        <v>0</v>
      </c>
      <c r="P436" s="201">
        <f t="shared" si="194"/>
        <v>0</v>
      </c>
      <c r="Q436" s="201">
        <f t="shared" si="194"/>
        <v>0</v>
      </c>
      <c r="R436" s="201">
        <f t="shared" ref="R436:AE444" si="195">IF(VLOOKUP($D436,$C$6:$AE$598,R$2,)=0,0,((VLOOKUP($D436,$C$6:$AE$598,R$2,)/VLOOKUP($D436,$C$6:$AE$598,4,))*$F436))</f>
        <v>5423.9392667539714</v>
      </c>
      <c r="S436" s="201">
        <f t="shared" si="195"/>
        <v>0</v>
      </c>
      <c r="T436" s="201">
        <f t="shared" si="195"/>
        <v>20162.412739934494</v>
      </c>
      <c r="U436" s="201">
        <f t="shared" si="195"/>
        <v>27909.897265609743</v>
      </c>
      <c r="V436" s="201">
        <f t="shared" si="195"/>
        <v>6720.8042466448314</v>
      </c>
      <c r="W436" s="201">
        <f t="shared" si="195"/>
        <v>9303.2990885365834</v>
      </c>
      <c r="X436" s="201">
        <f t="shared" si="195"/>
        <v>1633.6711275412865</v>
      </c>
      <c r="Y436" s="201">
        <f t="shared" si="195"/>
        <v>1299.3111481163191</v>
      </c>
      <c r="Z436" s="201">
        <f t="shared" si="195"/>
        <v>40.005949084867154</v>
      </c>
      <c r="AA436" s="201">
        <f t="shared" si="195"/>
        <v>53.909468609026192</v>
      </c>
      <c r="AB436" s="201">
        <f t="shared" si="195"/>
        <v>312.71969916888202</v>
      </c>
      <c r="AC436" s="201">
        <f t="shared" si="195"/>
        <v>0</v>
      </c>
      <c r="AD436" s="201">
        <f t="shared" si="195"/>
        <v>0</v>
      </c>
      <c r="AE436" s="201">
        <f t="shared" si="195"/>
        <v>0</v>
      </c>
      <c r="AF436" s="201">
        <f t="shared" ref="AF436:AF444" si="196">SUM(H436:AE436)</f>
        <v>72859.97</v>
      </c>
      <c r="AG436" s="333" t="str">
        <f t="shared" ref="AG436:AG444" si="197">IF(ABS(AF436-F436)&lt;1,"ok","err")</f>
        <v>ok</v>
      </c>
    </row>
    <row r="437" spans="1:33">
      <c r="A437" s="318">
        <v>591</v>
      </c>
      <c r="B437" s="318" t="s">
        <v>239</v>
      </c>
      <c r="C437" s="165" t="s">
        <v>634</v>
      </c>
      <c r="D437" s="165" t="s">
        <v>1043</v>
      </c>
      <c r="F437" s="340">
        <v>1047.46</v>
      </c>
      <c r="H437" s="201">
        <f t="shared" si="194"/>
        <v>0</v>
      </c>
      <c r="I437" s="201">
        <f t="shared" si="194"/>
        <v>0</v>
      </c>
      <c r="J437" s="201">
        <f t="shared" si="194"/>
        <v>0</v>
      </c>
      <c r="K437" s="201">
        <f t="shared" si="194"/>
        <v>0</v>
      </c>
      <c r="L437" s="201">
        <f t="shared" si="194"/>
        <v>0</v>
      </c>
      <c r="M437" s="201">
        <f t="shared" si="194"/>
        <v>0</v>
      </c>
      <c r="N437" s="201">
        <f t="shared" si="194"/>
        <v>0</v>
      </c>
      <c r="O437" s="201">
        <f t="shared" si="194"/>
        <v>0</v>
      </c>
      <c r="P437" s="201">
        <f t="shared" si="194"/>
        <v>0</v>
      </c>
      <c r="Q437" s="201">
        <f t="shared" si="194"/>
        <v>0</v>
      </c>
      <c r="R437" s="201">
        <f t="shared" si="195"/>
        <v>1047.46</v>
      </c>
      <c r="S437" s="201">
        <f t="shared" si="195"/>
        <v>0</v>
      </c>
      <c r="T437" s="201">
        <f t="shared" si="195"/>
        <v>0</v>
      </c>
      <c r="U437" s="201">
        <f t="shared" si="195"/>
        <v>0</v>
      </c>
      <c r="V437" s="201">
        <f t="shared" si="195"/>
        <v>0</v>
      </c>
      <c r="W437" s="201">
        <f t="shared" si="195"/>
        <v>0</v>
      </c>
      <c r="X437" s="201">
        <f t="shared" si="195"/>
        <v>0</v>
      </c>
      <c r="Y437" s="201">
        <f t="shared" si="195"/>
        <v>0</v>
      </c>
      <c r="Z437" s="201">
        <f t="shared" si="195"/>
        <v>0</v>
      </c>
      <c r="AA437" s="201">
        <f t="shared" si="195"/>
        <v>0</v>
      </c>
      <c r="AB437" s="201">
        <f t="shared" si="195"/>
        <v>0</v>
      </c>
      <c r="AC437" s="201">
        <f t="shared" si="195"/>
        <v>0</v>
      </c>
      <c r="AD437" s="201">
        <f t="shared" si="195"/>
        <v>0</v>
      </c>
      <c r="AE437" s="201">
        <f t="shared" si="195"/>
        <v>0</v>
      </c>
      <c r="AF437" s="201">
        <f>SUM(H437:AE437)</f>
        <v>1047.46</v>
      </c>
      <c r="AG437" s="333" t="str">
        <f t="shared" si="197"/>
        <v>ok</v>
      </c>
    </row>
    <row r="438" spans="1:33">
      <c r="A438" s="318">
        <v>592</v>
      </c>
      <c r="B438" s="318" t="s">
        <v>1115</v>
      </c>
      <c r="C438" s="165" t="s">
        <v>66</v>
      </c>
      <c r="D438" s="165" t="s">
        <v>1043</v>
      </c>
      <c r="F438" s="340">
        <v>198076.35</v>
      </c>
      <c r="H438" s="201">
        <f t="shared" si="194"/>
        <v>0</v>
      </c>
      <c r="I438" s="201">
        <f t="shared" si="194"/>
        <v>0</v>
      </c>
      <c r="J438" s="201">
        <f t="shared" si="194"/>
        <v>0</v>
      </c>
      <c r="K438" s="201">
        <f t="shared" si="194"/>
        <v>0</v>
      </c>
      <c r="L438" s="201">
        <f t="shared" si="194"/>
        <v>0</v>
      </c>
      <c r="M438" s="201">
        <f t="shared" si="194"/>
        <v>0</v>
      </c>
      <c r="N438" s="201">
        <f t="shared" si="194"/>
        <v>0</v>
      </c>
      <c r="O438" s="201">
        <f t="shared" si="194"/>
        <v>0</v>
      </c>
      <c r="P438" s="201">
        <f t="shared" si="194"/>
        <v>0</v>
      </c>
      <c r="Q438" s="201">
        <f t="shared" si="194"/>
        <v>0</v>
      </c>
      <c r="R438" s="201">
        <f t="shared" si="195"/>
        <v>198076.35</v>
      </c>
      <c r="S438" s="201">
        <f t="shared" si="195"/>
        <v>0</v>
      </c>
      <c r="T438" s="201">
        <f t="shared" si="195"/>
        <v>0</v>
      </c>
      <c r="U438" s="201">
        <f t="shared" si="195"/>
        <v>0</v>
      </c>
      <c r="V438" s="201">
        <f t="shared" si="195"/>
        <v>0</v>
      </c>
      <c r="W438" s="201">
        <f t="shared" si="195"/>
        <v>0</v>
      </c>
      <c r="X438" s="201">
        <f t="shared" si="195"/>
        <v>0</v>
      </c>
      <c r="Y438" s="201">
        <f t="shared" si="195"/>
        <v>0</v>
      </c>
      <c r="Z438" s="201">
        <f t="shared" si="195"/>
        <v>0</v>
      </c>
      <c r="AA438" s="201">
        <f t="shared" si="195"/>
        <v>0</v>
      </c>
      <c r="AB438" s="201">
        <f t="shared" si="195"/>
        <v>0</v>
      </c>
      <c r="AC438" s="201">
        <f t="shared" si="195"/>
        <v>0</v>
      </c>
      <c r="AD438" s="201">
        <f t="shared" si="195"/>
        <v>0</v>
      </c>
      <c r="AE438" s="201">
        <f t="shared" si="195"/>
        <v>0</v>
      </c>
      <c r="AF438" s="201">
        <f t="shared" si="196"/>
        <v>198076.35</v>
      </c>
      <c r="AG438" s="333" t="str">
        <f t="shared" si="197"/>
        <v>ok</v>
      </c>
    </row>
    <row r="439" spans="1:33">
      <c r="A439" s="318">
        <v>593</v>
      </c>
      <c r="B439" s="318" t="s">
        <v>1117</v>
      </c>
      <c r="C439" s="165" t="s">
        <v>67</v>
      </c>
      <c r="D439" s="165" t="s">
        <v>1046</v>
      </c>
      <c r="F439" s="340">
        <v>1992241.22</v>
      </c>
      <c r="H439" s="201">
        <f t="shared" si="194"/>
        <v>0</v>
      </c>
      <c r="I439" s="201">
        <f t="shared" si="194"/>
        <v>0</v>
      </c>
      <c r="J439" s="201">
        <f t="shared" si="194"/>
        <v>0</v>
      </c>
      <c r="K439" s="201">
        <f t="shared" si="194"/>
        <v>0</v>
      </c>
      <c r="L439" s="201">
        <f t="shared" si="194"/>
        <v>0</v>
      </c>
      <c r="M439" s="201">
        <f t="shared" si="194"/>
        <v>0</v>
      </c>
      <c r="N439" s="201">
        <f t="shared" si="194"/>
        <v>0</v>
      </c>
      <c r="O439" s="201">
        <f t="shared" si="194"/>
        <v>0</v>
      </c>
      <c r="P439" s="201">
        <f t="shared" si="194"/>
        <v>0</v>
      </c>
      <c r="Q439" s="201">
        <f t="shared" si="194"/>
        <v>0</v>
      </c>
      <c r="R439" s="201">
        <f t="shared" si="195"/>
        <v>0</v>
      </c>
      <c r="S439" s="201">
        <f t="shared" si="195"/>
        <v>0</v>
      </c>
      <c r="T439" s="201">
        <f t="shared" si="195"/>
        <v>678806.38968449994</v>
      </c>
      <c r="U439" s="201">
        <f t="shared" si="195"/>
        <v>815374.52531549986</v>
      </c>
      <c r="V439" s="201">
        <f t="shared" si="195"/>
        <v>226268.7965615</v>
      </c>
      <c r="W439" s="201">
        <f t="shared" si="195"/>
        <v>271791.50843849999</v>
      </c>
      <c r="X439" s="201">
        <f t="shared" si="195"/>
        <v>0</v>
      </c>
      <c r="Y439" s="201">
        <f t="shared" si="195"/>
        <v>0</v>
      </c>
      <c r="Z439" s="201">
        <f t="shared" si="195"/>
        <v>0</v>
      </c>
      <c r="AA439" s="201">
        <f t="shared" si="195"/>
        <v>0</v>
      </c>
      <c r="AB439" s="201">
        <f t="shared" si="195"/>
        <v>0</v>
      </c>
      <c r="AC439" s="201">
        <f t="shared" si="195"/>
        <v>0</v>
      </c>
      <c r="AD439" s="201">
        <f t="shared" si="195"/>
        <v>0</v>
      </c>
      <c r="AE439" s="201">
        <f t="shared" si="195"/>
        <v>0</v>
      </c>
      <c r="AF439" s="201">
        <f t="shared" si="196"/>
        <v>1992241.2199999997</v>
      </c>
      <c r="AG439" s="333" t="str">
        <f t="shared" si="197"/>
        <v>ok</v>
      </c>
    </row>
    <row r="440" spans="1:33">
      <c r="A440" s="318">
        <v>594</v>
      </c>
      <c r="B440" s="318" t="s">
        <v>1119</v>
      </c>
      <c r="C440" s="165" t="s">
        <v>68</v>
      </c>
      <c r="D440" s="165" t="s">
        <v>1049</v>
      </c>
      <c r="F440" s="340">
        <v>397832.94</v>
      </c>
      <c r="H440" s="201">
        <f t="shared" si="194"/>
        <v>0</v>
      </c>
      <c r="I440" s="201">
        <f t="shared" si="194"/>
        <v>0</v>
      </c>
      <c r="J440" s="201">
        <f t="shared" si="194"/>
        <v>0</v>
      </c>
      <c r="K440" s="201">
        <f t="shared" si="194"/>
        <v>0</v>
      </c>
      <c r="L440" s="201">
        <f t="shared" si="194"/>
        <v>0</v>
      </c>
      <c r="M440" s="201">
        <f t="shared" si="194"/>
        <v>0</v>
      </c>
      <c r="N440" s="201">
        <f t="shared" si="194"/>
        <v>0</v>
      </c>
      <c r="O440" s="201">
        <f t="shared" si="194"/>
        <v>0</v>
      </c>
      <c r="P440" s="201">
        <f t="shared" si="194"/>
        <v>0</v>
      </c>
      <c r="Q440" s="201">
        <f t="shared" si="194"/>
        <v>0</v>
      </c>
      <c r="R440" s="201">
        <f t="shared" si="195"/>
        <v>0</v>
      </c>
      <c r="S440" s="201">
        <f t="shared" si="195"/>
        <v>0</v>
      </c>
      <c r="T440" s="201">
        <f t="shared" si="195"/>
        <v>73967.089369499998</v>
      </c>
      <c r="U440" s="201">
        <f t="shared" si="195"/>
        <v>224407.61563049999</v>
      </c>
      <c r="V440" s="201">
        <f t="shared" si="195"/>
        <v>24655.696456500002</v>
      </c>
      <c r="W440" s="201">
        <f t="shared" si="195"/>
        <v>74802.538543500006</v>
      </c>
      <c r="X440" s="201">
        <f t="shared" si="195"/>
        <v>0</v>
      </c>
      <c r="Y440" s="201">
        <f t="shared" si="195"/>
        <v>0</v>
      </c>
      <c r="Z440" s="201">
        <f t="shared" si="195"/>
        <v>0</v>
      </c>
      <c r="AA440" s="201">
        <f t="shared" si="195"/>
        <v>0</v>
      </c>
      <c r="AB440" s="201">
        <f t="shared" si="195"/>
        <v>0</v>
      </c>
      <c r="AC440" s="201">
        <f t="shared" si="195"/>
        <v>0</v>
      </c>
      <c r="AD440" s="201">
        <f t="shared" si="195"/>
        <v>0</v>
      </c>
      <c r="AE440" s="201">
        <f t="shared" si="195"/>
        <v>0</v>
      </c>
      <c r="AF440" s="201">
        <f t="shared" si="196"/>
        <v>397832.93999999994</v>
      </c>
      <c r="AG440" s="333" t="str">
        <f t="shared" si="197"/>
        <v>ok</v>
      </c>
    </row>
    <row r="441" spans="1:33">
      <c r="A441" s="318">
        <v>595</v>
      </c>
      <c r="B441" s="318" t="s">
        <v>1121</v>
      </c>
      <c r="C441" s="165" t="s">
        <v>69</v>
      </c>
      <c r="D441" s="165" t="s">
        <v>1050</v>
      </c>
      <c r="F441" s="340">
        <v>103346.5</v>
      </c>
      <c r="H441" s="201">
        <f t="shared" si="194"/>
        <v>0</v>
      </c>
      <c r="I441" s="201">
        <f t="shared" si="194"/>
        <v>0</v>
      </c>
      <c r="J441" s="201">
        <f t="shared" si="194"/>
        <v>0</v>
      </c>
      <c r="K441" s="201">
        <f t="shared" si="194"/>
        <v>0</v>
      </c>
      <c r="L441" s="201">
        <f t="shared" si="194"/>
        <v>0</v>
      </c>
      <c r="M441" s="201">
        <f t="shared" si="194"/>
        <v>0</v>
      </c>
      <c r="N441" s="201">
        <f t="shared" si="194"/>
        <v>0</v>
      </c>
      <c r="O441" s="201">
        <f t="shared" si="194"/>
        <v>0</v>
      </c>
      <c r="P441" s="201">
        <f t="shared" si="194"/>
        <v>0</v>
      </c>
      <c r="Q441" s="201">
        <f t="shared" si="194"/>
        <v>0</v>
      </c>
      <c r="R441" s="201">
        <f t="shared" si="195"/>
        <v>0</v>
      </c>
      <c r="S441" s="201">
        <f t="shared" si="195"/>
        <v>0</v>
      </c>
      <c r="T441" s="201">
        <f t="shared" si="195"/>
        <v>0</v>
      </c>
      <c r="U441" s="201">
        <f t="shared" si="195"/>
        <v>0</v>
      </c>
      <c r="V441" s="201">
        <f t="shared" si="195"/>
        <v>0</v>
      </c>
      <c r="W441" s="201">
        <f t="shared" si="195"/>
        <v>0</v>
      </c>
      <c r="X441" s="201">
        <f t="shared" si="195"/>
        <v>57564.000500000002</v>
      </c>
      <c r="Y441" s="201">
        <f t="shared" si="195"/>
        <v>45782.499499999998</v>
      </c>
      <c r="Z441" s="201">
        <f t="shared" si="195"/>
        <v>0</v>
      </c>
      <c r="AA441" s="201">
        <f t="shared" si="195"/>
        <v>0</v>
      </c>
      <c r="AB441" s="201">
        <f t="shared" si="195"/>
        <v>0</v>
      </c>
      <c r="AC441" s="201">
        <f t="shared" si="195"/>
        <v>0</v>
      </c>
      <c r="AD441" s="201">
        <f t="shared" si="195"/>
        <v>0</v>
      </c>
      <c r="AE441" s="201">
        <f t="shared" si="195"/>
        <v>0</v>
      </c>
      <c r="AF441" s="201">
        <f t="shared" si="196"/>
        <v>103346.5</v>
      </c>
      <c r="AG441" s="333" t="str">
        <f t="shared" si="197"/>
        <v>ok</v>
      </c>
    </row>
    <row r="442" spans="1:33">
      <c r="A442" s="318">
        <v>596</v>
      </c>
      <c r="B442" s="318" t="s">
        <v>1257</v>
      </c>
      <c r="C442" s="165" t="s">
        <v>70</v>
      </c>
      <c r="D442" s="165" t="s">
        <v>1057</v>
      </c>
      <c r="F442" s="340">
        <v>7334.12</v>
      </c>
      <c r="H442" s="201">
        <f t="shared" si="194"/>
        <v>0</v>
      </c>
      <c r="I442" s="201">
        <f t="shared" si="194"/>
        <v>0</v>
      </c>
      <c r="J442" s="201">
        <f t="shared" si="194"/>
        <v>0</v>
      </c>
      <c r="K442" s="201">
        <f t="shared" si="194"/>
        <v>0</v>
      </c>
      <c r="L442" s="201">
        <f t="shared" si="194"/>
        <v>0</v>
      </c>
      <c r="M442" s="201">
        <f t="shared" si="194"/>
        <v>0</v>
      </c>
      <c r="N442" s="201">
        <f t="shared" si="194"/>
        <v>0</v>
      </c>
      <c r="O442" s="201">
        <f t="shared" si="194"/>
        <v>0</v>
      </c>
      <c r="P442" s="201">
        <f t="shared" si="194"/>
        <v>0</v>
      </c>
      <c r="Q442" s="201">
        <f t="shared" si="194"/>
        <v>0</v>
      </c>
      <c r="R442" s="201">
        <f t="shared" si="195"/>
        <v>0</v>
      </c>
      <c r="S442" s="201">
        <f t="shared" si="195"/>
        <v>0</v>
      </c>
      <c r="T442" s="201">
        <f t="shared" si="195"/>
        <v>0</v>
      </c>
      <c r="U442" s="201">
        <f t="shared" si="195"/>
        <v>0</v>
      </c>
      <c r="V442" s="201">
        <f t="shared" si="195"/>
        <v>0</v>
      </c>
      <c r="W442" s="201">
        <f t="shared" si="195"/>
        <v>0</v>
      </c>
      <c r="X442" s="201">
        <f t="shared" si="195"/>
        <v>0</v>
      </c>
      <c r="Y442" s="201">
        <f t="shared" si="195"/>
        <v>0</v>
      </c>
      <c r="Z442" s="201">
        <f t="shared" si="195"/>
        <v>0</v>
      </c>
      <c r="AA442" s="201">
        <f t="shared" si="195"/>
        <v>0</v>
      </c>
      <c r="AB442" s="201">
        <f t="shared" si="195"/>
        <v>7334.12</v>
      </c>
      <c r="AC442" s="201">
        <f t="shared" si="195"/>
        <v>0</v>
      </c>
      <c r="AD442" s="201">
        <f t="shared" si="195"/>
        <v>0</v>
      </c>
      <c r="AE442" s="201">
        <f t="shared" si="195"/>
        <v>0</v>
      </c>
      <c r="AF442" s="201">
        <f t="shared" si="196"/>
        <v>7334.12</v>
      </c>
      <c r="AG442" s="333" t="str">
        <f t="shared" si="197"/>
        <v>ok</v>
      </c>
    </row>
    <row r="443" spans="1:33">
      <c r="A443" s="318">
        <v>597</v>
      </c>
      <c r="B443" s="318" t="s">
        <v>1123</v>
      </c>
      <c r="C443" s="165" t="s">
        <v>71</v>
      </c>
      <c r="D443" s="165" t="s">
        <v>1054</v>
      </c>
      <c r="F443" s="340">
        <v>0</v>
      </c>
      <c r="H443" s="201">
        <f t="shared" si="194"/>
        <v>0</v>
      </c>
      <c r="I443" s="201">
        <f t="shared" si="194"/>
        <v>0</v>
      </c>
      <c r="J443" s="201">
        <f t="shared" si="194"/>
        <v>0</v>
      </c>
      <c r="K443" s="201">
        <f t="shared" si="194"/>
        <v>0</v>
      </c>
      <c r="L443" s="201">
        <f t="shared" si="194"/>
        <v>0</v>
      </c>
      <c r="M443" s="201">
        <f t="shared" si="194"/>
        <v>0</v>
      </c>
      <c r="N443" s="201">
        <f t="shared" si="194"/>
        <v>0</v>
      </c>
      <c r="O443" s="201">
        <f t="shared" si="194"/>
        <v>0</v>
      </c>
      <c r="P443" s="201">
        <f t="shared" si="194"/>
        <v>0</v>
      </c>
      <c r="Q443" s="201">
        <f t="shared" si="194"/>
        <v>0</v>
      </c>
      <c r="R443" s="201">
        <f t="shared" si="195"/>
        <v>0</v>
      </c>
      <c r="S443" s="201">
        <f t="shared" si="195"/>
        <v>0</v>
      </c>
      <c r="T443" s="201">
        <f t="shared" si="195"/>
        <v>0</v>
      </c>
      <c r="U443" s="201">
        <f t="shared" si="195"/>
        <v>0</v>
      </c>
      <c r="V443" s="201">
        <f t="shared" si="195"/>
        <v>0</v>
      </c>
      <c r="W443" s="201">
        <f t="shared" si="195"/>
        <v>0</v>
      </c>
      <c r="X443" s="201">
        <f t="shared" si="195"/>
        <v>0</v>
      </c>
      <c r="Y443" s="201">
        <f t="shared" si="195"/>
        <v>0</v>
      </c>
      <c r="Z443" s="201">
        <f t="shared" si="195"/>
        <v>0</v>
      </c>
      <c r="AA443" s="201">
        <f t="shared" si="195"/>
        <v>0</v>
      </c>
      <c r="AB443" s="201">
        <f t="shared" si="195"/>
        <v>0</v>
      </c>
      <c r="AC443" s="201">
        <f t="shared" si="195"/>
        <v>0</v>
      </c>
      <c r="AD443" s="201">
        <f t="shared" si="195"/>
        <v>0</v>
      </c>
      <c r="AE443" s="201">
        <f t="shared" si="195"/>
        <v>0</v>
      </c>
      <c r="AF443" s="201">
        <f t="shared" si="196"/>
        <v>0</v>
      </c>
      <c r="AG443" s="333" t="str">
        <f t="shared" si="197"/>
        <v>ok</v>
      </c>
    </row>
    <row r="444" spans="1:33">
      <c r="A444" s="318">
        <v>598</v>
      </c>
      <c r="B444" s="318" t="s">
        <v>1261</v>
      </c>
      <c r="C444" s="165" t="s">
        <v>72</v>
      </c>
      <c r="D444" s="165" t="s">
        <v>1039</v>
      </c>
      <c r="F444" s="340">
        <v>52505.61</v>
      </c>
      <c r="H444" s="201">
        <f t="shared" si="194"/>
        <v>0</v>
      </c>
      <c r="I444" s="201">
        <f t="shared" si="194"/>
        <v>0</v>
      </c>
      <c r="J444" s="201">
        <f t="shared" si="194"/>
        <v>0</v>
      </c>
      <c r="K444" s="201">
        <f t="shared" si="194"/>
        <v>0</v>
      </c>
      <c r="L444" s="201">
        <f t="shared" si="194"/>
        <v>0</v>
      </c>
      <c r="M444" s="201">
        <f t="shared" si="194"/>
        <v>0</v>
      </c>
      <c r="N444" s="201">
        <f t="shared" si="194"/>
        <v>0</v>
      </c>
      <c r="O444" s="201">
        <f t="shared" si="194"/>
        <v>0</v>
      </c>
      <c r="P444" s="201">
        <f t="shared" si="194"/>
        <v>0</v>
      </c>
      <c r="Q444" s="201">
        <f t="shared" si="194"/>
        <v>0</v>
      </c>
      <c r="R444" s="201">
        <f t="shared" si="195"/>
        <v>5772.8532785220032</v>
      </c>
      <c r="S444" s="201">
        <f t="shared" si="195"/>
        <v>0</v>
      </c>
      <c r="T444" s="201">
        <f t="shared" si="195"/>
        <v>8889.0121503527353</v>
      </c>
      <c r="U444" s="201">
        <f t="shared" si="195"/>
        <v>14552.087540334329</v>
      </c>
      <c r="V444" s="201">
        <f t="shared" si="195"/>
        <v>2963.0040501175781</v>
      </c>
      <c r="W444" s="201">
        <f t="shared" si="195"/>
        <v>4850.6958467781096</v>
      </c>
      <c r="X444" s="201">
        <f t="shared" si="195"/>
        <v>4150.1423886234907</v>
      </c>
      <c r="Y444" s="201">
        <f t="shared" si="195"/>
        <v>3300.7416124958822</v>
      </c>
      <c r="Z444" s="201">
        <f t="shared" si="195"/>
        <v>1511.278994037368</v>
      </c>
      <c r="AA444" s="201">
        <f t="shared" si="195"/>
        <v>2036.5033039387699</v>
      </c>
      <c r="AB444" s="201">
        <f t="shared" si="195"/>
        <v>4479.2908347997372</v>
      </c>
      <c r="AC444" s="201">
        <f t="shared" si="195"/>
        <v>0</v>
      </c>
      <c r="AD444" s="201">
        <f t="shared" si="195"/>
        <v>0</v>
      </c>
      <c r="AE444" s="201">
        <f t="shared" si="195"/>
        <v>0</v>
      </c>
      <c r="AF444" s="201">
        <f t="shared" si="196"/>
        <v>52505.610000000008</v>
      </c>
      <c r="AG444" s="333" t="str">
        <f t="shared" si="197"/>
        <v>ok</v>
      </c>
    </row>
    <row r="445" spans="1:33">
      <c r="A445" s="318"/>
      <c r="B445" s="318"/>
      <c r="F445" s="340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  <c r="AA445" s="201"/>
      <c r="AB445" s="201"/>
      <c r="AC445" s="201"/>
      <c r="AD445" s="201"/>
      <c r="AE445" s="201"/>
      <c r="AF445" s="201"/>
      <c r="AG445" s="333"/>
    </row>
    <row r="446" spans="1:33">
      <c r="A446" s="318" t="s">
        <v>109</v>
      </c>
      <c r="B446" s="318"/>
      <c r="C446" s="165" t="s">
        <v>73</v>
      </c>
      <c r="F446" s="203">
        <f t="shared" ref="F446:M446" si="198">SUM(F436:F445)</f>
        <v>2825244.17</v>
      </c>
      <c r="G446" s="347">
        <f t="shared" si="198"/>
        <v>0</v>
      </c>
      <c r="H446" s="347">
        <f t="shared" si="198"/>
        <v>0</v>
      </c>
      <c r="I446" s="347">
        <f t="shared" si="198"/>
        <v>0</v>
      </c>
      <c r="J446" s="347">
        <f t="shared" si="198"/>
        <v>0</v>
      </c>
      <c r="K446" s="347">
        <f t="shared" si="198"/>
        <v>0</v>
      </c>
      <c r="L446" s="347">
        <f t="shared" si="198"/>
        <v>0</v>
      </c>
      <c r="M446" s="347">
        <f t="shared" si="198"/>
        <v>0</v>
      </c>
      <c r="N446" s="347">
        <f>SUM(N436:N445)</f>
        <v>0</v>
      </c>
      <c r="O446" s="347">
        <f>SUM(O436:O445)</f>
        <v>0</v>
      </c>
      <c r="P446" s="347">
        <f>SUM(P436:P445)</f>
        <v>0</v>
      </c>
      <c r="Q446" s="347">
        <f t="shared" ref="Q446:AB446" si="199">SUM(Q436:Q445)</f>
        <v>0</v>
      </c>
      <c r="R446" s="347">
        <f t="shared" si="199"/>
        <v>210320.60254527596</v>
      </c>
      <c r="S446" s="347">
        <f t="shared" si="199"/>
        <v>0</v>
      </c>
      <c r="T446" s="347">
        <f t="shared" si="199"/>
        <v>781824.9039442871</v>
      </c>
      <c r="U446" s="347">
        <f t="shared" si="199"/>
        <v>1082244.1257519438</v>
      </c>
      <c r="V446" s="347">
        <f t="shared" si="199"/>
        <v>260608.30131476242</v>
      </c>
      <c r="W446" s="347">
        <f t="shared" si="199"/>
        <v>360748.04191731469</v>
      </c>
      <c r="X446" s="347">
        <f t="shared" si="199"/>
        <v>63347.814016164783</v>
      </c>
      <c r="Y446" s="347">
        <f t="shared" si="199"/>
        <v>50382.552260612203</v>
      </c>
      <c r="Z446" s="347">
        <f t="shared" si="199"/>
        <v>1551.2849431222351</v>
      </c>
      <c r="AA446" s="347">
        <f t="shared" si="199"/>
        <v>2090.4127725477961</v>
      </c>
      <c r="AB446" s="347">
        <f t="shared" si="199"/>
        <v>12126.130533968619</v>
      </c>
      <c r="AC446" s="347">
        <f>SUM(AC436:AC445)</f>
        <v>0</v>
      </c>
      <c r="AD446" s="347">
        <f>SUM(AD436:AD445)</f>
        <v>0</v>
      </c>
      <c r="AE446" s="347">
        <f>SUM(AE436:AE445)</f>
        <v>0</v>
      </c>
      <c r="AF446" s="201">
        <f>SUM(H446:AE446)</f>
        <v>2825244.17</v>
      </c>
      <c r="AG446" s="333" t="str">
        <f>IF(ABS(AF446-F446)&lt;1,"ok","err")</f>
        <v>ok</v>
      </c>
    </row>
    <row r="447" spans="1:33">
      <c r="A447" s="318"/>
      <c r="B447" s="318"/>
      <c r="F447" s="340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  <c r="AA447" s="201"/>
      <c r="AB447" s="201"/>
      <c r="AC447" s="201"/>
      <c r="AD447" s="201"/>
      <c r="AE447" s="201"/>
      <c r="AG447" s="333"/>
    </row>
    <row r="448" spans="1:33">
      <c r="A448" s="318" t="s">
        <v>110</v>
      </c>
      <c r="B448" s="318"/>
      <c r="D448" s="165" t="s">
        <v>1039</v>
      </c>
      <c r="F448" s="203">
        <f>F446+F427</f>
        <v>10349471.17</v>
      </c>
      <c r="G448" s="201">
        <f>G427+G446</f>
        <v>0</v>
      </c>
      <c r="H448" s="201">
        <f t="shared" ref="H448:M448" si="200">H446+H427</f>
        <v>0</v>
      </c>
      <c r="I448" s="201">
        <f t="shared" si="200"/>
        <v>0</v>
      </c>
      <c r="J448" s="201">
        <f t="shared" si="200"/>
        <v>0</v>
      </c>
      <c r="K448" s="201">
        <f t="shared" si="200"/>
        <v>0</v>
      </c>
      <c r="L448" s="201">
        <f t="shared" si="200"/>
        <v>0</v>
      </c>
      <c r="M448" s="201">
        <f t="shared" si="200"/>
        <v>0</v>
      </c>
      <c r="N448" s="201">
        <f>N446+N427</f>
        <v>0</v>
      </c>
      <c r="O448" s="201">
        <f>O446+O427</f>
        <v>0</v>
      </c>
      <c r="P448" s="201">
        <f>P446+P427</f>
        <v>0</v>
      </c>
      <c r="Q448" s="201">
        <f t="shared" ref="Q448:AB448" si="201">Q446+Q427</f>
        <v>0</v>
      </c>
      <c r="R448" s="201">
        <f t="shared" si="201"/>
        <v>1247501.6643942972</v>
      </c>
      <c r="S448" s="201">
        <f t="shared" si="201"/>
        <v>0</v>
      </c>
      <c r="T448" s="201">
        <f t="shared" si="201"/>
        <v>1830774.4948595818</v>
      </c>
      <c r="U448" s="201">
        <f t="shared" si="201"/>
        <v>2493491.9990074476</v>
      </c>
      <c r="V448" s="201">
        <f t="shared" si="201"/>
        <v>610258.16495319386</v>
      </c>
      <c r="W448" s="201">
        <f t="shared" si="201"/>
        <v>831163.99966914929</v>
      </c>
      <c r="X448" s="201">
        <f t="shared" si="201"/>
        <v>161934.8044132441</v>
      </c>
      <c r="Y448" s="201">
        <f t="shared" si="201"/>
        <v>128791.95395882789</v>
      </c>
      <c r="Z448" s="201">
        <f t="shared" si="201"/>
        <v>37451.847796313188</v>
      </c>
      <c r="AA448" s="201">
        <f t="shared" si="201"/>
        <v>2889570.1702884873</v>
      </c>
      <c r="AB448" s="201">
        <f t="shared" si="201"/>
        <v>118532.07065945808</v>
      </c>
      <c r="AC448" s="201">
        <f>AC446+AC427</f>
        <v>0</v>
      </c>
      <c r="AD448" s="201">
        <f>AD446+AD427</f>
        <v>0</v>
      </c>
      <c r="AE448" s="201">
        <f>AE446+AE427</f>
        <v>0</v>
      </c>
      <c r="AF448" s="201">
        <f>SUM(H448:AE448)</f>
        <v>10349471.170000002</v>
      </c>
      <c r="AG448" s="333" t="str">
        <f>IF(ABS(AF448-F448)&lt;1,"ok","err")</f>
        <v>ok</v>
      </c>
    </row>
    <row r="449" spans="1:33">
      <c r="A449" s="318"/>
      <c r="B449" s="318"/>
      <c r="F449" s="340"/>
      <c r="G449" s="201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  <c r="Z449" s="201"/>
      <c r="AA449" s="201"/>
      <c r="AB449" s="201"/>
      <c r="AC449" s="201"/>
      <c r="AD449" s="201"/>
      <c r="AE449" s="201"/>
      <c r="AG449" s="333"/>
    </row>
    <row r="450" spans="1:33">
      <c r="A450" s="318" t="s">
        <v>111</v>
      </c>
      <c r="B450" s="318"/>
      <c r="F450" s="203">
        <f t="shared" ref="F450:M450" si="202">F448+F412</f>
        <v>13417097.199999999</v>
      </c>
      <c r="G450" s="201">
        <f t="shared" si="202"/>
        <v>0</v>
      </c>
      <c r="H450" s="201">
        <f t="shared" si="202"/>
        <v>0</v>
      </c>
      <c r="I450" s="201">
        <f t="shared" si="202"/>
        <v>0</v>
      </c>
      <c r="J450" s="201">
        <f t="shared" si="202"/>
        <v>0</v>
      </c>
      <c r="K450" s="201">
        <f t="shared" si="202"/>
        <v>0</v>
      </c>
      <c r="L450" s="201">
        <f t="shared" si="202"/>
        <v>0</v>
      </c>
      <c r="M450" s="201">
        <f t="shared" si="202"/>
        <v>0</v>
      </c>
      <c r="N450" s="201">
        <f>N448+N412</f>
        <v>1053872.1159902308</v>
      </c>
      <c r="O450" s="201">
        <f>O448+O412</f>
        <v>993461.79365897388</v>
      </c>
      <c r="P450" s="201">
        <f>P448+P412</f>
        <v>1020292.1203507953</v>
      </c>
      <c r="Q450" s="201">
        <f t="shared" ref="Q450:AB450" si="203">Q448+Q412</f>
        <v>0</v>
      </c>
      <c r="R450" s="201">
        <f t="shared" si="203"/>
        <v>1247501.6643942972</v>
      </c>
      <c r="S450" s="201">
        <f t="shared" si="203"/>
        <v>0</v>
      </c>
      <c r="T450" s="201">
        <f t="shared" si="203"/>
        <v>1830774.4948595818</v>
      </c>
      <c r="U450" s="201">
        <f t="shared" si="203"/>
        <v>2493491.9990074476</v>
      </c>
      <c r="V450" s="201">
        <f t="shared" si="203"/>
        <v>610258.16495319386</v>
      </c>
      <c r="W450" s="201">
        <f t="shared" si="203"/>
        <v>831163.99966914929</v>
      </c>
      <c r="X450" s="201">
        <f t="shared" si="203"/>
        <v>161934.8044132441</v>
      </c>
      <c r="Y450" s="201">
        <f t="shared" si="203"/>
        <v>128791.95395882789</v>
      </c>
      <c r="Z450" s="201">
        <f t="shared" si="203"/>
        <v>37451.847796313188</v>
      </c>
      <c r="AA450" s="201">
        <f t="shared" si="203"/>
        <v>2889570.1702884873</v>
      </c>
      <c r="AB450" s="201">
        <f t="shared" si="203"/>
        <v>118532.07065945808</v>
      </c>
      <c r="AC450" s="201">
        <f>AC448+AC412</f>
        <v>0</v>
      </c>
      <c r="AD450" s="201">
        <f>AD448+AD412</f>
        <v>0</v>
      </c>
      <c r="AE450" s="201">
        <f>AE448+AE412</f>
        <v>0</v>
      </c>
      <c r="AF450" s="201">
        <f>SUM(H450:AE450)</f>
        <v>13417097.200000003</v>
      </c>
      <c r="AG450" s="333" t="str">
        <f>IF(ABS(AF450-F450)&lt;1,"ok","err")</f>
        <v>ok</v>
      </c>
    </row>
    <row r="451" spans="1:33">
      <c r="A451" s="318"/>
      <c r="B451" s="318"/>
      <c r="F451" s="340"/>
      <c r="G451" s="201"/>
      <c r="H451" s="201"/>
      <c r="I451" s="201"/>
      <c r="J451" s="201"/>
      <c r="K451" s="201"/>
      <c r="L451" s="201"/>
      <c r="M451" s="201"/>
      <c r="N451" s="201"/>
      <c r="O451" s="201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  <c r="Z451" s="201"/>
      <c r="AA451" s="201"/>
      <c r="AB451" s="201"/>
      <c r="AC451" s="201"/>
      <c r="AD451" s="201"/>
      <c r="AE451" s="201"/>
      <c r="AG451" s="333"/>
    </row>
    <row r="452" spans="1:33">
      <c r="A452" s="318" t="s">
        <v>357</v>
      </c>
      <c r="B452" s="318"/>
      <c r="C452" s="165" t="s">
        <v>74</v>
      </c>
      <c r="F452" s="203">
        <f>F450+F387+F396</f>
        <v>46772454.450000003</v>
      </c>
      <c r="G452" s="347">
        <f>G450+G396</f>
        <v>0</v>
      </c>
      <c r="H452" s="347">
        <f t="shared" ref="H452:AE452" si="204">H450+H387+H396</f>
        <v>6847141.8574933214</v>
      </c>
      <c r="I452" s="347">
        <f t="shared" si="204"/>
        <v>6454648.2708588988</v>
      </c>
      <c r="J452" s="347">
        <f t="shared" si="204"/>
        <v>6628968.3331837049</v>
      </c>
      <c r="K452" s="347">
        <f t="shared" si="204"/>
        <v>13424598.788464077</v>
      </c>
      <c r="L452" s="347">
        <f t="shared" si="204"/>
        <v>0</v>
      </c>
      <c r="M452" s="347">
        <f t="shared" si="204"/>
        <v>0</v>
      </c>
      <c r="N452" s="347">
        <f t="shared" si="204"/>
        <v>1053872.1159902308</v>
      </c>
      <c r="O452" s="347">
        <f t="shared" si="204"/>
        <v>993461.79365897388</v>
      </c>
      <c r="P452" s="347">
        <f t="shared" si="204"/>
        <v>1020292.1203507953</v>
      </c>
      <c r="Q452" s="347">
        <f t="shared" si="204"/>
        <v>0</v>
      </c>
      <c r="R452" s="347">
        <f t="shared" si="204"/>
        <v>1247501.6643942972</v>
      </c>
      <c r="S452" s="347">
        <f t="shared" si="204"/>
        <v>0</v>
      </c>
      <c r="T452" s="347">
        <f t="shared" si="204"/>
        <v>1830774.4948595818</v>
      </c>
      <c r="U452" s="347">
        <f t="shared" si="204"/>
        <v>2493491.9990074476</v>
      </c>
      <c r="V452" s="347">
        <f t="shared" si="204"/>
        <v>610258.16495319386</v>
      </c>
      <c r="W452" s="347">
        <f t="shared" si="204"/>
        <v>831163.99966914929</v>
      </c>
      <c r="X452" s="347">
        <f t="shared" si="204"/>
        <v>161934.8044132441</v>
      </c>
      <c r="Y452" s="347">
        <f t="shared" si="204"/>
        <v>128791.95395882789</v>
      </c>
      <c r="Z452" s="347">
        <f t="shared" si="204"/>
        <v>37451.847796313188</v>
      </c>
      <c r="AA452" s="347">
        <f t="shared" si="204"/>
        <v>2889570.1702884873</v>
      </c>
      <c r="AB452" s="347">
        <f t="shared" si="204"/>
        <v>118532.07065945808</v>
      </c>
      <c r="AC452" s="347">
        <f t="shared" si="204"/>
        <v>0</v>
      </c>
      <c r="AD452" s="347">
        <f t="shared" si="204"/>
        <v>0</v>
      </c>
      <c r="AE452" s="347">
        <f t="shared" si="204"/>
        <v>0</v>
      </c>
      <c r="AF452" s="201">
        <f>SUM(H452:AE452)</f>
        <v>46772454.450000003</v>
      </c>
      <c r="AG452" s="333" t="str">
        <f>IF(ABS(AF452-F452)&lt;1,"ok","err")</f>
        <v>ok</v>
      </c>
    </row>
    <row r="453" spans="1:33">
      <c r="A453" s="87"/>
      <c r="B453" s="318"/>
      <c r="F453" s="340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  <c r="AA453" s="201"/>
      <c r="AB453" s="201"/>
      <c r="AC453" s="201"/>
      <c r="AD453" s="201"/>
      <c r="AE453" s="201"/>
      <c r="AG453" s="333"/>
    </row>
    <row r="454" spans="1:33">
      <c r="A454" s="87" t="s">
        <v>1129</v>
      </c>
      <c r="B454" s="318"/>
      <c r="F454" s="340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  <c r="AB454" s="201"/>
      <c r="AC454" s="201"/>
      <c r="AD454" s="201"/>
      <c r="AE454" s="201"/>
      <c r="AG454" s="333"/>
    </row>
    <row r="455" spans="1:33">
      <c r="A455" s="318">
        <v>901</v>
      </c>
      <c r="B455" s="318" t="s">
        <v>1130</v>
      </c>
      <c r="C455" s="165" t="s">
        <v>75</v>
      </c>
      <c r="D455" s="165" t="s">
        <v>695</v>
      </c>
      <c r="F455" s="203">
        <v>678684.88</v>
      </c>
      <c r="H455" s="201">
        <f t="shared" ref="H455:Q459" si="205">IF(VLOOKUP($D455,$C$6:$AE$598,H$2,)=0,0,((VLOOKUP($D455,$C$6:$AE$598,H$2,)/VLOOKUP($D455,$C$6:$AE$598,4,))*$F455))</f>
        <v>0</v>
      </c>
      <c r="I455" s="201">
        <f t="shared" si="205"/>
        <v>0</v>
      </c>
      <c r="J455" s="201">
        <f t="shared" si="205"/>
        <v>0</v>
      </c>
      <c r="K455" s="201">
        <f t="shared" si="205"/>
        <v>0</v>
      </c>
      <c r="L455" s="201">
        <f t="shared" si="205"/>
        <v>0</v>
      </c>
      <c r="M455" s="201">
        <f t="shared" si="205"/>
        <v>0</v>
      </c>
      <c r="N455" s="201">
        <f t="shared" si="205"/>
        <v>0</v>
      </c>
      <c r="O455" s="201">
        <f t="shared" si="205"/>
        <v>0</v>
      </c>
      <c r="P455" s="201">
        <f t="shared" si="205"/>
        <v>0</v>
      </c>
      <c r="Q455" s="201">
        <f t="shared" si="205"/>
        <v>0</v>
      </c>
      <c r="R455" s="201">
        <f t="shared" ref="R455:AE459" si="206">IF(VLOOKUP($D455,$C$6:$AE$598,R$2,)=0,0,((VLOOKUP($D455,$C$6:$AE$598,R$2,)/VLOOKUP($D455,$C$6:$AE$598,4,))*$F455))</f>
        <v>0</v>
      </c>
      <c r="S455" s="201">
        <f t="shared" si="206"/>
        <v>0</v>
      </c>
      <c r="T455" s="201">
        <f t="shared" si="206"/>
        <v>0</v>
      </c>
      <c r="U455" s="201">
        <f t="shared" si="206"/>
        <v>0</v>
      </c>
      <c r="V455" s="201">
        <f t="shared" si="206"/>
        <v>0</v>
      </c>
      <c r="W455" s="201">
        <f t="shared" si="206"/>
        <v>0</v>
      </c>
      <c r="X455" s="201">
        <f t="shared" si="206"/>
        <v>0</v>
      </c>
      <c r="Y455" s="201">
        <f t="shared" si="206"/>
        <v>0</v>
      </c>
      <c r="Z455" s="201">
        <f t="shared" si="206"/>
        <v>0</v>
      </c>
      <c r="AA455" s="201">
        <f t="shared" si="206"/>
        <v>0</v>
      </c>
      <c r="AB455" s="201">
        <f t="shared" si="206"/>
        <v>0</v>
      </c>
      <c r="AC455" s="201">
        <f t="shared" si="206"/>
        <v>678684.88</v>
      </c>
      <c r="AD455" s="201">
        <f t="shared" si="206"/>
        <v>0</v>
      </c>
      <c r="AE455" s="201">
        <f t="shared" si="206"/>
        <v>0</v>
      </c>
      <c r="AF455" s="201">
        <f>SUM(H455:AE455)</f>
        <v>678684.88</v>
      </c>
      <c r="AG455" s="333" t="str">
        <f>IF(ABS(AF455-F455)&lt;1,"ok","err")</f>
        <v>ok</v>
      </c>
    </row>
    <row r="456" spans="1:33">
      <c r="A456" s="318">
        <v>902</v>
      </c>
      <c r="B456" s="318" t="s">
        <v>1133</v>
      </c>
      <c r="C456" s="165" t="s">
        <v>76</v>
      </c>
      <c r="D456" s="165" t="s">
        <v>695</v>
      </c>
      <c r="F456" s="340">
        <v>232835.25</v>
      </c>
      <c r="H456" s="201">
        <f t="shared" si="205"/>
        <v>0</v>
      </c>
      <c r="I456" s="201">
        <f t="shared" si="205"/>
        <v>0</v>
      </c>
      <c r="J456" s="201">
        <f t="shared" si="205"/>
        <v>0</v>
      </c>
      <c r="K456" s="201">
        <f t="shared" si="205"/>
        <v>0</v>
      </c>
      <c r="L456" s="201">
        <f t="shared" si="205"/>
        <v>0</v>
      </c>
      <c r="M456" s="201">
        <f t="shared" si="205"/>
        <v>0</v>
      </c>
      <c r="N456" s="201">
        <f t="shared" si="205"/>
        <v>0</v>
      </c>
      <c r="O456" s="201">
        <f t="shared" si="205"/>
        <v>0</v>
      </c>
      <c r="P456" s="201">
        <f t="shared" si="205"/>
        <v>0</v>
      </c>
      <c r="Q456" s="201">
        <f t="shared" si="205"/>
        <v>0</v>
      </c>
      <c r="R456" s="201">
        <f t="shared" si="206"/>
        <v>0</v>
      </c>
      <c r="S456" s="201">
        <f t="shared" si="206"/>
        <v>0</v>
      </c>
      <c r="T456" s="201">
        <f t="shared" si="206"/>
        <v>0</v>
      </c>
      <c r="U456" s="201">
        <f t="shared" si="206"/>
        <v>0</v>
      </c>
      <c r="V456" s="201">
        <f t="shared" si="206"/>
        <v>0</v>
      </c>
      <c r="W456" s="201">
        <f t="shared" si="206"/>
        <v>0</v>
      </c>
      <c r="X456" s="201">
        <f t="shared" si="206"/>
        <v>0</v>
      </c>
      <c r="Y456" s="201">
        <f t="shared" si="206"/>
        <v>0</v>
      </c>
      <c r="Z456" s="201">
        <f t="shared" si="206"/>
        <v>0</v>
      </c>
      <c r="AA456" s="201">
        <f t="shared" si="206"/>
        <v>0</v>
      </c>
      <c r="AB456" s="201">
        <f t="shared" si="206"/>
        <v>0</v>
      </c>
      <c r="AC456" s="201">
        <f t="shared" si="206"/>
        <v>232835.25</v>
      </c>
      <c r="AD456" s="201">
        <f t="shared" si="206"/>
        <v>0</v>
      </c>
      <c r="AE456" s="201">
        <f t="shared" si="206"/>
        <v>0</v>
      </c>
      <c r="AF456" s="201">
        <f>SUM(H456:AE456)</f>
        <v>232835.25</v>
      </c>
      <c r="AG456" s="333" t="str">
        <f>IF(ABS(AF456-F456)&lt;1,"ok","err")</f>
        <v>ok</v>
      </c>
    </row>
    <row r="457" spans="1:33">
      <c r="A457" s="318">
        <v>903</v>
      </c>
      <c r="B457" s="318" t="s">
        <v>29</v>
      </c>
      <c r="C457" s="165" t="s">
        <v>77</v>
      </c>
      <c r="D457" s="165" t="s">
        <v>695</v>
      </c>
      <c r="F457" s="340">
        <v>2494338.13</v>
      </c>
      <c r="H457" s="201">
        <f t="shared" si="205"/>
        <v>0</v>
      </c>
      <c r="I457" s="201">
        <f t="shared" si="205"/>
        <v>0</v>
      </c>
      <c r="J457" s="201">
        <f t="shared" si="205"/>
        <v>0</v>
      </c>
      <c r="K457" s="201">
        <f t="shared" si="205"/>
        <v>0</v>
      </c>
      <c r="L457" s="201">
        <f t="shared" si="205"/>
        <v>0</v>
      </c>
      <c r="M457" s="201">
        <f t="shared" si="205"/>
        <v>0</v>
      </c>
      <c r="N457" s="201">
        <f t="shared" si="205"/>
        <v>0</v>
      </c>
      <c r="O457" s="201">
        <f t="shared" si="205"/>
        <v>0</v>
      </c>
      <c r="P457" s="201">
        <f t="shared" si="205"/>
        <v>0</v>
      </c>
      <c r="Q457" s="201">
        <f t="shared" si="205"/>
        <v>0</v>
      </c>
      <c r="R457" s="201">
        <f t="shared" si="206"/>
        <v>0</v>
      </c>
      <c r="S457" s="201">
        <f t="shared" si="206"/>
        <v>0</v>
      </c>
      <c r="T457" s="201">
        <f t="shared" si="206"/>
        <v>0</v>
      </c>
      <c r="U457" s="201">
        <f t="shared" si="206"/>
        <v>0</v>
      </c>
      <c r="V457" s="201">
        <f t="shared" si="206"/>
        <v>0</v>
      </c>
      <c r="W457" s="201">
        <f t="shared" si="206"/>
        <v>0</v>
      </c>
      <c r="X457" s="201">
        <f t="shared" si="206"/>
        <v>0</v>
      </c>
      <c r="Y457" s="201">
        <f t="shared" si="206"/>
        <v>0</v>
      </c>
      <c r="Z457" s="201">
        <f t="shared" si="206"/>
        <v>0</v>
      </c>
      <c r="AA457" s="201">
        <f t="shared" si="206"/>
        <v>0</v>
      </c>
      <c r="AB457" s="201">
        <f t="shared" si="206"/>
        <v>0</v>
      </c>
      <c r="AC457" s="201">
        <f t="shared" si="206"/>
        <v>2494338.13</v>
      </c>
      <c r="AD457" s="201">
        <f t="shared" si="206"/>
        <v>0</v>
      </c>
      <c r="AE457" s="201">
        <f t="shared" si="206"/>
        <v>0</v>
      </c>
      <c r="AF457" s="201">
        <f>SUM(H457:AE457)</f>
        <v>2494338.13</v>
      </c>
      <c r="AG457" s="333" t="str">
        <f>IF(ABS(AF457-F457)&lt;1,"ok","err")</f>
        <v>ok</v>
      </c>
    </row>
    <row r="458" spans="1:33">
      <c r="A458" s="318">
        <v>904</v>
      </c>
      <c r="B458" s="318" t="s">
        <v>1136</v>
      </c>
      <c r="C458" s="165" t="s">
        <v>78</v>
      </c>
      <c r="D458" s="165" t="s">
        <v>695</v>
      </c>
      <c r="F458" s="340">
        <v>0</v>
      </c>
      <c r="H458" s="201">
        <f t="shared" si="205"/>
        <v>0</v>
      </c>
      <c r="I458" s="201">
        <f t="shared" si="205"/>
        <v>0</v>
      </c>
      <c r="J458" s="201">
        <f t="shared" si="205"/>
        <v>0</v>
      </c>
      <c r="K458" s="201">
        <f t="shared" si="205"/>
        <v>0</v>
      </c>
      <c r="L458" s="201">
        <f t="shared" si="205"/>
        <v>0</v>
      </c>
      <c r="M458" s="201">
        <f t="shared" si="205"/>
        <v>0</v>
      </c>
      <c r="N458" s="201">
        <f t="shared" si="205"/>
        <v>0</v>
      </c>
      <c r="O458" s="201">
        <f t="shared" si="205"/>
        <v>0</v>
      </c>
      <c r="P458" s="201">
        <f t="shared" si="205"/>
        <v>0</v>
      </c>
      <c r="Q458" s="201">
        <f t="shared" si="205"/>
        <v>0</v>
      </c>
      <c r="R458" s="201">
        <f t="shared" si="206"/>
        <v>0</v>
      </c>
      <c r="S458" s="201">
        <f t="shared" si="206"/>
        <v>0</v>
      </c>
      <c r="T458" s="201">
        <f t="shared" si="206"/>
        <v>0</v>
      </c>
      <c r="U458" s="201">
        <f t="shared" si="206"/>
        <v>0</v>
      </c>
      <c r="V458" s="201">
        <f t="shared" si="206"/>
        <v>0</v>
      </c>
      <c r="W458" s="201">
        <f t="shared" si="206"/>
        <v>0</v>
      </c>
      <c r="X458" s="201">
        <f t="shared" si="206"/>
        <v>0</v>
      </c>
      <c r="Y458" s="201">
        <f t="shared" si="206"/>
        <v>0</v>
      </c>
      <c r="Z458" s="201">
        <f t="shared" si="206"/>
        <v>0</v>
      </c>
      <c r="AA458" s="201">
        <f t="shared" si="206"/>
        <v>0</v>
      </c>
      <c r="AB458" s="201">
        <f t="shared" si="206"/>
        <v>0</v>
      </c>
      <c r="AC458" s="201">
        <f t="shared" si="206"/>
        <v>0</v>
      </c>
      <c r="AD458" s="201">
        <f t="shared" si="206"/>
        <v>0</v>
      </c>
      <c r="AE458" s="201">
        <f t="shared" si="206"/>
        <v>0</v>
      </c>
      <c r="AF458" s="201">
        <f>SUM(H458:AE458)</f>
        <v>0</v>
      </c>
      <c r="AG458" s="333" t="str">
        <f>IF(ABS(AF458-F458)&lt;1,"ok","err")</f>
        <v>ok</v>
      </c>
    </row>
    <row r="459" spans="1:33">
      <c r="A459" s="318">
        <v>905</v>
      </c>
      <c r="B459" s="318" t="s">
        <v>30</v>
      </c>
      <c r="C459" s="165" t="s">
        <v>77</v>
      </c>
      <c r="D459" s="165" t="s">
        <v>695</v>
      </c>
      <c r="F459" s="340">
        <v>159695.48000000001</v>
      </c>
      <c r="H459" s="201">
        <f t="shared" si="205"/>
        <v>0</v>
      </c>
      <c r="I459" s="201">
        <f t="shared" si="205"/>
        <v>0</v>
      </c>
      <c r="J459" s="201">
        <f t="shared" si="205"/>
        <v>0</v>
      </c>
      <c r="K459" s="201">
        <f t="shared" si="205"/>
        <v>0</v>
      </c>
      <c r="L459" s="201">
        <f t="shared" si="205"/>
        <v>0</v>
      </c>
      <c r="M459" s="201">
        <f t="shared" si="205"/>
        <v>0</v>
      </c>
      <c r="N459" s="201">
        <f t="shared" si="205"/>
        <v>0</v>
      </c>
      <c r="O459" s="201">
        <f t="shared" si="205"/>
        <v>0</v>
      </c>
      <c r="P459" s="201">
        <f t="shared" si="205"/>
        <v>0</v>
      </c>
      <c r="Q459" s="201">
        <f t="shared" si="205"/>
        <v>0</v>
      </c>
      <c r="R459" s="201">
        <f t="shared" si="206"/>
        <v>0</v>
      </c>
      <c r="S459" s="201">
        <f t="shared" si="206"/>
        <v>0</v>
      </c>
      <c r="T459" s="201">
        <f t="shared" si="206"/>
        <v>0</v>
      </c>
      <c r="U459" s="201">
        <f t="shared" si="206"/>
        <v>0</v>
      </c>
      <c r="V459" s="201">
        <f t="shared" si="206"/>
        <v>0</v>
      </c>
      <c r="W459" s="201">
        <f t="shared" si="206"/>
        <v>0</v>
      </c>
      <c r="X459" s="201">
        <f t="shared" si="206"/>
        <v>0</v>
      </c>
      <c r="Y459" s="201">
        <f t="shared" si="206"/>
        <v>0</v>
      </c>
      <c r="Z459" s="201">
        <f t="shared" si="206"/>
        <v>0</v>
      </c>
      <c r="AA459" s="201">
        <f t="shared" si="206"/>
        <v>0</v>
      </c>
      <c r="AB459" s="201">
        <f t="shared" si="206"/>
        <v>0</v>
      </c>
      <c r="AC459" s="201">
        <f t="shared" si="206"/>
        <v>159695.48000000001</v>
      </c>
      <c r="AD459" s="201">
        <f t="shared" si="206"/>
        <v>0</v>
      </c>
      <c r="AE459" s="201">
        <f t="shared" si="206"/>
        <v>0</v>
      </c>
      <c r="AF459" s="201">
        <f>SUM(H459:AE459)</f>
        <v>159695.48000000001</v>
      </c>
      <c r="AG459" s="333" t="str">
        <f>IF(ABS(AF459-F459)&lt;1,"ok","err")</f>
        <v>ok</v>
      </c>
    </row>
    <row r="460" spans="1:33">
      <c r="A460" s="87"/>
      <c r="B460" s="318"/>
      <c r="F460" s="340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  <c r="Z460" s="201"/>
      <c r="AA460" s="201"/>
      <c r="AB460" s="201"/>
      <c r="AC460" s="201"/>
      <c r="AD460" s="201"/>
      <c r="AE460" s="201"/>
      <c r="AF460" s="201"/>
      <c r="AG460" s="333"/>
    </row>
    <row r="461" spans="1:33">
      <c r="A461" s="318" t="s">
        <v>112</v>
      </c>
      <c r="B461" s="318"/>
      <c r="C461" s="165" t="s">
        <v>79</v>
      </c>
      <c r="F461" s="203">
        <f>SUM(F455:F460)</f>
        <v>3565553.7399999998</v>
      </c>
      <c r="G461" s="347">
        <f>SUM(G455:G460)</f>
        <v>0</v>
      </c>
      <c r="H461" s="347">
        <f t="shared" ref="H461:M461" si="207">SUM(H455:H460)</f>
        <v>0</v>
      </c>
      <c r="I461" s="347">
        <f t="shared" si="207"/>
        <v>0</v>
      </c>
      <c r="J461" s="347">
        <f t="shared" si="207"/>
        <v>0</v>
      </c>
      <c r="K461" s="347">
        <f t="shared" si="207"/>
        <v>0</v>
      </c>
      <c r="L461" s="347">
        <f t="shared" si="207"/>
        <v>0</v>
      </c>
      <c r="M461" s="347">
        <f t="shared" si="207"/>
        <v>0</v>
      </c>
      <c r="N461" s="347">
        <f>SUM(N455:N460)</f>
        <v>0</v>
      </c>
      <c r="O461" s="347">
        <f>SUM(O455:O460)</f>
        <v>0</v>
      </c>
      <c r="P461" s="347">
        <f>SUM(P455:P460)</f>
        <v>0</v>
      </c>
      <c r="Q461" s="347">
        <f t="shared" ref="Q461:AB461" si="208">SUM(Q455:Q460)</f>
        <v>0</v>
      </c>
      <c r="R461" s="347">
        <f t="shared" si="208"/>
        <v>0</v>
      </c>
      <c r="S461" s="347">
        <f t="shared" si="208"/>
        <v>0</v>
      </c>
      <c r="T461" s="347">
        <f t="shared" si="208"/>
        <v>0</v>
      </c>
      <c r="U461" s="347">
        <f t="shared" si="208"/>
        <v>0</v>
      </c>
      <c r="V461" s="347">
        <f t="shared" si="208"/>
        <v>0</v>
      </c>
      <c r="W461" s="347">
        <f t="shared" si="208"/>
        <v>0</v>
      </c>
      <c r="X461" s="347">
        <f t="shared" si="208"/>
        <v>0</v>
      </c>
      <c r="Y461" s="347">
        <f t="shared" si="208"/>
        <v>0</v>
      </c>
      <c r="Z461" s="347">
        <f t="shared" si="208"/>
        <v>0</v>
      </c>
      <c r="AA461" s="347">
        <f t="shared" si="208"/>
        <v>0</v>
      </c>
      <c r="AB461" s="347">
        <f t="shared" si="208"/>
        <v>0</v>
      </c>
      <c r="AC461" s="347">
        <f>SUM(AC455:AC460)</f>
        <v>3565553.7399999998</v>
      </c>
      <c r="AD461" s="347">
        <f>SUM(AD455:AD460)</f>
        <v>0</v>
      </c>
      <c r="AE461" s="347">
        <f>SUM(AE455:AE460)</f>
        <v>0</v>
      </c>
      <c r="AF461" s="201">
        <f>SUM(H461:AE461)</f>
        <v>3565553.7399999998</v>
      </c>
      <c r="AG461" s="333" t="str">
        <f>IF(ABS(AF461-F461)&lt;1,"ok","err")</f>
        <v>ok</v>
      </c>
    </row>
    <row r="462" spans="1:33">
      <c r="A462" s="318"/>
      <c r="B462" s="318"/>
      <c r="F462" s="340"/>
      <c r="H462" s="201"/>
      <c r="I462" s="201"/>
      <c r="J462" s="201"/>
      <c r="K462" s="201"/>
      <c r="L462" s="201"/>
      <c r="M462" s="201"/>
      <c r="N462" s="201"/>
      <c r="O462" s="201"/>
      <c r="P462" s="201"/>
      <c r="Q462" s="201"/>
      <c r="R462" s="201"/>
      <c r="S462" s="201"/>
      <c r="T462" s="201"/>
      <c r="U462" s="201"/>
      <c r="V462" s="201"/>
      <c r="W462" s="201"/>
      <c r="X462" s="201"/>
      <c r="Y462" s="201"/>
      <c r="Z462" s="201"/>
      <c r="AA462" s="201"/>
      <c r="AB462" s="201"/>
      <c r="AC462" s="201"/>
      <c r="AD462" s="201"/>
      <c r="AE462" s="201"/>
      <c r="AG462" s="333"/>
    </row>
    <row r="463" spans="1:33">
      <c r="A463" s="87" t="s">
        <v>1140</v>
      </c>
      <c r="B463" s="318"/>
      <c r="F463" s="340"/>
      <c r="H463" s="201"/>
      <c r="I463" s="201"/>
      <c r="J463" s="201"/>
      <c r="K463" s="201"/>
      <c r="L463" s="201"/>
      <c r="M463" s="201"/>
      <c r="N463" s="201"/>
      <c r="O463" s="201"/>
      <c r="P463" s="201"/>
      <c r="Q463" s="201"/>
      <c r="R463" s="201"/>
      <c r="S463" s="201"/>
      <c r="T463" s="201"/>
      <c r="U463" s="201"/>
      <c r="V463" s="201"/>
      <c r="W463" s="201"/>
      <c r="X463" s="201"/>
      <c r="Y463" s="201"/>
      <c r="Z463" s="201"/>
      <c r="AA463" s="201"/>
      <c r="AB463" s="201"/>
      <c r="AC463" s="201"/>
      <c r="AD463" s="201"/>
      <c r="AE463" s="201"/>
      <c r="AG463" s="333"/>
    </row>
    <row r="464" spans="1:33">
      <c r="A464" s="318">
        <v>907</v>
      </c>
      <c r="B464" s="318" t="s">
        <v>1262</v>
      </c>
      <c r="C464" s="165" t="s">
        <v>80</v>
      </c>
      <c r="D464" s="165" t="s">
        <v>696</v>
      </c>
      <c r="F464" s="203">
        <v>105222.06</v>
      </c>
      <c r="H464" s="201">
        <f t="shared" ref="H464:Q474" si="209">IF(VLOOKUP($D464,$C$6:$AE$598,H$2,)=0,0,((VLOOKUP($D464,$C$6:$AE$598,H$2,)/VLOOKUP($D464,$C$6:$AE$598,4,))*$F464))</f>
        <v>0</v>
      </c>
      <c r="I464" s="201">
        <f t="shared" si="209"/>
        <v>0</v>
      </c>
      <c r="J464" s="201">
        <f t="shared" si="209"/>
        <v>0</v>
      </c>
      <c r="K464" s="201">
        <f t="shared" si="209"/>
        <v>0</v>
      </c>
      <c r="L464" s="201">
        <f t="shared" si="209"/>
        <v>0</v>
      </c>
      <c r="M464" s="201">
        <f t="shared" si="209"/>
        <v>0</v>
      </c>
      <c r="N464" s="201">
        <f t="shared" si="209"/>
        <v>0</v>
      </c>
      <c r="O464" s="201">
        <f t="shared" si="209"/>
        <v>0</v>
      </c>
      <c r="P464" s="201">
        <f t="shared" si="209"/>
        <v>0</v>
      </c>
      <c r="Q464" s="201">
        <f t="shared" si="209"/>
        <v>0</v>
      </c>
      <c r="R464" s="201">
        <f t="shared" ref="R464:AE474" si="210">IF(VLOOKUP($D464,$C$6:$AE$598,R$2,)=0,0,((VLOOKUP($D464,$C$6:$AE$598,R$2,)/VLOOKUP($D464,$C$6:$AE$598,4,))*$F464))</f>
        <v>0</v>
      </c>
      <c r="S464" s="201">
        <f t="shared" si="210"/>
        <v>0</v>
      </c>
      <c r="T464" s="201">
        <f t="shared" si="210"/>
        <v>0</v>
      </c>
      <c r="U464" s="201">
        <f t="shared" si="210"/>
        <v>0</v>
      </c>
      <c r="V464" s="201">
        <f t="shared" si="210"/>
        <v>0</v>
      </c>
      <c r="W464" s="201">
        <f t="shared" si="210"/>
        <v>0</v>
      </c>
      <c r="X464" s="201">
        <f t="shared" si="210"/>
        <v>0</v>
      </c>
      <c r="Y464" s="201">
        <f t="shared" si="210"/>
        <v>0</v>
      </c>
      <c r="Z464" s="201">
        <f t="shared" si="210"/>
        <v>0</v>
      </c>
      <c r="AA464" s="201">
        <f t="shared" si="210"/>
        <v>0</v>
      </c>
      <c r="AB464" s="201">
        <f t="shared" si="210"/>
        <v>0</v>
      </c>
      <c r="AC464" s="201">
        <f t="shared" si="210"/>
        <v>0</v>
      </c>
      <c r="AD464" s="201">
        <f t="shared" si="210"/>
        <v>105222.06</v>
      </c>
      <c r="AE464" s="201">
        <f t="shared" si="210"/>
        <v>0</v>
      </c>
      <c r="AF464" s="201">
        <f t="shared" ref="AF464:AF474" si="211">SUM(H464:AE464)</f>
        <v>105222.06</v>
      </c>
      <c r="AG464" s="333" t="str">
        <f t="shared" ref="AG464:AG474" si="212">IF(ABS(AF464-F464)&lt;1,"ok","err")</f>
        <v>ok</v>
      </c>
    </row>
    <row r="465" spans="1:33">
      <c r="A465" s="318">
        <v>908</v>
      </c>
      <c r="B465" s="318" t="s">
        <v>1143</v>
      </c>
      <c r="C465" s="165" t="s">
        <v>81</v>
      </c>
      <c r="D465" s="165" t="s">
        <v>696</v>
      </c>
      <c r="F465" s="340">
        <v>594557.6</v>
      </c>
      <c r="H465" s="201">
        <f t="shared" si="209"/>
        <v>0</v>
      </c>
      <c r="I465" s="201">
        <f t="shared" si="209"/>
        <v>0</v>
      </c>
      <c r="J465" s="201">
        <f t="shared" si="209"/>
        <v>0</v>
      </c>
      <c r="K465" s="201">
        <f t="shared" si="209"/>
        <v>0</v>
      </c>
      <c r="L465" s="201">
        <f t="shared" si="209"/>
        <v>0</v>
      </c>
      <c r="M465" s="201">
        <f t="shared" si="209"/>
        <v>0</v>
      </c>
      <c r="N465" s="201">
        <f t="shared" si="209"/>
        <v>0</v>
      </c>
      <c r="O465" s="201">
        <f t="shared" si="209"/>
        <v>0</v>
      </c>
      <c r="P465" s="201">
        <f t="shared" si="209"/>
        <v>0</v>
      </c>
      <c r="Q465" s="201">
        <f t="shared" si="209"/>
        <v>0</v>
      </c>
      <c r="R465" s="201">
        <f t="shared" si="210"/>
        <v>0</v>
      </c>
      <c r="S465" s="201">
        <f t="shared" si="210"/>
        <v>0</v>
      </c>
      <c r="T465" s="201">
        <f t="shared" si="210"/>
        <v>0</v>
      </c>
      <c r="U465" s="201">
        <f t="shared" si="210"/>
        <v>0</v>
      </c>
      <c r="V465" s="201">
        <f t="shared" si="210"/>
        <v>0</v>
      </c>
      <c r="W465" s="201">
        <f t="shared" si="210"/>
        <v>0</v>
      </c>
      <c r="X465" s="201">
        <f t="shared" si="210"/>
        <v>0</v>
      </c>
      <c r="Y465" s="201">
        <f t="shared" si="210"/>
        <v>0</v>
      </c>
      <c r="Z465" s="201">
        <f t="shared" si="210"/>
        <v>0</v>
      </c>
      <c r="AA465" s="201">
        <f t="shared" si="210"/>
        <v>0</v>
      </c>
      <c r="AB465" s="201">
        <f t="shared" si="210"/>
        <v>0</v>
      </c>
      <c r="AC465" s="201">
        <f t="shared" si="210"/>
        <v>0</v>
      </c>
      <c r="AD465" s="201">
        <f t="shared" si="210"/>
        <v>594557.6</v>
      </c>
      <c r="AE465" s="201">
        <f t="shared" si="210"/>
        <v>0</v>
      </c>
      <c r="AF465" s="201">
        <f t="shared" si="211"/>
        <v>594557.6</v>
      </c>
      <c r="AG465" s="333" t="str">
        <f t="shared" si="212"/>
        <v>ok</v>
      </c>
    </row>
    <row r="466" spans="1:33">
      <c r="A466" s="318">
        <v>908</v>
      </c>
      <c r="B466" s="318" t="s">
        <v>31</v>
      </c>
      <c r="C466" s="165" t="s">
        <v>82</v>
      </c>
      <c r="D466" s="165" t="s">
        <v>696</v>
      </c>
      <c r="F466" s="340">
        <v>0</v>
      </c>
      <c r="H466" s="201">
        <f t="shared" si="209"/>
        <v>0</v>
      </c>
      <c r="I466" s="201">
        <f t="shared" si="209"/>
        <v>0</v>
      </c>
      <c r="J466" s="201">
        <f t="shared" si="209"/>
        <v>0</v>
      </c>
      <c r="K466" s="201">
        <f t="shared" si="209"/>
        <v>0</v>
      </c>
      <c r="L466" s="201">
        <f t="shared" si="209"/>
        <v>0</v>
      </c>
      <c r="M466" s="201">
        <f t="shared" si="209"/>
        <v>0</v>
      </c>
      <c r="N466" s="201">
        <f t="shared" si="209"/>
        <v>0</v>
      </c>
      <c r="O466" s="201">
        <f t="shared" si="209"/>
        <v>0</v>
      </c>
      <c r="P466" s="201">
        <f t="shared" si="209"/>
        <v>0</v>
      </c>
      <c r="Q466" s="201">
        <f t="shared" si="209"/>
        <v>0</v>
      </c>
      <c r="R466" s="201">
        <f t="shared" si="210"/>
        <v>0</v>
      </c>
      <c r="S466" s="201">
        <f t="shared" si="210"/>
        <v>0</v>
      </c>
      <c r="T466" s="201">
        <f t="shared" si="210"/>
        <v>0</v>
      </c>
      <c r="U466" s="201">
        <f t="shared" si="210"/>
        <v>0</v>
      </c>
      <c r="V466" s="201">
        <f t="shared" si="210"/>
        <v>0</v>
      </c>
      <c r="W466" s="201">
        <f t="shared" si="210"/>
        <v>0</v>
      </c>
      <c r="X466" s="201">
        <f t="shared" si="210"/>
        <v>0</v>
      </c>
      <c r="Y466" s="201">
        <f t="shared" si="210"/>
        <v>0</v>
      </c>
      <c r="Z466" s="201">
        <f t="shared" si="210"/>
        <v>0</v>
      </c>
      <c r="AA466" s="201">
        <f t="shared" si="210"/>
        <v>0</v>
      </c>
      <c r="AB466" s="201">
        <f t="shared" si="210"/>
        <v>0</v>
      </c>
      <c r="AC466" s="201">
        <f t="shared" si="210"/>
        <v>0</v>
      </c>
      <c r="AD466" s="201">
        <f t="shared" si="210"/>
        <v>0</v>
      </c>
      <c r="AE466" s="201">
        <f t="shared" si="210"/>
        <v>0</v>
      </c>
      <c r="AF466" s="201">
        <f t="shared" si="211"/>
        <v>0</v>
      </c>
      <c r="AG466" s="333" t="str">
        <f t="shared" si="212"/>
        <v>ok</v>
      </c>
    </row>
    <row r="467" spans="1:33">
      <c r="A467" s="318">
        <v>909</v>
      </c>
      <c r="B467" s="318" t="s">
        <v>1145</v>
      </c>
      <c r="C467" s="165" t="s">
        <v>83</v>
      </c>
      <c r="D467" s="165" t="s">
        <v>696</v>
      </c>
      <c r="F467" s="340">
        <v>0</v>
      </c>
      <c r="H467" s="201">
        <f t="shared" si="209"/>
        <v>0</v>
      </c>
      <c r="I467" s="201">
        <f t="shared" si="209"/>
        <v>0</v>
      </c>
      <c r="J467" s="201">
        <f t="shared" si="209"/>
        <v>0</v>
      </c>
      <c r="K467" s="201">
        <f t="shared" si="209"/>
        <v>0</v>
      </c>
      <c r="L467" s="201">
        <f t="shared" si="209"/>
        <v>0</v>
      </c>
      <c r="M467" s="201">
        <f t="shared" si="209"/>
        <v>0</v>
      </c>
      <c r="N467" s="201">
        <f t="shared" si="209"/>
        <v>0</v>
      </c>
      <c r="O467" s="201">
        <f t="shared" si="209"/>
        <v>0</v>
      </c>
      <c r="P467" s="201">
        <f t="shared" si="209"/>
        <v>0</v>
      </c>
      <c r="Q467" s="201">
        <f t="shared" si="209"/>
        <v>0</v>
      </c>
      <c r="R467" s="201">
        <f t="shared" si="210"/>
        <v>0</v>
      </c>
      <c r="S467" s="201">
        <f t="shared" si="210"/>
        <v>0</v>
      </c>
      <c r="T467" s="201">
        <f t="shared" si="210"/>
        <v>0</v>
      </c>
      <c r="U467" s="201">
        <f t="shared" si="210"/>
        <v>0</v>
      </c>
      <c r="V467" s="201">
        <f t="shared" si="210"/>
        <v>0</v>
      </c>
      <c r="W467" s="201">
        <f t="shared" si="210"/>
        <v>0</v>
      </c>
      <c r="X467" s="201">
        <f t="shared" si="210"/>
        <v>0</v>
      </c>
      <c r="Y467" s="201">
        <f t="shared" si="210"/>
        <v>0</v>
      </c>
      <c r="Z467" s="201">
        <f t="shared" si="210"/>
        <v>0</v>
      </c>
      <c r="AA467" s="201">
        <f t="shared" si="210"/>
        <v>0</v>
      </c>
      <c r="AB467" s="201">
        <f t="shared" si="210"/>
        <v>0</v>
      </c>
      <c r="AC467" s="201">
        <f t="shared" si="210"/>
        <v>0</v>
      </c>
      <c r="AD467" s="201">
        <f t="shared" si="210"/>
        <v>0</v>
      </c>
      <c r="AE467" s="201">
        <f t="shared" si="210"/>
        <v>0</v>
      </c>
      <c r="AF467" s="201">
        <f t="shared" si="211"/>
        <v>0</v>
      </c>
      <c r="AG467" s="333" t="str">
        <f t="shared" si="212"/>
        <v>ok</v>
      </c>
    </row>
    <row r="468" spans="1:33">
      <c r="A468" s="318">
        <v>909</v>
      </c>
      <c r="B468" s="318" t="s">
        <v>33</v>
      </c>
      <c r="C468" s="165" t="s">
        <v>84</v>
      </c>
      <c r="D468" s="165" t="s">
        <v>696</v>
      </c>
      <c r="F468" s="340">
        <v>0</v>
      </c>
      <c r="H468" s="201">
        <f t="shared" si="209"/>
        <v>0</v>
      </c>
      <c r="I468" s="201">
        <f t="shared" si="209"/>
        <v>0</v>
      </c>
      <c r="J468" s="201">
        <f t="shared" si="209"/>
        <v>0</v>
      </c>
      <c r="K468" s="201">
        <f t="shared" si="209"/>
        <v>0</v>
      </c>
      <c r="L468" s="201">
        <f t="shared" si="209"/>
        <v>0</v>
      </c>
      <c r="M468" s="201">
        <f t="shared" si="209"/>
        <v>0</v>
      </c>
      <c r="N468" s="201">
        <f t="shared" si="209"/>
        <v>0</v>
      </c>
      <c r="O468" s="201">
        <f t="shared" si="209"/>
        <v>0</v>
      </c>
      <c r="P468" s="201">
        <f t="shared" si="209"/>
        <v>0</v>
      </c>
      <c r="Q468" s="201">
        <f t="shared" si="209"/>
        <v>0</v>
      </c>
      <c r="R468" s="201">
        <f t="shared" si="210"/>
        <v>0</v>
      </c>
      <c r="S468" s="201">
        <f t="shared" si="210"/>
        <v>0</v>
      </c>
      <c r="T468" s="201">
        <f t="shared" si="210"/>
        <v>0</v>
      </c>
      <c r="U468" s="201">
        <f t="shared" si="210"/>
        <v>0</v>
      </c>
      <c r="V468" s="201">
        <f t="shared" si="210"/>
        <v>0</v>
      </c>
      <c r="W468" s="201">
        <f t="shared" si="210"/>
        <v>0</v>
      </c>
      <c r="X468" s="201">
        <f t="shared" si="210"/>
        <v>0</v>
      </c>
      <c r="Y468" s="201">
        <f t="shared" si="210"/>
        <v>0</v>
      </c>
      <c r="Z468" s="201">
        <f t="shared" si="210"/>
        <v>0</v>
      </c>
      <c r="AA468" s="201">
        <f t="shared" si="210"/>
        <v>0</v>
      </c>
      <c r="AB468" s="201">
        <f t="shared" si="210"/>
        <v>0</v>
      </c>
      <c r="AC468" s="201">
        <f t="shared" si="210"/>
        <v>0</v>
      </c>
      <c r="AD468" s="201">
        <f t="shared" si="210"/>
        <v>0</v>
      </c>
      <c r="AE468" s="201">
        <f t="shared" si="210"/>
        <v>0</v>
      </c>
      <c r="AF468" s="201">
        <f t="shared" si="211"/>
        <v>0</v>
      </c>
      <c r="AG468" s="333" t="str">
        <f t="shared" si="212"/>
        <v>ok</v>
      </c>
    </row>
    <row r="469" spans="1:33">
      <c r="A469" s="318">
        <v>910</v>
      </c>
      <c r="B469" s="318" t="s">
        <v>1147</v>
      </c>
      <c r="C469" s="165" t="s">
        <v>85</v>
      </c>
      <c r="D469" s="165" t="s">
        <v>696</v>
      </c>
      <c r="F469" s="340">
        <v>0</v>
      </c>
      <c r="H469" s="201">
        <f t="shared" si="209"/>
        <v>0</v>
      </c>
      <c r="I469" s="201">
        <f t="shared" si="209"/>
        <v>0</v>
      </c>
      <c r="J469" s="201">
        <f t="shared" si="209"/>
        <v>0</v>
      </c>
      <c r="K469" s="201">
        <f t="shared" si="209"/>
        <v>0</v>
      </c>
      <c r="L469" s="201">
        <f t="shared" si="209"/>
        <v>0</v>
      </c>
      <c r="M469" s="201">
        <f t="shared" si="209"/>
        <v>0</v>
      </c>
      <c r="N469" s="201">
        <f t="shared" si="209"/>
        <v>0</v>
      </c>
      <c r="O469" s="201">
        <f t="shared" si="209"/>
        <v>0</v>
      </c>
      <c r="P469" s="201">
        <f t="shared" si="209"/>
        <v>0</v>
      </c>
      <c r="Q469" s="201">
        <f t="shared" si="209"/>
        <v>0</v>
      </c>
      <c r="R469" s="201">
        <f t="shared" si="210"/>
        <v>0</v>
      </c>
      <c r="S469" s="201">
        <f t="shared" si="210"/>
        <v>0</v>
      </c>
      <c r="T469" s="201">
        <f t="shared" si="210"/>
        <v>0</v>
      </c>
      <c r="U469" s="201">
        <f t="shared" si="210"/>
        <v>0</v>
      </c>
      <c r="V469" s="201">
        <f t="shared" si="210"/>
        <v>0</v>
      </c>
      <c r="W469" s="201">
        <f t="shared" si="210"/>
        <v>0</v>
      </c>
      <c r="X469" s="201">
        <f t="shared" si="210"/>
        <v>0</v>
      </c>
      <c r="Y469" s="201">
        <f t="shared" si="210"/>
        <v>0</v>
      </c>
      <c r="Z469" s="201">
        <f t="shared" si="210"/>
        <v>0</v>
      </c>
      <c r="AA469" s="201">
        <f t="shared" si="210"/>
        <v>0</v>
      </c>
      <c r="AB469" s="201">
        <f t="shared" si="210"/>
        <v>0</v>
      </c>
      <c r="AC469" s="201">
        <f t="shared" si="210"/>
        <v>0</v>
      </c>
      <c r="AD469" s="201">
        <f t="shared" si="210"/>
        <v>0</v>
      </c>
      <c r="AE469" s="201">
        <f t="shared" si="210"/>
        <v>0</v>
      </c>
      <c r="AF469" s="201">
        <f t="shared" si="211"/>
        <v>0</v>
      </c>
      <c r="AG469" s="333" t="str">
        <f t="shared" si="212"/>
        <v>ok</v>
      </c>
    </row>
    <row r="470" spans="1:33">
      <c r="A470" s="318">
        <v>911</v>
      </c>
      <c r="B470" s="318" t="s">
        <v>151</v>
      </c>
      <c r="C470" s="165" t="s">
        <v>187</v>
      </c>
      <c r="D470" s="165" t="s">
        <v>696</v>
      </c>
      <c r="F470" s="340">
        <v>0</v>
      </c>
      <c r="H470" s="201">
        <f t="shared" si="209"/>
        <v>0</v>
      </c>
      <c r="I470" s="201">
        <f t="shared" si="209"/>
        <v>0</v>
      </c>
      <c r="J470" s="201">
        <f t="shared" si="209"/>
        <v>0</v>
      </c>
      <c r="K470" s="201">
        <f t="shared" si="209"/>
        <v>0</v>
      </c>
      <c r="L470" s="201">
        <f t="shared" si="209"/>
        <v>0</v>
      </c>
      <c r="M470" s="201">
        <f t="shared" si="209"/>
        <v>0</v>
      </c>
      <c r="N470" s="201">
        <f t="shared" si="209"/>
        <v>0</v>
      </c>
      <c r="O470" s="201">
        <f t="shared" si="209"/>
        <v>0</v>
      </c>
      <c r="P470" s="201">
        <f t="shared" si="209"/>
        <v>0</v>
      </c>
      <c r="Q470" s="201">
        <f t="shared" si="209"/>
        <v>0</v>
      </c>
      <c r="R470" s="201">
        <f t="shared" si="210"/>
        <v>0</v>
      </c>
      <c r="S470" s="201">
        <f t="shared" si="210"/>
        <v>0</v>
      </c>
      <c r="T470" s="201">
        <f t="shared" si="210"/>
        <v>0</v>
      </c>
      <c r="U470" s="201">
        <f t="shared" si="210"/>
        <v>0</v>
      </c>
      <c r="V470" s="201">
        <f t="shared" si="210"/>
        <v>0</v>
      </c>
      <c r="W470" s="201">
        <f t="shared" si="210"/>
        <v>0</v>
      </c>
      <c r="X470" s="201">
        <f t="shared" si="210"/>
        <v>0</v>
      </c>
      <c r="Y470" s="201">
        <f t="shared" si="210"/>
        <v>0</v>
      </c>
      <c r="Z470" s="201">
        <f t="shared" si="210"/>
        <v>0</v>
      </c>
      <c r="AA470" s="201">
        <f t="shared" si="210"/>
        <v>0</v>
      </c>
      <c r="AB470" s="201">
        <f t="shared" si="210"/>
        <v>0</v>
      </c>
      <c r="AC470" s="201">
        <f t="shared" si="210"/>
        <v>0</v>
      </c>
      <c r="AD470" s="201">
        <f t="shared" si="210"/>
        <v>0</v>
      </c>
      <c r="AE470" s="201">
        <f t="shared" si="210"/>
        <v>0</v>
      </c>
      <c r="AF470" s="201">
        <f t="shared" si="211"/>
        <v>0</v>
      </c>
      <c r="AG470" s="333" t="str">
        <f t="shared" si="212"/>
        <v>ok</v>
      </c>
    </row>
    <row r="471" spans="1:33">
      <c r="A471" s="318">
        <v>912</v>
      </c>
      <c r="B471" s="318" t="s">
        <v>151</v>
      </c>
      <c r="C471" s="165" t="s">
        <v>154</v>
      </c>
      <c r="D471" s="165" t="s">
        <v>696</v>
      </c>
      <c r="F471" s="340">
        <v>0</v>
      </c>
      <c r="H471" s="201">
        <f t="shared" si="209"/>
        <v>0</v>
      </c>
      <c r="I471" s="201">
        <f t="shared" si="209"/>
        <v>0</v>
      </c>
      <c r="J471" s="201">
        <f t="shared" si="209"/>
        <v>0</v>
      </c>
      <c r="K471" s="201">
        <f t="shared" si="209"/>
        <v>0</v>
      </c>
      <c r="L471" s="201">
        <f t="shared" si="209"/>
        <v>0</v>
      </c>
      <c r="M471" s="201">
        <f t="shared" si="209"/>
        <v>0</v>
      </c>
      <c r="N471" s="201">
        <f t="shared" si="209"/>
        <v>0</v>
      </c>
      <c r="O471" s="201">
        <f t="shared" si="209"/>
        <v>0</v>
      </c>
      <c r="P471" s="201">
        <f t="shared" si="209"/>
        <v>0</v>
      </c>
      <c r="Q471" s="201">
        <f t="shared" si="209"/>
        <v>0</v>
      </c>
      <c r="R471" s="201">
        <f t="shared" si="210"/>
        <v>0</v>
      </c>
      <c r="S471" s="201">
        <f t="shared" si="210"/>
        <v>0</v>
      </c>
      <c r="T471" s="201">
        <f t="shared" si="210"/>
        <v>0</v>
      </c>
      <c r="U471" s="201">
        <f t="shared" si="210"/>
        <v>0</v>
      </c>
      <c r="V471" s="201">
        <f t="shared" si="210"/>
        <v>0</v>
      </c>
      <c r="W471" s="201">
        <f t="shared" si="210"/>
        <v>0</v>
      </c>
      <c r="X471" s="201">
        <f t="shared" si="210"/>
        <v>0</v>
      </c>
      <c r="Y471" s="201">
        <f t="shared" si="210"/>
        <v>0</v>
      </c>
      <c r="Z471" s="201">
        <f t="shared" si="210"/>
        <v>0</v>
      </c>
      <c r="AA471" s="201">
        <f t="shared" si="210"/>
        <v>0</v>
      </c>
      <c r="AB471" s="201">
        <f t="shared" si="210"/>
        <v>0</v>
      </c>
      <c r="AC471" s="201">
        <f t="shared" si="210"/>
        <v>0</v>
      </c>
      <c r="AD471" s="201">
        <f t="shared" si="210"/>
        <v>0</v>
      </c>
      <c r="AE471" s="201">
        <f t="shared" si="210"/>
        <v>0</v>
      </c>
      <c r="AF471" s="201">
        <f t="shared" si="211"/>
        <v>0</v>
      </c>
      <c r="AG471" s="333" t="str">
        <f t="shared" si="212"/>
        <v>ok</v>
      </c>
    </row>
    <row r="472" spans="1:33">
      <c r="A472" s="318">
        <v>913</v>
      </c>
      <c r="B472" s="318" t="s">
        <v>139</v>
      </c>
      <c r="C472" s="165" t="s">
        <v>155</v>
      </c>
      <c r="D472" s="165" t="s">
        <v>696</v>
      </c>
      <c r="F472" s="340">
        <v>0</v>
      </c>
      <c r="H472" s="201">
        <f t="shared" si="209"/>
        <v>0</v>
      </c>
      <c r="I472" s="201">
        <f t="shared" si="209"/>
        <v>0</v>
      </c>
      <c r="J472" s="201">
        <f t="shared" si="209"/>
        <v>0</v>
      </c>
      <c r="K472" s="201">
        <f t="shared" si="209"/>
        <v>0</v>
      </c>
      <c r="L472" s="201">
        <f t="shared" si="209"/>
        <v>0</v>
      </c>
      <c r="M472" s="201">
        <f t="shared" si="209"/>
        <v>0</v>
      </c>
      <c r="N472" s="201">
        <f t="shared" si="209"/>
        <v>0</v>
      </c>
      <c r="O472" s="201">
        <f t="shared" si="209"/>
        <v>0</v>
      </c>
      <c r="P472" s="201">
        <f t="shared" si="209"/>
        <v>0</v>
      </c>
      <c r="Q472" s="201">
        <f t="shared" si="209"/>
        <v>0</v>
      </c>
      <c r="R472" s="201">
        <f t="shared" si="210"/>
        <v>0</v>
      </c>
      <c r="S472" s="201">
        <f t="shared" si="210"/>
        <v>0</v>
      </c>
      <c r="T472" s="201">
        <f t="shared" si="210"/>
        <v>0</v>
      </c>
      <c r="U472" s="201">
        <f t="shared" si="210"/>
        <v>0</v>
      </c>
      <c r="V472" s="201">
        <f t="shared" si="210"/>
        <v>0</v>
      </c>
      <c r="W472" s="201">
        <f t="shared" si="210"/>
        <v>0</v>
      </c>
      <c r="X472" s="201">
        <f t="shared" si="210"/>
        <v>0</v>
      </c>
      <c r="Y472" s="201">
        <f t="shared" si="210"/>
        <v>0</v>
      </c>
      <c r="Z472" s="201">
        <f t="shared" si="210"/>
        <v>0</v>
      </c>
      <c r="AA472" s="201">
        <f t="shared" si="210"/>
        <v>0</v>
      </c>
      <c r="AB472" s="201">
        <f t="shared" si="210"/>
        <v>0</v>
      </c>
      <c r="AC472" s="201">
        <f t="shared" si="210"/>
        <v>0</v>
      </c>
      <c r="AD472" s="201">
        <f t="shared" si="210"/>
        <v>0</v>
      </c>
      <c r="AE472" s="201">
        <f t="shared" si="210"/>
        <v>0</v>
      </c>
      <c r="AF472" s="201">
        <f t="shared" si="211"/>
        <v>0</v>
      </c>
      <c r="AG472" s="333" t="str">
        <f t="shared" si="212"/>
        <v>ok</v>
      </c>
    </row>
    <row r="473" spans="1:33">
      <c r="A473" s="318">
        <v>915</v>
      </c>
      <c r="B473" s="318" t="s">
        <v>162</v>
      </c>
      <c r="C473" s="165" t="s">
        <v>166</v>
      </c>
      <c r="D473" s="165" t="s">
        <v>696</v>
      </c>
      <c r="F473" s="340">
        <v>0</v>
      </c>
      <c r="H473" s="201">
        <f t="shared" si="209"/>
        <v>0</v>
      </c>
      <c r="I473" s="201">
        <f t="shared" si="209"/>
        <v>0</v>
      </c>
      <c r="J473" s="201">
        <f t="shared" si="209"/>
        <v>0</v>
      </c>
      <c r="K473" s="201">
        <f t="shared" si="209"/>
        <v>0</v>
      </c>
      <c r="L473" s="201">
        <f t="shared" si="209"/>
        <v>0</v>
      </c>
      <c r="M473" s="201">
        <f t="shared" si="209"/>
        <v>0</v>
      </c>
      <c r="N473" s="201">
        <f t="shared" si="209"/>
        <v>0</v>
      </c>
      <c r="O473" s="201">
        <f t="shared" si="209"/>
        <v>0</v>
      </c>
      <c r="P473" s="201">
        <f t="shared" si="209"/>
        <v>0</v>
      </c>
      <c r="Q473" s="201">
        <f t="shared" si="209"/>
        <v>0</v>
      </c>
      <c r="R473" s="201">
        <f t="shared" si="210"/>
        <v>0</v>
      </c>
      <c r="S473" s="201">
        <f t="shared" si="210"/>
        <v>0</v>
      </c>
      <c r="T473" s="201">
        <f t="shared" si="210"/>
        <v>0</v>
      </c>
      <c r="U473" s="201">
        <f t="shared" si="210"/>
        <v>0</v>
      </c>
      <c r="V473" s="201">
        <f t="shared" si="210"/>
        <v>0</v>
      </c>
      <c r="W473" s="201">
        <f t="shared" si="210"/>
        <v>0</v>
      </c>
      <c r="X473" s="201">
        <f t="shared" si="210"/>
        <v>0</v>
      </c>
      <c r="Y473" s="201">
        <f t="shared" si="210"/>
        <v>0</v>
      </c>
      <c r="Z473" s="201">
        <f t="shared" si="210"/>
        <v>0</v>
      </c>
      <c r="AA473" s="201">
        <f t="shared" si="210"/>
        <v>0</v>
      </c>
      <c r="AB473" s="201">
        <f t="shared" si="210"/>
        <v>0</v>
      </c>
      <c r="AC473" s="201">
        <f t="shared" si="210"/>
        <v>0</v>
      </c>
      <c r="AD473" s="201">
        <f t="shared" si="210"/>
        <v>0</v>
      </c>
      <c r="AE473" s="201">
        <f t="shared" si="210"/>
        <v>0</v>
      </c>
      <c r="AF473" s="201">
        <f t="shared" si="211"/>
        <v>0</v>
      </c>
      <c r="AG473" s="333" t="str">
        <f t="shared" si="212"/>
        <v>ok</v>
      </c>
    </row>
    <row r="474" spans="1:33">
      <c r="A474" s="318">
        <v>916</v>
      </c>
      <c r="B474" s="318" t="s">
        <v>163</v>
      </c>
      <c r="C474" s="165" t="s">
        <v>167</v>
      </c>
      <c r="D474" s="165" t="s">
        <v>696</v>
      </c>
      <c r="F474" s="340">
        <v>0</v>
      </c>
      <c r="H474" s="201">
        <f t="shared" si="209"/>
        <v>0</v>
      </c>
      <c r="I474" s="201">
        <f t="shared" si="209"/>
        <v>0</v>
      </c>
      <c r="J474" s="201">
        <f t="shared" si="209"/>
        <v>0</v>
      </c>
      <c r="K474" s="201">
        <f t="shared" si="209"/>
        <v>0</v>
      </c>
      <c r="L474" s="201">
        <f t="shared" si="209"/>
        <v>0</v>
      </c>
      <c r="M474" s="201">
        <f t="shared" si="209"/>
        <v>0</v>
      </c>
      <c r="N474" s="201">
        <f t="shared" si="209"/>
        <v>0</v>
      </c>
      <c r="O474" s="201">
        <f t="shared" si="209"/>
        <v>0</v>
      </c>
      <c r="P474" s="201">
        <f t="shared" si="209"/>
        <v>0</v>
      </c>
      <c r="Q474" s="201">
        <f t="shared" si="209"/>
        <v>0</v>
      </c>
      <c r="R474" s="201">
        <f t="shared" si="210"/>
        <v>0</v>
      </c>
      <c r="S474" s="201">
        <f t="shared" si="210"/>
        <v>0</v>
      </c>
      <c r="T474" s="201">
        <f t="shared" si="210"/>
        <v>0</v>
      </c>
      <c r="U474" s="201">
        <f t="shared" si="210"/>
        <v>0</v>
      </c>
      <c r="V474" s="201">
        <f t="shared" si="210"/>
        <v>0</v>
      </c>
      <c r="W474" s="201">
        <f t="shared" si="210"/>
        <v>0</v>
      </c>
      <c r="X474" s="201">
        <f t="shared" si="210"/>
        <v>0</v>
      </c>
      <c r="Y474" s="201">
        <f t="shared" si="210"/>
        <v>0</v>
      </c>
      <c r="Z474" s="201">
        <f t="shared" si="210"/>
        <v>0</v>
      </c>
      <c r="AA474" s="201">
        <f t="shared" si="210"/>
        <v>0</v>
      </c>
      <c r="AB474" s="201">
        <f t="shared" si="210"/>
        <v>0</v>
      </c>
      <c r="AC474" s="201">
        <f t="shared" si="210"/>
        <v>0</v>
      </c>
      <c r="AD474" s="201">
        <f t="shared" si="210"/>
        <v>0</v>
      </c>
      <c r="AE474" s="201">
        <f t="shared" si="210"/>
        <v>0</v>
      </c>
      <c r="AF474" s="201">
        <f t="shared" si="211"/>
        <v>0</v>
      </c>
      <c r="AG474" s="333" t="str">
        <f t="shared" si="212"/>
        <v>ok</v>
      </c>
    </row>
    <row r="475" spans="1:33">
      <c r="A475" s="318"/>
      <c r="B475" s="318"/>
      <c r="F475" s="340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  <c r="Z475" s="201"/>
      <c r="AA475" s="201"/>
      <c r="AB475" s="201"/>
      <c r="AC475" s="201"/>
      <c r="AD475" s="201"/>
      <c r="AE475" s="201"/>
      <c r="AF475" s="201"/>
      <c r="AG475" s="333"/>
    </row>
    <row r="476" spans="1:33">
      <c r="A476" s="318" t="s">
        <v>113</v>
      </c>
      <c r="B476" s="318"/>
      <c r="C476" s="165" t="s">
        <v>86</v>
      </c>
      <c r="F476" s="203">
        <f>SUM(F464:F475)</f>
        <v>699779.65999999992</v>
      </c>
      <c r="G476" s="347">
        <f>SUM(G464:G475)</f>
        <v>0</v>
      </c>
      <c r="H476" s="347">
        <f t="shared" ref="H476:M476" si="213">SUM(H464:H475)</f>
        <v>0</v>
      </c>
      <c r="I476" s="347">
        <f t="shared" si="213"/>
        <v>0</v>
      </c>
      <c r="J476" s="347">
        <f t="shared" si="213"/>
        <v>0</v>
      </c>
      <c r="K476" s="347">
        <f t="shared" si="213"/>
        <v>0</v>
      </c>
      <c r="L476" s="347">
        <f t="shared" si="213"/>
        <v>0</v>
      </c>
      <c r="M476" s="347">
        <f t="shared" si="213"/>
        <v>0</v>
      </c>
      <c r="N476" s="347">
        <f>SUM(N464:N475)</f>
        <v>0</v>
      </c>
      <c r="O476" s="347">
        <f>SUM(O464:O475)</f>
        <v>0</v>
      </c>
      <c r="P476" s="347">
        <f>SUM(P464:P475)</f>
        <v>0</v>
      </c>
      <c r="Q476" s="347">
        <f t="shared" ref="Q476:AB476" si="214">SUM(Q464:Q475)</f>
        <v>0</v>
      </c>
      <c r="R476" s="347">
        <f t="shared" si="214"/>
        <v>0</v>
      </c>
      <c r="S476" s="347">
        <f t="shared" si="214"/>
        <v>0</v>
      </c>
      <c r="T476" s="347">
        <f t="shared" si="214"/>
        <v>0</v>
      </c>
      <c r="U476" s="347">
        <f t="shared" si="214"/>
        <v>0</v>
      </c>
      <c r="V476" s="347">
        <f t="shared" si="214"/>
        <v>0</v>
      </c>
      <c r="W476" s="347">
        <f t="shared" si="214"/>
        <v>0</v>
      </c>
      <c r="X476" s="347">
        <f t="shared" si="214"/>
        <v>0</v>
      </c>
      <c r="Y476" s="347">
        <f t="shared" si="214"/>
        <v>0</v>
      </c>
      <c r="Z476" s="347">
        <f t="shared" si="214"/>
        <v>0</v>
      </c>
      <c r="AA476" s="347">
        <f t="shared" si="214"/>
        <v>0</v>
      </c>
      <c r="AB476" s="347">
        <f t="shared" si="214"/>
        <v>0</v>
      </c>
      <c r="AC476" s="347">
        <f>SUM(AC464:AC475)</f>
        <v>0</v>
      </c>
      <c r="AD476" s="347">
        <f>SUM(AD464:AD475)</f>
        <v>699779.65999999992</v>
      </c>
      <c r="AE476" s="347">
        <f>SUM(AE464:AE475)</f>
        <v>0</v>
      </c>
      <c r="AF476" s="201">
        <f>SUM(H476:AE476)</f>
        <v>699779.65999999992</v>
      </c>
      <c r="AG476" s="333" t="str">
        <f>IF(ABS(AF476-F476)&lt;1,"ok","err")</f>
        <v>ok</v>
      </c>
    </row>
    <row r="477" spans="1:33">
      <c r="A477" s="318"/>
      <c r="B477" s="318"/>
      <c r="F477" s="340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  <c r="Z477" s="201"/>
      <c r="AA477" s="201"/>
      <c r="AB477" s="201"/>
      <c r="AC477" s="201"/>
      <c r="AD477" s="201"/>
      <c r="AE477" s="201"/>
      <c r="AG477" s="333"/>
    </row>
    <row r="478" spans="1:33">
      <c r="A478" s="318" t="s">
        <v>910</v>
      </c>
      <c r="B478" s="318"/>
      <c r="C478" s="165" t="s">
        <v>697</v>
      </c>
      <c r="F478" s="203">
        <f>F452+F461+F476</f>
        <v>51037787.850000001</v>
      </c>
      <c r="G478" s="201"/>
      <c r="H478" s="201">
        <f t="shared" ref="H478:AE478" si="215">H452+H461+H476</f>
        <v>6847141.8574933214</v>
      </c>
      <c r="I478" s="201">
        <f t="shared" si="215"/>
        <v>6454648.2708588988</v>
      </c>
      <c r="J478" s="201">
        <f t="shared" si="215"/>
        <v>6628968.3331837049</v>
      </c>
      <c r="K478" s="201">
        <f t="shared" si="215"/>
        <v>13424598.788464077</v>
      </c>
      <c r="L478" s="201">
        <f t="shared" si="215"/>
        <v>0</v>
      </c>
      <c r="M478" s="201">
        <f t="shared" si="215"/>
        <v>0</v>
      </c>
      <c r="N478" s="201">
        <f t="shared" si="215"/>
        <v>1053872.1159902308</v>
      </c>
      <c r="O478" s="201">
        <f t="shared" si="215"/>
        <v>993461.79365897388</v>
      </c>
      <c r="P478" s="201">
        <f t="shared" si="215"/>
        <v>1020292.1203507953</v>
      </c>
      <c r="Q478" s="201">
        <f t="shared" si="215"/>
        <v>0</v>
      </c>
      <c r="R478" s="201">
        <f t="shared" si="215"/>
        <v>1247501.6643942972</v>
      </c>
      <c r="S478" s="201">
        <f t="shared" si="215"/>
        <v>0</v>
      </c>
      <c r="T478" s="201">
        <f t="shared" si="215"/>
        <v>1830774.4948595818</v>
      </c>
      <c r="U478" s="201">
        <f t="shared" si="215"/>
        <v>2493491.9990074476</v>
      </c>
      <c r="V478" s="201">
        <f t="shared" si="215"/>
        <v>610258.16495319386</v>
      </c>
      <c r="W478" s="201">
        <f t="shared" si="215"/>
        <v>831163.99966914929</v>
      </c>
      <c r="X478" s="201">
        <f t="shared" si="215"/>
        <v>161934.8044132441</v>
      </c>
      <c r="Y478" s="201">
        <f t="shared" si="215"/>
        <v>128791.95395882789</v>
      </c>
      <c r="Z478" s="201">
        <f t="shared" si="215"/>
        <v>37451.847796313188</v>
      </c>
      <c r="AA478" s="201">
        <f t="shared" si="215"/>
        <v>2889570.1702884873</v>
      </c>
      <c r="AB478" s="201">
        <f t="shared" si="215"/>
        <v>118532.07065945808</v>
      </c>
      <c r="AC478" s="201">
        <f t="shared" si="215"/>
        <v>3565553.7399999998</v>
      </c>
      <c r="AD478" s="201">
        <f t="shared" si="215"/>
        <v>699779.65999999992</v>
      </c>
      <c r="AE478" s="201">
        <f t="shared" si="215"/>
        <v>0</v>
      </c>
      <c r="AF478" s="201">
        <f>SUM(H478:AE478)</f>
        <v>51037787.850000001</v>
      </c>
      <c r="AG478" s="333" t="str">
        <f>IF(ABS(AF478-F478)&lt;1,"ok","err")</f>
        <v>ok</v>
      </c>
    </row>
    <row r="479" spans="1:33">
      <c r="A479" s="318"/>
      <c r="B479" s="318"/>
      <c r="F479" s="340"/>
      <c r="H479" s="201"/>
      <c r="I479" s="201"/>
      <c r="J479" s="201"/>
      <c r="K479" s="201"/>
      <c r="L479" s="201"/>
      <c r="M479" s="201"/>
      <c r="N479" s="201"/>
      <c r="O479" s="201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  <c r="Z479" s="201"/>
      <c r="AA479" s="201"/>
      <c r="AB479" s="201"/>
      <c r="AC479" s="201"/>
      <c r="AD479" s="201"/>
      <c r="AE479" s="201"/>
      <c r="AG479" s="333"/>
    </row>
    <row r="480" spans="1:33">
      <c r="A480" s="318"/>
      <c r="B480" s="318"/>
      <c r="F480" s="340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  <c r="Z480" s="201"/>
      <c r="AA480" s="201"/>
      <c r="AB480" s="201"/>
      <c r="AC480" s="201"/>
      <c r="AD480" s="201"/>
      <c r="AE480" s="201"/>
      <c r="AG480" s="333"/>
    </row>
    <row r="481" spans="1:33">
      <c r="A481" s="318"/>
      <c r="B481" s="318"/>
      <c r="F481" s="340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  <c r="Z481" s="201"/>
      <c r="AA481" s="201"/>
      <c r="AB481" s="201"/>
      <c r="AC481" s="201"/>
      <c r="AD481" s="201"/>
      <c r="AE481" s="201"/>
      <c r="AG481" s="333"/>
    </row>
    <row r="482" spans="1:33">
      <c r="A482" s="318"/>
      <c r="B482" s="318"/>
      <c r="F482" s="340"/>
      <c r="H482" s="201"/>
      <c r="I482" s="201"/>
      <c r="J482" s="201"/>
      <c r="K482" s="201"/>
      <c r="L482" s="201"/>
      <c r="M482" s="201"/>
      <c r="N482" s="201"/>
      <c r="O482" s="201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  <c r="Z482" s="201"/>
      <c r="AA482" s="201"/>
      <c r="AB482" s="201"/>
      <c r="AC482" s="201"/>
      <c r="AD482" s="201"/>
      <c r="AE482" s="201"/>
      <c r="AG482" s="333"/>
    </row>
    <row r="483" spans="1:33">
      <c r="A483" s="318"/>
      <c r="B483" s="318"/>
      <c r="F483" s="340"/>
      <c r="H483" s="201"/>
      <c r="I483" s="201"/>
      <c r="J483" s="201"/>
      <c r="K483" s="201"/>
      <c r="L483" s="201"/>
      <c r="M483" s="201"/>
      <c r="N483" s="201"/>
      <c r="O483" s="201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  <c r="Z483" s="201"/>
      <c r="AA483" s="201"/>
      <c r="AB483" s="201"/>
      <c r="AC483" s="201"/>
      <c r="AD483" s="201"/>
      <c r="AE483" s="201"/>
      <c r="AG483" s="333"/>
    </row>
    <row r="484" spans="1:33">
      <c r="A484" s="337" t="s">
        <v>45</v>
      </c>
      <c r="B484" s="318"/>
      <c r="F484" s="340"/>
      <c r="H484" s="201"/>
      <c r="I484" s="201"/>
      <c r="J484" s="201"/>
      <c r="K484" s="201"/>
      <c r="L484" s="201"/>
      <c r="M484" s="201"/>
      <c r="N484" s="201"/>
      <c r="O484" s="201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  <c r="Z484" s="201"/>
      <c r="AA484" s="201"/>
      <c r="AB484" s="201"/>
      <c r="AC484" s="201"/>
      <c r="AD484" s="201"/>
      <c r="AE484" s="201"/>
      <c r="AG484" s="333"/>
    </row>
    <row r="485" spans="1:33">
      <c r="A485" s="318"/>
      <c r="B485" s="318"/>
      <c r="F485" s="340"/>
      <c r="H485" s="201"/>
      <c r="I485" s="201"/>
      <c r="J485" s="201"/>
      <c r="K485" s="201"/>
      <c r="L485" s="201"/>
      <c r="M485" s="201"/>
      <c r="N485" s="201"/>
      <c r="O485" s="201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  <c r="Z485" s="201"/>
      <c r="AA485" s="201"/>
      <c r="AB485" s="201"/>
      <c r="AC485" s="201"/>
      <c r="AD485" s="201"/>
      <c r="AE485" s="201"/>
      <c r="AG485" s="333"/>
    </row>
    <row r="486" spans="1:33">
      <c r="A486" s="87" t="s">
        <v>1151</v>
      </c>
      <c r="B486" s="318"/>
      <c r="F486" s="340"/>
      <c r="H486" s="201"/>
      <c r="I486" s="201"/>
      <c r="J486" s="201"/>
      <c r="K486" s="201"/>
      <c r="L486" s="201"/>
      <c r="M486" s="201"/>
      <c r="N486" s="201"/>
      <c r="O486" s="201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  <c r="Z486" s="201"/>
      <c r="AA486" s="201"/>
      <c r="AB486" s="201"/>
      <c r="AC486" s="201"/>
      <c r="AD486" s="201"/>
      <c r="AE486" s="201"/>
      <c r="AG486" s="333"/>
    </row>
    <row r="487" spans="1:33">
      <c r="A487" s="318">
        <v>920</v>
      </c>
      <c r="B487" s="318" t="s">
        <v>1152</v>
      </c>
      <c r="C487" s="165" t="s">
        <v>88</v>
      </c>
      <c r="D487" s="165" t="s">
        <v>697</v>
      </c>
      <c r="F487" s="203">
        <v>12759896.210000001</v>
      </c>
      <c r="H487" s="201">
        <f t="shared" ref="H487:Q498" si="216">IF(VLOOKUP($D487,$C$6:$AE$598,H$2,)=0,0,((VLOOKUP($D487,$C$6:$AE$598,H$2,)/VLOOKUP($D487,$C$6:$AE$598,4,))*$F487))</f>
        <v>1711845.7346454409</v>
      </c>
      <c r="I487" s="201">
        <f t="shared" si="216"/>
        <v>1613718.8831591476</v>
      </c>
      <c r="J487" s="201">
        <f t="shared" si="216"/>
        <v>1657300.4331495683</v>
      </c>
      <c r="K487" s="201">
        <f t="shared" si="216"/>
        <v>3356267.8638253985</v>
      </c>
      <c r="L487" s="201">
        <f t="shared" si="216"/>
        <v>0</v>
      </c>
      <c r="M487" s="201">
        <f t="shared" si="216"/>
        <v>0</v>
      </c>
      <c r="N487" s="201">
        <f t="shared" si="216"/>
        <v>263477.30544611422</v>
      </c>
      <c r="O487" s="201">
        <f t="shared" si="216"/>
        <v>248374.19311638412</v>
      </c>
      <c r="P487" s="201">
        <f t="shared" si="216"/>
        <v>255082.01095665194</v>
      </c>
      <c r="Q487" s="201">
        <f t="shared" si="216"/>
        <v>0</v>
      </c>
      <c r="R487" s="201">
        <f t="shared" ref="R487:AE498" si="217">IF(VLOOKUP($D487,$C$6:$AE$598,R$2,)=0,0,((VLOOKUP($D487,$C$6:$AE$598,R$2,)/VLOOKUP($D487,$C$6:$AE$598,4,))*$F487))</f>
        <v>311886.39692332369</v>
      </c>
      <c r="S487" s="201">
        <f t="shared" si="217"/>
        <v>0</v>
      </c>
      <c r="T487" s="201">
        <f t="shared" si="217"/>
        <v>457709.73865442409</v>
      </c>
      <c r="U487" s="201">
        <f t="shared" si="217"/>
        <v>623394.94809825416</v>
      </c>
      <c r="V487" s="201">
        <f t="shared" si="217"/>
        <v>152569.91288480803</v>
      </c>
      <c r="W487" s="201">
        <f t="shared" si="217"/>
        <v>207798.31603275141</v>
      </c>
      <c r="X487" s="201">
        <f t="shared" si="217"/>
        <v>40485.126494361662</v>
      </c>
      <c r="Y487" s="201">
        <f t="shared" si="217"/>
        <v>32199.122149016544</v>
      </c>
      <c r="Z487" s="201">
        <f t="shared" si="217"/>
        <v>9363.2916097023499</v>
      </c>
      <c r="AA487" s="201">
        <f t="shared" si="217"/>
        <v>722417.97729862086</v>
      </c>
      <c r="AB487" s="201">
        <f t="shared" si="217"/>
        <v>29634.06101408981</v>
      </c>
      <c r="AC487" s="201">
        <f t="shared" si="217"/>
        <v>891419.81990462227</v>
      </c>
      <c r="AD487" s="201">
        <f t="shared" si="217"/>
        <v>174951.07463732068</v>
      </c>
      <c r="AE487" s="201">
        <f t="shared" si="217"/>
        <v>0</v>
      </c>
      <c r="AF487" s="201">
        <f t="shared" ref="AF487:AF498" si="218">SUM(H487:AE487)</f>
        <v>12759896.209999997</v>
      </c>
      <c r="AG487" s="333" t="str">
        <f t="shared" ref="AG487:AG498" si="219">IF(ABS(AF487-F487)&lt;1,"ok","err")</f>
        <v>ok</v>
      </c>
    </row>
    <row r="488" spans="1:33">
      <c r="A488" s="318">
        <v>921</v>
      </c>
      <c r="B488" s="318" t="s">
        <v>1154</v>
      </c>
      <c r="C488" s="318" t="s">
        <v>88</v>
      </c>
      <c r="D488" s="318" t="s">
        <v>697</v>
      </c>
      <c r="F488" s="203">
        <v>28200</v>
      </c>
      <c r="H488" s="201">
        <f t="shared" si="216"/>
        <v>3783.263509554944</v>
      </c>
      <c r="I488" s="201">
        <f t="shared" si="216"/>
        <v>3566.3983277092784</v>
      </c>
      <c r="J488" s="201">
        <f t="shared" si="216"/>
        <v>3662.7157028276347</v>
      </c>
      <c r="K488" s="201">
        <f t="shared" si="216"/>
        <v>7417.5175253934322</v>
      </c>
      <c r="L488" s="201">
        <f t="shared" si="216"/>
        <v>0</v>
      </c>
      <c r="M488" s="201">
        <f t="shared" si="216"/>
        <v>0</v>
      </c>
      <c r="N488" s="201">
        <f t="shared" si="216"/>
        <v>582.29784093051182</v>
      </c>
      <c r="O488" s="201">
        <f t="shared" si="216"/>
        <v>548.91921772787146</v>
      </c>
      <c r="P488" s="201">
        <f t="shared" si="216"/>
        <v>563.74382601483433</v>
      </c>
      <c r="Q488" s="201">
        <f t="shared" si="216"/>
        <v>0</v>
      </c>
      <c r="R488" s="201">
        <f t="shared" si="217"/>
        <v>689.28432085089253</v>
      </c>
      <c r="S488" s="201">
        <f t="shared" si="217"/>
        <v>0</v>
      </c>
      <c r="T488" s="201">
        <f t="shared" si="217"/>
        <v>1011.561098744608</v>
      </c>
      <c r="U488" s="201">
        <f t="shared" si="217"/>
        <v>1377.7335839607715</v>
      </c>
      <c r="V488" s="201">
        <f t="shared" si="217"/>
        <v>337.18703291486929</v>
      </c>
      <c r="W488" s="201">
        <f t="shared" si="217"/>
        <v>459.24452798692391</v>
      </c>
      <c r="X488" s="201">
        <f t="shared" si="217"/>
        <v>89.474126462428231</v>
      </c>
      <c r="Y488" s="201">
        <f t="shared" si="217"/>
        <v>71.161648155934841</v>
      </c>
      <c r="Z488" s="201">
        <f t="shared" si="217"/>
        <v>20.693336297412269</v>
      </c>
      <c r="AA488" s="201">
        <f t="shared" si="217"/>
        <v>1596.5793627580852</v>
      </c>
      <c r="AB488" s="201">
        <f t="shared" si="217"/>
        <v>65.492736527308523</v>
      </c>
      <c r="AC488" s="201">
        <f t="shared" si="217"/>
        <v>1970.0817708540239</v>
      </c>
      <c r="AD488" s="201">
        <f t="shared" si="217"/>
        <v>386.65050432823563</v>
      </c>
      <c r="AE488" s="201">
        <f t="shared" si="217"/>
        <v>0</v>
      </c>
      <c r="AF488" s="201">
        <f>SUM(H488:AE488)</f>
        <v>28200</v>
      </c>
      <c r="AG488" s="333" t="str">
        <f t="shared" si="219"/>
        <v>ok</v>
      </c>
    </row>
    <row r="489" spans="1:33">
      <c r="A489" s="318">
        <v>922</v>
      </c>
      <c r="B489" s="318" t="s">
        <v>635</v>
      </c>
      <c r="C489" s="165" t="s">
        <v>636</v>
      </c>
      <c r="D489" s="165" t="s">
        <v>697</v>
      </c>
      <c r="F489" s="340">
        <v>-1186638.1499999999</v>
      </c>
      <c r="H489" s="201">
        <f t="shared" si="216"/>
        <v>-159197.33375676544</v>
      </c>
      <c r="I489" s="201">
        <f t="shared" si="216"/>
        <v>-150071.78417574579</v>
      </c>
      <c r="J489" s="201">
        <f t="shared" si="216"/>
        <v>-154124.75835387709</v>
      </c>
      <c r="K489" s="201">
        <f t="shared" si="216"/>
        <v>-312124.44233778154</v>
      </c>
      <c r="L489" s="201">
        <f t="shared" si="216"/>
        <v>0</v>
      </c>
      <c r="M489" s="201">
        <f t="shared" si="216"/>
        <v>0</v>
      </c>
      <c r="N489" s="201">
        <f t="shared" si="216"/>
        <v>-24502.724564211941</v>
      </c>
      <c r="O489" s="201">
        <f t="shared" si="216"/>
        <v>-23098.173227803141</v>
      </c>
      <c r="P489" s="201">
        <f t="shared" si="216"/>
        <v>-23721.98336085691</v>
      </c>
      <c r="Q489" s="201">
        <f t="shared" si="216"/>
        <v>0</v>
      </c>
      <c r="R489" s="201">
        <f t="shared" si="217"/>
        <v>-29004.647919096078</v>
      </c>
      <c r="S489" s="201">
        <f t="shared" si="217"/>
        <v>0</v>
      </c>
      <c r="T489" s="201">
        <f t="shared" si="217"/>
        <v>-42565.850738520174</v>
      </c>
      <c r="U489" s="201">
        <f t="shared" si="217"/>
        <v>-57974.157137024093</v>
      </c>
      <c r="V489" s="201">
        <f t="shared" si="217"/>
        <v>-14188.616912840056</v>
      </c>
      <c r="W489" s="201">
        <f t="shared" si="217"/>
        <v>-19324.719045674701</v>
      </c>
      <c r="X489" s="201">
        <f t="shared" si="217"/>
        <v>-3765.0146063206339</v>
      </c>
      <c r="Y489" s="201">
        <f t="shared" si="217"/>
        <v>-2994.4371105925329</v>
      </c>
      <c r="Z489" s="201">
        <f t="shared" si="217"/>
        <v>-870.76249295351568</v>
      </c>
      <c r="AA489" s="201">
        <f t="shared" si="217"/>
        <v>-67183.048984093359</v>
      </c>
      <c r="AB489" s="201">
        <f t="shared" si="217"/>
        <v>-2755.8928975603831</v>
      </c>
      <c r="AC489" s="201">
        <f t="shared" si="217"/>
        <v>-82899.793897693002</v>
      </c>
      <c r="AD489" s="201">
        <f t="shared" si="217"/>
        <v>-16270.00848058952</v>
      </c>
      <c r="AE489" s="201">
        <f t="shared" si="217"/>
        <v>0</v>
      </c>
      <c r="AF489" s="201">
        <f t="shared" si="218"/>
        <v>-1186638.1500000001</v>
      </c>
      <c r="AG489" s="333" t="str">
        <f t="shared" si="219"/>
        <v>ok</v>
      </c>
    </row>
    <row r="490" spans="1:33">
      <c r="A490" s="318">
        <v>923</v>
      </c>
      <c r="B490" s="318" t="s">
        <v>1156</v>
      </c>
      <c r="C490" s="165" t="s">
        <v>89</v>
      </c>
      <c r="D490" s="165" t="s">
        <v>697</v>
      </c>
      <c r="F490" s="340">
        <v>0</v>
      </c>
      <c r="H490" s="201">
        <f t="shared" si="216"/>
        <v>0</v>
      </c>
      <c r="I490" s="201">
        <f t="shared" si="216"/>
        <v>0</v>
      </c>
      <c r="J490" s="201">
        <f t="shared" si="216"/>
        <v>0</v>
      </c>
      <c r="K490" s="201">
        <f t="shared" si="216"/>
        <v>0</v>
      </c>
      <c r="L490" s="201">
        <f t="shared" si="216"/>
        <v>0</v>
      </c>
      <c r="M490" s="201">
        <f t="shared" si="216"/>
        <v>0</v>
      </c>
      <c r="N490" s="201">
        <f t="shared" si="216"/>
        <v>0</v>
      </c>
      <c r="O490" s="201">
        <f t="shared" si="216"/>
        <v>0</v>
      </c>
      <c r="P490" s="201">
        <f t="shared" si="216"/>
        <v>0</v>
      </c>
      <c r="Q490" s="201">
        <f t="shared" si="216"/>
        <v>0</v>
      </c>
      <c r="R490" s="201">
        <f t="shared" si="217"/>
        <v>0</v>
      </c>
      <c r="S490" s="201">
        <f t="shared" si="217"/>
        <v>0</v>
      </c>
      <c r="T490" s="201">
        <f t="shared" si="217"/>
        <v>0</v>
      </c>
      <c r="U490" s="201">
        <f t="shared" si="217"/>
        <v>0</v>
      </c>
      <c r="V490" s="201">
        <f t="shared" si="217"/>
        <v>0</v>
      </c>
      <c r="W490" s="201">
        <f t="shared" si="217"/>
        <v>0</v>
      </c>
      <c r="X490" s="201">
        <f t="shared" si="217"/>
        <v>0</v>
      </c>
      <c r="Y490" s="201">
        <f t="shared" si="217"/>
        <v>0</v>
      </c>
      <c r="Z490" s="201">
        <f t="shared" si="217"/>
        <v>0</v>
      </c>
      <c r="AA490" s="201">
        <f t="shared" si="217"/>
        <v>0</v>
      </c>
      <c r="AB490" s="201">
        <f t="shared" si="217"/>
        <v>0</v>
      </c>
      <c r="AC490" s="201">
        <f t="shared" si="217"/>
        <v>0</v>
      </c>
      <c r="AD490" s="201">
        <f t="shared" si="217"/>
        <v>0</v>
      </c>
      <c r="AE490" s="201">
        <f t="shared" si="217"/>
        <v>0</v>
      </c>
      <c r="AF490" s="201">
        <f t="shared" si="218"/>
        <v>0</v>
      </c>
      <c r="AG490" s="333" t="str">
        <f t="shared" si="219"/>
        <v>ok</v>
      </c>
    </row>
    <row r="491" spans="1:33">
      <c r="A491" s="318">
        <v>924</v>
      </c>
      <c r="B491" s="318" t="s">
        <v>1158</v>
      </c>
      <c r="C491" s="165" t="s">
        <v>90</v>
      </c>
      <c r="D491" s="165" t="s">
        <v>1072</v>
      </c>
      <c r="F491" s="340">
        <v>0</v>
      </c>
      <c r="H491" s="201">
        <f t="shared" si="216"/>
        <v>0</v>
      </c>
      <c r="I491" s="201">
        <f t="shared" si="216"/>
        <v>0</v>
      </c>
      <c r="J491" s="201">
        <f t="shared" si="216"/>
        <v>0</v>
      </c>
      <c r="K491" s="201">
        <f t="shared" si="216"/>
        <v>0</v>
      </c>
      <c r="L491" s="201">
        <f t="shared" si="216"/>
        <v>0</v>
      </c>
      <c r="M491" s="201">
        <f t="shared" si="216"/>
        <v>0</v>
      </c>
      <c r="N491" s="201">
        <f t="shared" si="216"/>
        <v>0</v>
      </c>
      <c r="O491" s="201">
        <f t="shared" si="216"/>
        <v>0</v>
      </c>
      <c r="P491" s="201">
        <f t="shared" si="216"/>
        <v>0</v>
      </c>
      <c r="Q491" s="201">
        <f t="shared" si="216"/>
        <v>0</v>
      </c>
      <c r="R491" s="201">
        <f t="shared" si="217"/>
        <v>0</v>
      </c>
      <c r="S491" s="201">
        <f t="shared" si="217"/>
        <v>0</v>
      </c>
      <c r="T491" s="201">
        <f t="shared" si="217"/>
        <v>0</v>
      </c>
      <c r="U491" s="201">
        <f t="shared" si="217"/>
        <v>0</v>
      </c>
      <c r="V491" s="201">
        <f t="shared" si="217"/>
        <v>0</v>
      </c>
      <c r="W491" s="201">
        <f t="shared" si="217"/>
        <v>0</v>
      </c>
      <c r="X491" s="201">
        <f t="shared" si="217"/>
        <v>0</v>
      </c>
      <c r="Y491" s="201">
        <f t="shared" si="217"/>
        <v>0</v>
      </c>
      <c r="Z491" s="201">
        <f t="shared" si="217"/>
        <v>0</v>
      </c>
      <c r="AA491" s="201">
        <f t="shared" si="217"/>
        <v>0</v>
      </c>
      <c r="AB491" s="201">
        <f t="shared" si="217"/>
        <v>0</v>
      </c>
      <c r="AC491" s="201">
        <f t="shared" si="217"/>
        <v>0</v>
      </c>
      <c r="AD491" s="201">
        <f t="shared" si="217"/>
        <v>0</v>
      </c>
      <c r="AE491" s="201">
        <f t="shared" si="217"/>
        <v>0</v>
      </c>
      <c r="AF491" s="201">
        <f t="shared" si="218"/>
        <v>0</v>
      </c>
      <c r="AG491" s="333" t="str">
        <f t="shared" si="219"/>
        <v>ok</v>
      </c>
    </row>
    <row r="492" spans="1:33">
      <c r="A492" s="318">
        <v>925</v>
      </c>
      <c r="B492" s="318" t="s">
        <v>1160</v>
      </c>
      <c r="C492" s="165" t="s">
        <v>91</v>
      </c>
      <c r="D492" s="165" t="s">
        <v>697</v>
      </c>
      <c r="F492" s="340">
        <v>49989.72</v>
      </c>
      <c r="H492" s="201">
        <f t="shared" si="216"/>
        <v>6706.5348769102475</v>
      </c>
      <c r="I492" s="201">
        <f t="shared" si="216"/>
        <v>6322.1011989593999</v>
      </c>
      <c r="J492" s="201">
        <f t="shared" si="216"/>
        <v>6492.8415753176123</v>
      </c>
      <c r="K492" s="201">
        <f t="shared" si="216"/>
        <v>13148.922843599667</v>
      </c>
      <c r="L492" s="201">
        <f t="shared" si="216"/>
        <v>0</v>
      </c>
      <c r="M492" s="201">
        <f t="shared" si="216"/>
        <v>0</v>
      </c>
      <c r="N492" s="201">
        <f t="shared" si="216"/>
        <v>1032.2307100964833</v>
      </c>
      <c r="O492" s="201">
        <f t="shared" si="216"/>
        <v>973.06092187359332</v>
      </c>
      <c r="P492" s="201">
        <f t="shared" si="216"/>
        <v>999.34028419185415</v>
      </c>
      <c r="Q492" s="201">
        <f t="shared" si="216"/>
        <v>0</v>
      </c>
      <c r="R492" s="201">
        <f t="shared" si="217"/>
        <v>1221.8840496356836</v>
      </c>
      <c r="S492" s="201">
        <f t="shared" si="217"/>
        <v>0</v>
      </c>
      <c r="T492" s="201">
        <f t="shared" si="217"/>
        <v>1793.1792939409681</v>
      </c>
      <c r="U492" s="201">
        <f t="shared" si="217"/>
        <v>2442.2878048509028</v>
      </c>
      <c r="V492" s="201">
        <f t="shared" si="217"/>
        <v>597.72643131365612</v>
      </c>
      <c r="W492" s="201">
        <f t="shared" si="217"/>
        <v>814.09593495030106</v>
      </c>
      <c r="X492" s="201">
        <f t="shared" si="217"/>
        <v>158.60945138657368</v>
      </c>
      <c r="Y492" s="201">
        <f t="shared" si="217"/>
        <v>126.14719383169147</v>
      </c>
      <c r="Z492" s="201">
        <f t="shared" si="217"/>
        <v>36.682769055797024</v>
      </c>
      <c r="AA492" s="201">
        <f t="shared" si="217"/>
        <v>2830.2324575196844</v>
      </c>
      <c r="AB492" s="201">
        <f t="shared" si="217"/>
        <v>116.09799861822431</v>
      </c>
      <c r="AC492" s="201">
        <f t="shared" si="217"/>
        <v>3492.3346135495326</v>
      </c>
      <c r="AD492" s="201">
        <f t="shared" si="217"/>
        <v>685.40959039813072</v>
      </c>
      <c r="AE492" s="201">
        <f t="shared" si="217"/>
        <v>0</v>
      </c>
      <c r="AF492" s="201">
        <f t="shared" si="218"/>
        <v>49989.72</v>
      </c>
      <c r="AG492" s="333" t="str">
        <f t="shared" si="219"/>
        <v>ok</v>
      </c>
    </row>
    <row r="493" spans="1:33">
      <c r="A493" s="318">
        <v>926</v>
      </c>
      <c r="B493" s="318" t="s">
        <v>1162</v>
      </c>
      <c r="C493" s="165" t="s">
        <v>92</v>
      </c>
      <c r="D493" s="165" t="s">
        <v>697</v>
      </c>
      <c r="F493" s="340">
        <v>345.93</v>
      </c>
      <c r="H493" s="201">
        <f t="shared" si="216"/>
        <v>46.409373966678785</v>
      </c>
      <c r="I493" s="201">
        <f t="shared" si="216"/>
        <v>43.749084166825206</v>
      </c>
      <c r="J493" s="201">
        <f t="shared" si="216"/>
        <v>44.930611456707929</v>
      </c>
      <c r="K493" s="201">
        <f t="shared" si="216"/>
        <v>90.990845303523045</v>
      </c>
      <c r="L493" s="201">
        <f t="shared" si="216"/>
        <v>0</v>
      </c>
      <c r="M493" s="201">
        <f t="shared" si="216"/>
        <v>0</v>
      </c>
      <c r="N493" s="201">
        <f t="shared" si="216"/>
        <v>7.1430600040103531</v>
      </c>
      <c r="O493" s="201">
        <f t="shared" si="216"/>
        <v>6.7336037230000914</v>
      </c>
      <c r="P493" s="201">
        <f t="shared" si="216"/>
        <v>6.9154575082734624</v>
      </c>
      <c r="Q493" s="201">
        <f t="shared" si="216"/>
        <v>0</v>
      </c>
      <c r="R493" s="201">
        <f t="shared" si="217"/>
        <v>8.4554654295017464</v>
      </c>
      <c r="S493" s="201">
        <f t="shared" si="217"/>
        <v>0</v>
      </c>
      <c r="T493" s="201">
        <f t="shared" si="217"/>
        <v>12.408841520876676</v>
      </c>
      <c r="U493" s="201">
        <f t="shared" si="217"/>
        <v>16.900687187927293</v>
      </c>
      <c r="V493" s="201">
        <f t="shared" si="217"/>
        <v>4.1362805069588919</v>
      </c>
      <c r="W493" s="201">
        <f t="shared" si="217"/>
        <v>5.6335623959757655</v>
      </c>
      <c r="X493" s="201">
        <f t="shared" si="217"/>
        <v>1.0975810130194255</v>
      </c>
      <c r="Y493" s="201">
        <f t="shared" si="217"/>
        <v>0.87294145200647311</v>
      </c>
      <c r="Z493" s="201">
        <f t="shared" si="217"/>
        <v>0.25384559664410733</v>
      </c>
      <c r="AA493" s="201">
        <f t="shared" si="217"/>
        <v>19.585273012727107</v>
      </c>
      <c r="AB493" s="201">
        <f t="shared" si="217"/>
        <v>0.80340079244297302</v>
      </c>
      <c r="AC493" s="201">
        <f t="shared" si="217"/>
        <v>24.167034999699734</v>
      </c>
      <c r="AD493" s="201">
        <f t="shared" si="217"/>
        <v>4.7430499632009413</v>
      </c>
      <c r="AE493" s="201">
        <f t="shared" si="217"/>
        <v>0</v>
      </c>
      <c r="AF493" s="201">
        <f t="shared" si="218"/>
        <v>345.93</v>
      </c>
      <c r="AG493" s="333" t="str">
        <f t="shared" si="219"/>
        <v>ok</v>
      </c>
    </row>
    <row r="494" spans="1:33">
      <c r="A494" s="318">
        <v>928</v>
      </c>
      <c r="B494" s="318" t="s">
        <v>975</v>
      </c>
      <c r="C494" s="165" t="s">
        <v>93</v>
      </c>
      <c r="D494" s="165" t="s">
        <v>1072</v>
      </c>
      <c r="F494" s="340">
        <v>0</v>
      </c>
      <c r="H494" s="201">
        <f t="shared" si="216"/>
        <v>0</v>
      </c>
      <c r="I494" s="201">
        <f t="shared" si="216"/>
        <v>0</v>
      </c>
      <c r="J494" s="201">
        <f t="shared" si="216"/>
        <v>0</v>
      </c>
      <c r="K494" s="201">
        <f t="shared" si="216"/>
        <v>0</v>
      </c>
      <c r="L494" s="201">
        <f t="shared" si="216"/>
        <v>0</v>
      </c>
      <c r="M494" s="201">
        <f t="shared" si="216"/>
        <v>0</v>
      </c>
      <c r="N494" s="201">
        <f t="shared" si="216"/>
        <v>0</v>
      </c>
      <c r="O494" s="201">
        <f t="shared" si="216"/>
        <v>0</v>
      </c>
      <c r="P494" s="201">
        <f t="shared" si="216"/>
        <v>0</v>
      </c>
      <c r="Q494" s="201">
        <f t="shared" si="216"/>
        <v>0</v>
      </c>
      <c r="R494" s="201">
        <f t="shared" si="217"/>
        <v>0</v>
      </c>
      <c r="S494" s="201">
        <f t="shared" si="217"/>
        <v>0</v>
      </c>
      <c r="T494" s="201">
        <f t="shared" si="217"/>
        <v>0</v>
      </c>
      <c r="U494" s="201">
        <f t="shared" si="217"/>
        <v>0</v>
      </c>
      <c r="V494" s="201">
        <f t="shared" si="217"/>
        <v>0</v>
      </c>
      <c r="W494" s="201">
        <f t="shared" si="217"/>
        <v>0</v>
      </c>
      <c r="X494" s="201">
        <f t="shared" si="217"/>
        <v>0</v>
      </c>
      <c r="Y494" s="201">
        <f t="shared" si="217"/>
        <v>0</v>
      </c>
      <c r="Z494" s="201">
        <f t="shared" si="217"/>
        <v>0</v>
      </c>
      <c r="AA494" s="201">
        <f t="shared" si="217"/>
        <v>0</v>
      </c>
      <c r="AB494" s="201">
        <f t="shared" si="217"/>
        <v>0</v>
      </c>
      <c r="AC494" s="201">
        <f t="shared" si="217"/>
        <v>0</v>
      </c>
      <c r="AD494" s="201">
        <f t="shared" si="217"/>
        <v>0</v>
      </c>
      <c r="AE494" s="201">
        <f t="shared" si="217"/>
        <v>0</v>
      </c>
      <c r="AF494" s="201">
        <f t="shared" si="218"/>
        <v>0</v>
      </c>
      <c r="AG494" s="333" t="str">
        <f t="shared" si="219"/>
        <v>ok</v>
      </c>
    </row>
    <row r="495" spans="1:33">
      <c r="A495" s="318">
        <v>929</v>
      </c>
      <c r="B495" s="318" t="s">
        <v>1263</v>
      </c>
      <c r="C495" s="165" t="s">
        <v>94</v>
      </c>
      <c r="D495" s="165" t="s">
        <v>697</v>
      </c>
      <c r="F495" s="340">
        <v>0</v>
      </c>
      <c r="H495" s="201">
        <f t="shared" si="216"/>
        <v>0</v>
      </c>
      <c r="I495" s="201">
        <f t="shared" si="216"/>
        <v>0</v>
      </c>
      <c r="J495" s="201">
        <f t="shared" si="216"/>
        <v>0</v>
      </c>
      <c r="K495" s="201">
        <f t="shared" si="216"/>
        <v>0</v>
      </c>
      <c r="L495" s="201">
        <f t="shared" si="216"/>
        <v>0</v>
      </c>
      <c r="M495" s="201">
        <f t="shared" si="216"/>
        <v>0</v>
      </c>
      <c r="N495" s="201">
        <f t="shared" si="216"/>
        <v>0</v>
      </c>
      <c r="O495" s="201">
        <f t="shared" si="216"/>
        <v>0</v>
      </c>
      <c r="P495" s="201">
        <f t="shared" si="216"/>
        <v>0</v>
      </c>
      <c r="Q495" s="201">
        <f t="shared" si="216"/>
        <v>0</v>
      </c>
      <c r="R495" s="201">
        <f t="shared" si="217"/>
        <v>0</v>
      </c>
      <c r="S495" s="201">
        <f t="shared" si="217"/>
        <v>0</v>
      </c>
      <c r="T495" s="201">
        <f t="shared" si="217"/>
        <v>0</v>
      </c>
      <c r="U495" s="201">
        <f t="shared" si="217"/>
        <v>0</v>
      </c>
      <c r="V495" s="201">
        <f t="shared" si="217"/>
        <v>0</v>
      </c>
      <c r="W495" s="201">
        <f t="shared" si="217"/>
        <v>0</v>
      </c>
      <c r="X495" s="201">
        <f t="shared" si="217"/>
        <v>0</v>
      </c>
      <c r="Y495" s="201">
        <f t="shared" si="217"/>
        <v>0</v>
      </c>
      <c r="Z495" s="201">
        <f t="shared" si="217"/>
        <v>0</v>
      </c>
      <c r="AA495" s="201">
        <f t="shared" si="217"/>
        <v>0</v>
      </c>
      <c r="AB495" s="201">
        <f t="shared" si="217"/>
        <v>0</v>
      </c>
      <c r="AC495" s="201">
        <f t="shared" si="217"/>
        <v>0</v>
      </c>
      <c r="AD495" s="201">
        <f t="shared" si="217"/>
        <v>0</v>
      </c>
      <c r="AE495" s="201">
        <f t="shared" si="217"/>
        <v>0</v>
      </c>
      <c r="AF495" s="201">
        <f t="shared" si="218"/>
        <v>0</v>
      </c>
      <c r="AG495" s="333" t="str">
        <f t="shared" si="219"/>
        <v>ok</v>
      </c>
    </row>
    <row r="496" spans="1:33">
      <c r="A496" s="318">
        <v>930</v>
      </c>
      <c r="B496" s="318" t="s">
        <v>1165</v>
      </c>
      <c r="C496" s="165" t="s">
        <v>95</v>
      </c>
      <c r="D496" s="165" t="s">
        <v>697</v>
      </c>
      <c r="F496" s="340">
        <v>23307.45</v>
      </c>
      <c r="H496" s="201">
        <f t="shared" si="216"/>
        <v>3126.8874143892335</v>
      </c>
      <c r="I496" s="201">
        <f t="shared" si="216"/>
        <v>2947.6471880555896</v>
      </c>
      <c r="J496" s="201">
        <f t="shared" si="216"/>
        <v>3027.2540109173742</v>
      </c>
      <c r="K496" s="201">
        <f t="shared" si="216"/>
        <v>6130.617689618126</v>
      </c>
      <c r="L496" s="201">
        <f t="shared" si="216"/>
        <v>0</v>
      </c>
      <c r="M496" s="201">
        <f t="shared" si="216"/>
        <v>0</v>
      </c>
      <c r="N496" s="201">
        <f t="shared" si="216"/>
        <v>481.27226285800919</v>
      </c>
      <c r="O496" s="201">
        <f t="shared" si="216"/>
        <v>453.68465323515881</v>
      </c>
      <c r="P496" s="201">
        <f t="shared" si="216"/>
        <v>465.93727083863303</v>
      </c>
      <c r="Q496" s="201">
        <f t="shared" si="216"/>
        <v>0</v>
      </c>
      <c r="R496" s="201">
        <f t="shared" si="217"/>
        <v>569.69715758922462</v>
      </c>
      <c r="S496" s="201">
        <f t="shared" si="217"/>
        <v>0</v>
      </c>
      <c r="T496" s="201">
        <f t="shared" si="217"/>
        <v>836.06062875656073</v>
      </c>
      <c r="U496" s="201">
        <f t="shared" si="217"/>
        <v>1138.7041355137051</v>
      </c>
      <c r="V496" s="201">
        <f t="shared" si="217"/>
        <v>278.68687625218689</v>
      </c>
      <c r="W496" s="201">
        <f t="shared" si="217"/>
        <v>379.5680451712351</v>
      </c>
      <c r="X496" s="201">
        <f t="shared" si="217"/>
        <v>73.95084144740153</v>
      </c>
      <c r="Y496" s="201">
        <f t="shared" si="217"/>
        <v>58.815480720285237</v>
      </c>
      <c r="Z496" s="201">
        <f t="shared" si="217"/>
        <v>17.103152520748992</v>
      </c>
      <c r="AA496" s="201">
        <f t="shared" si="217"/>
        <v>1319.5813357629763</v>
      </c>
      <c r="AB496" s="201">
        <f t="shared" si="217"/>
        <v>54.130095105440326</v>
      </c>
      <c r="AC496" s="201">
        <f t="shared" si="217"/>
        <v>1628.2830627692063</v>
      </c>
      <c r="AD496" s="201">
        <f t="shared" si="217"/>
        <v>319.5686984789055</v>
      </c>
      <c r="AE496" s="201">
        <f t="shared" si="217"/>
        <v>0</v>
      </c>
      <c r="AF496" s="201">
        <f t="shared" si="218"/>
        <v>23307.45</v>
      </c>
      <c r="AG496" s="333" t="str">
        <f t="shared" si="219"/>
        <v>ok</v>
      </c>
    </row>
    <row r="497" spans="1:33">
      <c r="A497" s="318">
        <v>931</v>
      </c>
      <c r="B497" s="318" t="s">
        <v>1167</v>
      </c>
      <c r="C497" s="165" t="s">
        <v>96</v>
      </c>
      <c r="D497" s="165" t="s">
        <v>1062</v>
      </c>
      <c r="F497" s="340">
        <v>0</v>
      </c>
      <c r="H497" s="201">
        <f t="shared" si="216"/>
        <v>0</v>
      </c>
      <c r="I497" s="201">
        <f t="shared" si="216"/>
        <v>0</v>
      </c>
      <c r="J497" s="201">
        <f t="shared" si="216"/>
        <v>0</v>
      </c>
      <c r="K497" s="201">
        <f t="shared" si="216"/>
        <v>0</v>
      </c>
      <c r="L497" s="201">
        <f t="shared" si="216"/>
        <v>0</v>
      </c>
      <c r="M497" s="201">
        <f t="shared" si="216"/>
        <v>0</v>
      </c>
      <c r="N497" s="201">
        <f t="shared" si="216"/>
        <v>0</v>
      </c>
      <c r="O497" s="201">
        <f t="shared" si="216"/>
        <v>0</v>
      </c>
      <c r="P497" s="201">
        <f t="shared" si="216"/>
        <v>0</v>
      </c>
      <c r="Q497" s="201">
        <f t="shared" si="216"/>
        <v>0</v>
      </c>
      <c r="R497" s="201">
        <f t="shared" si="217"/>
        <v>0</v>
      </c>
      <c r="S497" s="201">
        <f t="shared" si="217"/>
        <v>0</v>
      </c>
      <c r="T497" s="201">
        <f t="shared" si="217"/>
        <v>0</v>
      </c>
      <c r="U497" s="201">
        <f t="shared" si="217"/>
        <v>0</v>
      </c>
      <c r="V497" s="201">
        <f t="shared" si="217"/>
        <v>0</v>
      </c>
      <c r="W497" s="201">
        <f t="shared" si="217"/>
        <v>0</v>
      </c>
      <c r="X497" s="201">
        <f t="shared" si="217"/>
        <v>0</v>
      </c>
      <c r="Y497" s="201">
        <f t="shared" si="217"/>
        <v>0</v>
      </c>
      <c r="Z497" s="201">
        <f t="shared" si="217"/>
        <v>0</v>
      </c>
      <c r="AA497" s="201">
        <f t="shared" si="217"/>
        <v>0</v>
      </c>
      <c r="AB497" s="201">
        <f t="shared" si="217"/>
        <v>0</v>
      </c>
      <c r="AC497" s="201">
        <f t="shared" si="217"/>
        <v>0</v>
      </c>
      <c r="AD497" s="201">
        <f t="shared" si="217"/>
        <v>0</v>
      </c>
      <c r="AE497" s="201">
        <f t="shared" si="217"/>
        <v>0</v>
      </c>
      <c r="AF497" s="201">
        <f t="shared" si="218"/>
        <v>0</v>
      </c>
      <c r="AG497" s="333" t="str">
        <f t="shared" si="219"/>
        <v>ok</v>
      </c>
    </row>
    <row r="498" spans="1:33">
      <c r="A498" s="318">
        <v>935</v>
      </c>
      <c r="B498" s="318" t="s">
        <v>1169</v>
      </c>
      <c r="C498" s="165" t="s">
        <v>97</v>
      </c>
      <c r="D498" s="165" t="s">
        <v>1062</v>
      </c>
      <c r="F498" s="340">
        <f>49616.09+662888.48+538881.37</f>
        <v>1251385.94</v>
      </c>
      <c r="H498" s="201">
        <f t="shared" si="216"/>
        <v>283730.14826177218</v>
      </c>
      <c r="I498" s="201">
        <f t="shared" si="216"/>
        <v>267466.09738546272</v>
      </c>
      <c r="J498" s="201">
        <f t="shared" si="216"/>
        <v>274689.52844002616</v>
      </c>
      <c r="K498" s="201">
        <f t="shared" si="216"/>
        <v>0</v>
      </c>
      <c r="L498" s="201">
        <f t="shared" si="216"/>
        <v>0</v>
      </c>
      <c r="M498" s="201">
        <f t="shared" si="216"/>
        <v>0</v>
      </c>
      <c r="N498" s="201">
        <f t="shared" si="216"/>
        <v>30452.321990673005</v>
      </c>
      <c r="O498" s="201">
        <f t="shared" si="216"/>
        <v>28706.726335109764</v>
      </c>
      <c r="P498" s="201">
        <f t="shared" si="216"/>
        <v>29482.006120140031</v>
      </c>
      <c r="Q498" s="201">
        <f t="shared" si="216"/>
        <v>0</v>
      </c>
      <c r="R498" s="201">
        <f t="shared" si="217"/>
        <v>37036.770471407101</v>
      </c>
      <c r="S498" s="201">
        <f t="shared" si="217"/>
        <v>0</v>
      </c>
      <c r="T498" s="201">
        <f t="shared" si="217"/>
        <v>57029.043844753985</v>
      </c>
      <c r="U498" s="201">
        <f t="shared" si="217"/>
        <v>93361.514680514039</v>
      </c>
      <c r="V498" s="201">
        <f t="shared" si="217"/>
        <v>19009.681281584661</v>
      </c>
      <c r="W498" s="201">
        <f t="shared" si="217"/>
        <v>31120.504893504683</v>
      </c>
      <c r="X498" s="201">
        <f t="shared" si="217"/>
        <v>26625.979157131555</v>
      </c>
      <c r="Y498" s="201">
        <f t="shared" si="217"/>
        <v>21176.496887987931</v>
      </c>
      <c r="Z498" s="201">
        <f t="shared" si="217"/>
        <v>9695.8800994768208</v>
      </c>
      <c r="AA498" s="201">
        <f t="shared" si="217"/>
        <v>13065.550394787319</v>
      </c>
      <c r="AB498" s="201">
        <f t="shared" si="217"/>
        <v>28737.689755667856</v>
      </c>
      <c r="AC498" s="201">
        <f t="shared" si="217"/>
        <v>0</v>
      </c>
      <c r="AD498" s="201">
        <f t="shared" si="217"/>
        <v>0</v>
      </c>
      <c r="AE498" s="201">
        <f t="shared" si="217"/>
        <v>0</v>
      </c>
      <c r="AF498" s="201">
        <f t="shared" si="218"/>
        <v>1251385.9399999997</v>
      </c>
      <c r="AG498" s="333" t="str">
        <f t="shared" si="219"/>
        <v>ok</v>
      </c>
    </row>
    <row r="499" spans="1:33">
      <c r="A499" s="318"/>
      <c r="B499" s="318"/>
      <c r="F499" s="340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  <c r="AA499" s="201"/>
      <c r="AB499" s="201"/>
      <c r="AC499" s="201"/>
      <c r="AD499" s="201"/>
      <c r="AE499" s="201"/>
      <c r="AF499" s="201"/>
      <c r="AG499" s="333"/>
    </row>
    <row r="500" spans="1:33">
      <c r="A500" s="318" t="s">
        <v>1170</v>
      </c>
      <c r="B500" s="318"/>
      <c r="C500" s="165" t="s">
        <v>98</v>
      </c>
      <c r="F500" s="203">
        <f t="shared" ref="F500:M500" si="220">SUM(F487:F499)</f>
        <v>12926487.1</v>
      </c>
      <c r="G500" s="347">
        <f t="shared" si="220"/>
        <v>0</v>
      </c>
      <c r="H500" s="347">
        <f t="shared" si="220"/>
        <v>1850041.6443252692</v>
      </c>
      <c r="I500" s="347">
        <f t="shared" si="220"/>
        <v>1743993.0921677556</v>
      </c>
      <c r="J500" s="347">
        <f t="shared" si="220"/>
        <v>1791092.9451362365</v>
      </c>
      <c r="K500" s="347">
        <f t="shared" si="220"/>
        <v>3070931.4703915315</v>
      </c>
      <c r="L500" s="347">
        <f t="shared" si="220"/>
        <v>0</v>
      </c>
      <c r="M500" s="347">
        <f t="shared" si="220"/>
        <v>0</v>
      </c>
      <c r="N500" s="347">
        <f>SUM(N487:N499)</f>
        <v>271529.84674646432</v>
      </c>
      <c r="O500" s="347">
        <f>SUM(O487:O499)</f>
        <v>255965.14462025039</v>
      </c>
      <c r="P500" s="347">
        <f>SUM(P487:P499)</f>
        <v>262877.97055448865</v>
      </c>
      <c r="Q500" s="347">
        <f t="shared" ref="Q500:AB500" si="221">SUM(Q487:Q499)</f>
        <v>0</v>
      </c>
      <c r="R500" s="347">
        <f t="shared" si="221"/>
        <v>322407.84046914009</v>
      </c>
      <c r="S500" s="347">
        <f t="shared" si="221"/>
        <v>0</v>
      </c>
      <c r="T500" s="347">
        <f t="shared" si="221"/>
        <v>475826.14162362099</v>
      </c>
      <c r="U500" s="347">
        <f t="shared" si="221"/>
        <v>663757.93185325747</v>
      </c>
      <c r="V500" s="347">
        <f t="shared" si="221"/>
        <v>158608.71387454032</v>
      </c>
      <c r="W500" s="347">
        <f t="shared" si="221"/>
        <v>221252.64395108586</v>
      </c>
      <c r="X500" s="347">
        <f t="shared" si="221"/>
        <v>63669.223045482009</v>
      </c>
      <c r="Y500" s="347">
        <f t="shared" si="221"/>
        <v>50638.179190571856</v>
      </c>
      <c r="Z500" s="347">
        <f t="shared" si="221"/>
        <v>18263.142319696257</v>
      </c>
      <c r="AA500" s="347">
        <f t="shared" si="221"/>
        <v>674066.45713836839</v>
      </c>
      <c r="AB500" s="347">
        <f t="shared" si="221"/>
        <v>55852.3821032407</v>
      </c>
      <c r="AC500" s="347">
        <f>SUM(AC487:AC499)</f>
        <v>815634.89248910174</v>
      </c>
      <c r="AD500" s="347">
        <f>SUM(AD487:AD499)</f>
        <v>160077.43799989962</v>
      </c>
      <c r="AE500" s="347">
        <f>SUM(AE487:AE499)</f>
        <v>0</v>
      </c>
      <c r="AF500" s="201">
        <f>SUM(H500:AE500)</f>
        <v>12926487.100000005</v>
      </c>
      <c r="AG500" s="333" t="str">
        <f>IF(ABS(AF500-F500)&lt;1,"ok","err")</f>
        <v>ok</v>
      </c>
    </row>
    <row r="501" spans="1:33">
      <c r="A501" s="318"/>
      <c r="B501" s="318"/>
      <c r="F501" s="340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  <c r="AA501" s="201"/>
      <c r="AB501" s="201"/>
      <c r="AC501" s="201"/>
      <c r="AD501" s="201"/>
      <c r="AE501" s="201"/>
      <c r="AF501" s="201"/>
      <c r="AG501" s="333"/>
    </row>
    <row r="502" spans="1:33">
      <c r="A502" s="318" t="s">
        <v>1172</v>
      </c>
      <c r="B502" s="318"/>
      <c r="C502" s="165" t="s">
        <v>99</v>
      </c>
      <c r="F502" s="203">
        <f>F452+F461+F476+F500</f>
        <v>63964274.950000003</v>
      </c>
      <c r="G502" s="347"/>
      <c r="H502" s="347">
        <f t="shared" ref="H502:M502" si="222">H452+H461+H476+H500</f>
        <v>8697183.5018185899</v>
      </c>
      <c r="I502" s="347">
        <f t="shared" si="222"/>
        <v>8198641.3630266543</v>
      </c>
      <c r="J502" s="347">
        <f t="shared" si="222"/>
        <v>8420061.2783199418</v>
      </c>
      <c r="K502" s="347">
        <f t="shared" si="222"/>
        <v>16495530.258855607</v>
      </c>
      <c r="L502" s="347">
        <f t="shared" si="222"/>
        <v>0</v>
      </c>
      <c r="M502" s="347">
        <f t="shared" si="222"/>
        <v>0</v>
      </c>
      <c r="N502" s="347">
        <f>N452+N461+N476+N500</f>
        <v>1325401.9627366951</v>
      </c>
      <c r="O502" s="347">
        <f>O452+O461+O476+O500</f>
        <v>1249426.9382792243</v>
      </c>
      <c r="P502" s="347">
        <f>P452+P461+P476+P500</f>
        <v>1283170.090905284</v>
      </c>
      <c r="Q502" s="347">
        <f t="shared" ref="Q502:AB502" si="223">Q452+Q461+Q476+Q500</f>
        <v>0</v>
      </c>
      <c r="R502" s="347">
        <f t="shared" si="223"/>
        <v>1569909.5048634373</v>
      </c>
      <c r="S502" s="347">
        <f t="shared" si="223"/>
        <v>0</v>
      </c>
      <c r="T502" s="347">
        <f t="shared" si="223"/>
        <v>2306600.6364832027</v>
      </c>
      <c r="U502" s="347">
        <f t="shared" si="223"/>
        <v>3157249.9308607052</v>
      </c>
      <c r="V502" s="347">
        <f t="shared" si="223"/>
        <v>768866.87882773415</v>
      </c>
      <c r="W502" s="347">
        <f t="shared" si="223"/>
        <v>1052416.6436202351</v>
      </c>
      <c r="X502" s="347">
        <f t="shared" si="223"/>
        <v>225604.02745872611</v>
      </c>
      <c r="Y502" s="347">
        <f t="shared" si="223"/>
        <v>179430.13314939974</v>
      </c>
      <c r="Z502" s="347">
        <f t="shared" si="223"/>
        <v>55714.990116009445</v>
      </c>
      <c r="AA502" s="347">
        <f t="shared" si="223"/>
        <v>3563636.6274268557</v>
      </c>
      <c r="AB502" s="347">
        <f t="shared" si="223"/>
        <v>174384.45276269878</v>
      </c>
      <c r="AC502" s="347">
        <f>AC452+AC461+AC476+AC500</f>
        <v>4381188.632489102</v>
      </c>
      <c r="AD502" s="347">
        <f>AD452+AD461+AD476+AD500</f>
        <v>859857.09799989953</v>
      </c>
      <c r="AE502" s="347">
        <f>AE452+AE461+AE476+AE500</f>
        <v>0</v>
      </c>
      <c r="AF502" s="201">
        <f>SUM(H502:AE502)</f>
        <v>63964274.95000001</v>
      </c>
      <c r="AG502" s="333" t="str">
        <f>IF(ABS(AF502-F502)&lt;1,"ok","err")</f>
        <v>ok</v>
      </c>
    </row>
    <row r="503" spans="1:33">
      <c r="A503" s="318"/>
      <c r="B503" s="318"/>
      <c r="F503" s="340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  <c r="AA503" s="201"/>
      <c r="AB503" s="201"/>
      <c r="AC503" s="201"/>
      <c r="AD503" s="201"/>
      <c r="AE503" s="201"/>
      <c r="AF503" s="201"/>
      <c r="AG503" s="333"/>
    </row>
    <row r="504" spans="1:33">
      <c r="A504" s="318" t="s">
        <v>19</v>
      </c>
      <c r="B504" s="318"/>
      <c r="C504" s="165" t="s">
        <v>100</v>
      </c>
      <c r="F504" s="342">
        <f t="shared" ref="F504:M504" si="224">F502-F392</f>
        <v>63964274.950000003</v>
      </c>
      <c r="G504" s="343">
        <f t="shared" si="224"/>
        <v>0</v>
      </c>
      <c r="H504" s="343">
        <f t="shared" si="224"/>
        <v>8697183.5018185899</v>
      </c>
      <c r="I504" s="343">
        <f t="shared" si="224"/>
        <v>8198641.3630266543</v>
      </c>
      <c r="J504" s="343">
        <f t="shared" si="224"/>
        <v>8420061.2783199418</v>
      </c>
      <c r="K504" s="343">
        <f t="shared" si="224"/>
        <v>16495530.258855607</v>
      </c>
      <c r="L504" s="343">
        <f t="shared" si="224"/>
        <v>0</v>
      </c>
      <c r="M504" s="343">
        <f t="shared" si="224"/>
        <v>0</v>
      </c>
      <c r="N504" s="343">
        <f>N502-N392</f>
        <v>1325401.9627366951</v>
      </c>
      <c r="O504" s="343">
        <f>O502-O392</f>
        <v>1249426.9382792243</v>
      </c>
      <c r="P504" s="343">
        <f>P502-P392</f>
        <v>1283170.090905284</v>
      </c>
      <c r="Q504" s="343">
        <f t="shared" ref="Q504:AB504" si="225">Q502-Q392</f>
        <v>0</v>
      </c>
      <c r="R504" s="343">
        <f t="shared" si="225"/>
        <v>1569909.5048634373</v>
      </c>
      <c r="S504" s="343">
        <f t="shared" si="225"/>
        <v>0</v>
      </c>
      <c r="T504" s="343">
        <f t="shared" si="225"/>
        <v>2306600.6364832027</v>
      </c>
      <c r="U504" s="343">
        <f t="shared" si="225"/>
        <v>3157249.9308607052</v>
      </c>
      <c r="V504" s="343">
        <f t="shared" si="225"/>
        <v>768866.87882773415</v>
      </c>
      <c r="W504" s="343">
        <f t="shared" si="225"/>
        <v>1052416.6436202351</v>
      </c>
      <c r="X504" s="343">
        <f t="shared" si="225"/>
        <v>225604.02745872611</v>
      </c>
      <c r="Y504" s="343">
        <f t="shared" si="225"/>
        <v>179430.13314939974</v>
      </c>
      <c r="Z504" s="343">
        <f t="shared" si="225"/>
        <v>55714.990116009445</v>
      </c>
      <c r="AA504" s="343">
        <f t="shared" si="225"/>
        <v>3563636.6274268557</v>
      </c>
      <c r="AB504" s="343">
        <f t="shared" si="225"/>
        <v>174384.45276269878</v>
      </c>
      <c r="AC504" s="343">
        <f>AC502-AC392</f>
        <v>4381188.632489102</v>
      </c>
      <c r="AD504" s="343">
        <f>AD502-AD392</f>
        <v>859857.09799989953</v>
      </c>
      <c r="AE504" s="343">
        <f>AE502-AE392</f>
        <v>0</v>
      </c>
      <c r="AF504" s="201">
        <f>SUM(H504:AE504)</f>
        <v>63964274.95000001</v>
      </c>
      <c r="AG504" s="333" t="str">
        <f>IF(ABS(AF504-F504)&lt;1,"ok","err")</f>
        <v>ok</v>
      </c>
    </row>
    <row r="505" spans="1:33">
      <c r="A505" s="318"/>
      <c r="B505" s="318"/>
      <c r="F505" s="342"/>
      <c r="G505" s="343"/>
      <c r="H505" s="343"/>
      <c r="I505" s="343"/>
      <c r="J505" s="343"/>
      <c r="K505" s="343"/>
      <c r="L505" s="343"/>
      <c r="M505" s="343"/>
      <c r="N505" s="343"/>
      <c r="O505" s="343"/>
      <c r="P505" s="343"/>
      <c r="Q505" s="343"/>
      <c r="R505" s="343"/>
      <c r="S505" s="343"/>
      <c r="T505" s="343"/>
      <c r="U505" s="343"/>
      <c r="V505" s="343"/>
      <c r="W505" s="343"/>
      <c r="X505" s="343"/>
      <c r="Y505" s="343"/>
      <c r="Z505" s="343"/>
      <c r="AA505" s="343"/>
      <c r="AB505" s="343"/>
      <c r="AC505" s="343"/>
      <c r="AD505" s="343"/>
      <c r="AE505" s="343"/>
      <c r="AF505" s="201"/>
      <c r="AG505" s="333"/>
    </row>
    <row r="506" spans="1:33">
      <c r="A506" s="318"/>
      <c r="B506" s="318"/>
      <c r="F506" s="342"/>
      <c r="G506" s="343"/>
      <c r="H506" s="343"/>
      <c r="I506" s="343"/>
      <c r="J506" s="343"/>
      <c r="K506" s="343"/>
      <c r="L506" s="343"/>
      <c r="M506" s="343"/>
      <c r="N506" s="343"/>
      <c r="O506" s="343"/>
      <c r="P506" s="343"/>
      <c r="Q506" s="343"/>
      <c r="R506" s="343"/>
      <c r="S506" s="343"/>
      <c r="T506" s="343"/>
      <c r="U506" s="343"/>
      <c r="V506" s="343"/>
      <c r="W506" s="343"/>
      <c r="X506" s="343"/>
      <c r="Y506" s="343"/>
      <c r="Z506" s="343"/>
      <c r="AA506" s="343"/>
      <c r="AB506" s="343"/>
      <c r="AC506" s="343"/>
      <c r="AD506" s="343"/>
      <c r="AE506" s="343"/>
      <c r="AF506" s="201"/>
      <c r="AG506" s="333"/>
    </row>
    <row r="507" spans="1:33">
      <c r="A507" s="318"/>
      <c r="B507" s="318"/>
      <c r="F507" s="342"/>
      <c r="G507" s="343"/>
      <c r="H507" s="343"/>
      <c r="I507" s="343"/>
      <c r="J507" s="343"/>
      <c r="K507" s="343"/>
      <c r="L507" s="343"/>
      <c r="M507" s="343"/>
      <c r="N507" s="343"/>
      <c r="O507" s="343"/>
      <c r="P507" s="343"/>
      <c r="Q507" s="343"/>
      <c r="R507" s="343"/>
      <c r="S507" s="343"/>
      <c r="T507" s="343"/>
      <c r="U507" s="343"/>
      <c r="V507" s="343"/>
      <c r="W507" s="343"/>
      <c r="X507" s="343"/>
      <c r="Y507" s="343"/>
      <c r="Z507" s="343"/>
      <c r="AA507" s="343"/>
      <c r="AB507" s="343"/>
      <c r="AC507" s="343"/>
      <c r="AD507" s="343"/>
      <c r="AE507" s="343"/>
      <c r="AF507" s="201"/>
      <c r="AG507" s="333"/>
    </row>
    <row r="508" spans="1:33">
      <c r="A508" s="318"/>
      <c r="B508" s="318"/>
      <c r="F508" s="342"/>
      <c r="G508" s="343"/>
      <c r="H508" s="343"/>
      <c r="I508" s="343"/>
      <c r="J508" s="343"/>
      <c r="K508" s="343"/>
      <c r="L508" s="343"/>
      <c r="M508" s="343"/>
      <c r="N508" s="343"/>
      <c r="O508" s="343"/>
      <c r="P508" s="343"/>
      <c r="Q508" s="343"/>
      <c r="R508" s="343"/>
      <c r="S508" s="343"/>
      <c r="T508" s="343"/>
      <c r="U508" s="343"/>
      <c r="V508" s="343"/>
      <c r="W508" s="343"/>
      <c r="X508" s="343"/>
      <c r="Y508" s="343"/>
      <c r="Z508" s="343"/>
      <c r="AA508" s="343"/>
      <c r="AB508" s="343"/>
      <c r="AC508" s="343"/>
      <c r="AD508" s="343"/>
      <c r="AE508" s="343"/>
      <c r="AF508" s="201"/>
      <c r="AG508" s="333"/>
    </row>
    <row r="509" spans="1:33">
      <c r="A509" s="318"/>
      <c r="B509" s="318"/>
      <c r="F509" s="342"/>
      <c r="G509" s="343"/>
      <c r="H509" s="343"/>
      <c r="I509" s="343"/>
      <c r="J509" s="343"/>
      <c r="K509" s="343"/>
      <c r="L509" s="343"/>
      <c r="M509" s="343"/>
      <c r="N509" s="343"/>
      <c r="O509" s="343"/>
      <c r="P509" s="343"/>
      <c r="Q509" s="343"/>
      <c r="R509" s="343"/>
      <c r="S509" s="343"/>
      <c r="T509" s="343"/>
      <c r="U509" s="343"/>
      <c r="V509" s="343"/>
      <c r="W509" s="343"/>
      <c r="X509" s="343"/>
      <c r="Y509" s="343"/>
      <c r="Z509" s="343"/>
      <c r="AA509" s="343"/>
      <c r="AB509" s="343"/>
      <c r="AC509" s="343"/>
      <c r="AD509" s="343"/>
      <c r="AE509" s="343"/>
      <c r="AF509" s="201"/>
      <c r="AG509" s="333"/>
    </row>
    <row r="510" spans="1:33">
      <c r="A510" s="318"/>
      <c r="B510" s="318"/>
      <c r="F510" s="342"/>
      <c r="G510" s="343"/>
      <c r="H510" s="343"/>
      <c r="I510" s="343"/>
      <c r="J510" s="343"/>
      <c r="K510" s="343"/>
      <c r="L510" s="343"/>
      <c r="M510" s="343"/>
      <c r="N510" s="343"/>
      <c r="O510" s="343"/>
      <c r="P510" s="343"/>
      <c r="Q510" s="343"/>
      <c r="R510" s="343"/>
      <c r="S510" s="343"/>
      <c r="T510" s="343"/>
      <c r="U510" s="343"/>
      <c r="V510" s="343"/>
      <c r="W510" s="343"/>
      <c r="X510" s="343"/>
      <c r="Y510" s="343"/>
      <c r="Z510" s="343"/>
      <c r="AA510" s="343"/>
      <c r="AB510" s="343"/>
      <c r="AC510" s="343"/>
      <c r="AD510" s="343"/>
      <c r="AE510" s="343"/>
      <c r="AF510" s="201"/>
      <c r="AG510" s="333"/>
    </row>
    <row r="511" spans="1:33">
      <c r="A511" s="337" t="s">
        <v>1175</v>
      </c>
      <c r="B511" s="318"/>
      <c r="AG511" s="333"/>
    </row>
    <row r="512" spans="1:33">
      <c r="A512" s="318"/>
      <c r="B512" s="318"/>
      <c r="AG512" s="333"/>
    </row>
    <row r="513" spans="1:33">
      <c r="A513" s="87" t="s">
        <v>1176</v>
      </c>
      <c r="B513" s="318"/>
      <c r="AG513" s="333"/>
    </row>
    <row r="514" spans="1:33">
      <c r="A514" s="352" t="s">
        <v>331</v>
      </c>
      <c r="B514" s="318"/>
      <c r="C514" s="165" t="s">
        <v>21</v>
      </c>
      <c r="D514" s="165" t="s">
        <v>217</v>
      </c>
      <c r="F514" s="203">
        <f>72207399.27+2192056.36</f>
        <v>74399455.629999995</v>
      </c>
      <c r="H514" s="201">
        <f t="shared" ref="H514:Q521" si="226">IF(VLOOKUP($D514,$C$6:$AE$598,H$2,)=0,0,((VLOOKUP($D514,$C$6:$AE$598,H$2,)/VLOOKUP($D514,$C$6:$AE$598,4,))*$F514))</f>
        <v>25559670.887689456</v>
      </c>
      <c r="I514" s="201">
        <f t="shared" si="226"/>
        <v>24094533.008455086</v>
      </c>
      <c r="J514" s="201">
        <f t="shared" si="226"/>
        <v>24745251.733855445</v>
      </c>
      <c r="K514" s="201">
        <f t="shared" si="226"/>
        <v>0</v>
      </c>
      <c r="L514" s="201">
        <f t="shared" si="226"/>
        <v>0</v>
      </c>
      <c r="M514" s="201">
        <f t="shared" si="226"/>
        <v>0</v>
      </c>
      <c r="N514" s="201">
        <f t="shared" si="226"/>
        <v>0</v>
      </c>
      <c r="O514" s="201">
        <f t="shared" si="226"/>
        <v>0</v>
      </c>
      <c r="P514" s="201">
        <f t="shared" si="226"/>
        <v>0</v>
      </c>
      <c r="Q514" s="201">
        <f t="shared" si="226"/>
        <v>0</v>
      </c>
      <c r="R514" s="201">
        <f t="shared" ref="R514:AE521" si="227">IF(VLOOKUP($D514,$C$6:$AE$598,R$2,)=0,0,((VLOOKUP($D514,$C$6:$AE$598,R$2,)/VLOOKUP($D514,$C$6:$AE$598,4,))*$F514))</f>
        <v>0</v>
      </c>
      <c r="S514" s="201">
        <f t="shared" si="227"/>
        <v>0</v>
      </c>
      <c r="T514" s="201">
        <f t="shared" si="227"/>
        <v>0</v>
      </c>
      <c r="U514" s="201">
        <f t="shared" si="227"/>
        <v>0</v>
      </c>
      <c r="V514" s="201">
        <f t="shared" si="227"/>
        <v>0</v>
      </c>
      <c r="W514" s="201">
        <f t="shared" si="227"/>
        <v>0</v>
      </c>
      <c r="X514" s="201">
        <f t="shared" si="227"/>
        <v>0</v>
      </c>
      <c r="Y514" s="201">
        <f t="shared" si="227"/>
        <v>0</v>
      </c>
      <c r="Z514" s="201">
        <f t="shared" si="227"/>
        <v>0</v>
      </c>
      <c r="AA514" s="201">
        <f t="shared" si="227"/>
        <v>0</v>
      </c>
      <c r="AB514" s="201">
        <f t="shared" si="227"/>
        <v>0</v>
      </c>
      <c r="AC514" s="201">
        <f t="shared" si="227"/>
        <v>0</v>
      </c>
      <c r="AD514" s="201">
        <f t="shared" si="227"/>
        <v>0</v>
      </c>
      <c r="AE514" s="201">
        <f t="shared" si="227"/>
        <v>0</v>
      </c>
      <c r="AF514" s="201">
        <f t="shared" ref="AF514:AF521" si="228">SUM(H514:AE514)</f>
        <v>74399455.62999998</v>
      </c>
      <c r="AG514" s="333" t="str">
        <f t="shared" ref="AG514:AG521" si="229">IF(ABS(AF514-F514)&lt;1,"ok","err")</f>
        <v>ok</v>
      </c>
    </row>
    <row r="515" spans="1:33">
      <c r="A515" s="352" t="s">
        <v>330</v>
      </c>
      <c r="B515" s="318"/>
      <c r="C515" s="165" t="s">
        <v>35</v>
      </c>
      <c r="D515" s="165" t="s">
        <v>217</v>
      </c>
      <c r="F515" s="340">
        <f>609282.01+1748.52</f>
        <v>611030.53</v>
      </c>
      <c r="H515" s="201">
        <f t="shared" si="226"/>
        <v>209917.38604647719</v>
      </c>
      <c r="I515" s="201">
        <f t="shared" si="226"/>
        <v>197884.44887925059</v>
      </c>
      <c r="J515" s="201">
        <f t="shared" si="226"/>
        <v>203228.6950742722</v>
      </c>
      <c r="K515" s="201">
        <f t="shared" si="226"/>
        <v>0</v>
      </c>
      <c r="L515" s="201">
        <f t="shared" si="226"/>
        <v>0</v>
      </c>
      <c r="M515" s="201">
        <f t="shared" si="226"/>
        <v>0</v>
      </c>
      <c r="N515" s="201">
        <f t="shared" si="226"/>
        <v>0</v>
      </c>
      <c r="O515" s="201">
        <f t="shared" si="226"/>
        <v>0</v>
      </c>
      <c r="P515" s="201">
        <f t="shared" si="226"/>
        <v>0</v>
      </c>
      <c r="Q515" s="201">
        <f t="shared" si="226"/>
        <v>0</v>
      </c>
      <c r="R515" s="201">
        <f t="shared" si="227"/>
        <v>0</v>
      </c>
      <c r="S515" s="201">
        <f t="shared" si="227"/>
        <v>0</v>
      </c>
      <c r="T515" s="201">
        <f t="shared" si="227"/>
        <v>0</v>
      </c>
      <c r="U515" s="201">
        <f t="shared" si="227"/>
        <v>0</v>
      </c>
      <c r="V515" s="201">
        <f t="shared" si="227"/>
        <v>0</v>
      </c>
      <c r="W515" s="201">
        <f t="shared" si="227"/>
        <v>0</v>
      </c>
      <c r="X515" s="201">
        <f t="shared" si="227"/>
        <v>0</v>
      </c>
      <c r="Y515" s="201">
        <f t="shared" si="227"/>
        <v>0</v>
      </c>
      <c r="Z515" s="201">
        <f t="shared" si="227"/>
        <v>0</v>
      </c>
      <c r="AA515" s="201">
        <f t="shared" si="227"/>
        <v>0</v>
      </c>
      <c r="AB515" s="201">
        <f t="shared" si="227"/>
        <v>0</v>
      </c>
      <c r="AC515" s="201">
        <f t="shared" si="227"/>
        <v>0</v>
      </c>
      <c r="AD515" s="201">
        <f t="shared" si="227"/>
        <v>0</v>
      </c>
      <c r="AE515" s="201">
        <f t="shared" si="227"/>
        <v>0</v>
      </c>
      <c r="AF515" s="201">
        <f t="shared" si="228"/>
        <v>611030.53</v>
      </c>
      <c r="AG515" s="333" t="str">
        <f t="shared" si="229"/>
        <v>ok</v>
      </c>
    </row>
    <row r="516" spans="1:33">
      <c r="A516" s="358" t="s">
        <v>329</v>
      </c>
      <c r="B516" s="318"/>
      <c r="C516" s="165" t="s">
        <v>36</v>
      </c>
      <c r="D516" s="165" t="s">
        <v>217</v>
      </c>
      <c r="F516" s="340">
        <f>8548104.2+1158.72</f>
        <v>8549262.9199999999</v>
      </c>
      <c r="H516" s="201">
        <f t="shared" si="226"/>
        <v>2937069.1588691529</v>
      </c>
      <c r="I516" s="201">
        <f t="shared" si="226"/>
        <v>2768709.7422906389</v>
      </c>
      <c r="J516" s="201">
        <f t="shared" si="226"/>
        <v>2843484.0188402073</v>
      </c>
      <c r="K516" s="201">
        <f t="shared" si="226"/>
        <v>0</v>
      </c>
      <c r="L516" s="201">
        <f t="shared" si="226"/>
        <v>0</v>
      </c>
      <c r="M516" s="201">
        <f t="shared" si="226"/>
        <v>0</v>
      </c>
      <c r="N516" s="201">
        <f t="shared" si="226"/>
        <v>0</v>
      </c>
      <c r="O516" s="201">
        <f t="shared" si="226"/>
        <v>0</v>
      </c>
      <c r="P516" s="201">
        <f t="shared" si="226"/>
        <v>0</v>
      </c>
      <c r="Q516" s="201">
        <f t="shared" si="226"/>
        <v>0</v>
      </c>
      <c r="R516" s="201">
        <f t="shared" si="227"/>
        <v>0</v>
      </c>
      <c r="S516" s="201">
        <f t="shared" si="227"/>
        <v>0</v>
      </c>
      <c r="T516" s="201">
        <f t="shared" si="227"/>
        <v>0</v>
      </c>
      <c r="U516" s="201">
        <f t="shared" si="227"/>
        <v>0</v>
      </c>
      <c r="V516" s="201">
        <f t="shared" si="227"/>
        <v>0</v>
      </c>
      <c r="W516" s="201">
        <f t="shared" si="227"/>
        <v>0</v>
      </c>
      <c r="X516" s="201">
        <f t="shared" si="227"/>
        <v>0</v>
      </c>
      <c r="Y516" s="201">
        <f t="shared" si="227"/>
        <v>0</v>
      </c>
      <c r="Z516" s="201">
        <f t="shared" si="227"/>
        <v>0</v>
      </c>
      <c r="AA516" s="201">
        <f t="shared" si="227"/>
        <v>0</v>
      </c>
      <c r="AB516" s="201">
        <f t="shared" si="227"/>
        <v>0</v>
      </c>
      <c r="AC516" s="201">
        <f t="shared" si="227"/>
        <v>0</v>
      </c>
      <c r="AD516" s="201">
        <f t="shared" si="227"/>
        <v>0</v>
      </c>
      <c r="AE516" s="201">
        <f t="shared" si="227"/>
        <v>0</v>
      </c>
      <c r="AF516" s="201">
        <f t="shared" si="228"/>
        <v>8549262.9199999981</v>
      </c>
      <c r="AG516" s="333" t="str">
        <f t="shared" si="229"/>
        <v>ok</v>
      </c>
    </row>
    <row r="517" spans="1:33">
      <c r="A517" s="318" t="s">
        <v>332</v>
      </c>
      <c r="B517" s="318"/>
      <c r="C517" s="165" t="s">
        <v>37</v>
      </c>
      <c r="D517" s="165" t="s">
        <v>1266</v>
      </c>
      <c r="F517" s="340">
        <f>5605561.51+2851</f>
        <v>5608412.5099999998</v>
      </c>
      <c r="H517" s="201">
        <f t="shared" si="226"/>
        <v>0</v>
      </c>
      <c r="I517" s="201">
        <f t="shared" si="226"/>
        <v>0</v>
      </c>
      <c r="J517" s="201">
        <f t="shared" si="226"/>
        <v>0</v>
      </c>
      <c r="K517" s="201">
        <f t="shared" si="226"/>
        <v>0</v>
      </c>
      <c r="L517" s="201">
        <f t="shared" si="226"/>
        <v>0</v>
      </c>
      <c r="M517" s="201">
        <f t="shared" si="226"/>
        <v>0</v>
      </c>
      <c r="N517" s="201">
        <f t="shared" si="226"/>
        <v>1926750.3605254588</v>
      </c>
      <c r="O517" s="201">
        <f t="shared" si="226"/>
        <v>1816304.6920566217</v>
      </c>
      <c r="P517" s="201">
        <f t="shared" si="226"/>
        <v>1865357.4574179193</v>
      </c>
      <c r="Q517" s="201">
        <f t="shared" si="226"/>
        <v>0</v>
      </c>
      <c r="R517" s="201">
        <f t="shared" si="227"/>
        <v>0</v>
      </c>
      <c r="S517" s="201">
        <f t="shared" si="227"/>
        <v>0</v>
      </c>
      <c r="T517" s="201">
        <f t="shared" si="227"/>
        <v>0</v>
      </c>
      <c r="U517" s="201">
        <f t="shared" si="227"/>
        <v>0</v>
      </c>
      <c r="V517" s="201">
        <f t="shared" si="227"/>
        <v>0</v>
      </c>
      <c r="W517" s="201">
        <f t="shared" si="227"/>
        <v>0</v>
      </c>
      <c r="X517" s="201">
        <f t="shared" si="227"/>
        <v>0</v>
      </c>
      <c r="Y517" s="201">
        <f t="shared" si="227"/>
        <v>0</v>
      </c>
      <c r="Z517" s="201">
        <f t="shared" si="227"/>
        <v>0</v>
      </c>
      <c r="AA517" s="201">
        <f t="shared" si="227"/>
        <v>0</v>
      </c>
      <c r="AB517" s="201">
        <f t="shared" si="227"/>
        <v>0</v>
      </c>
      <c r="AC517" s="201">
        <f t="shared" si="227"/>
        <v>0</v>
      </c>
      <c r="AD517" s="201">
        <f t="shared" si="227"/>
        <v>0</v>
      </c>
      <c r="AE517" s="201">
        <f t="shared" si="227"/>
        <v>0</v>
      </c>
      <c r="AF517" s="201">
        <f t="shared" si="228"/>
        <v>5608412.5099999998</v>
      </c>
      <c r="AG517" s="333" t="str">
        <f t="shared" si="229"/>
        <v>ok</v>
      </c>
    </row>
    <row r="518" spans="1:33">
      <c r="A518" s="318" t="s">
        <v>333</v>
      </c>
      <c r="B518" s="318"/>
      <c r="C518" s="165" t="s">
        <v>38</v>
      </c>
      <c r="D518" s="165" t="s">
        <v>1266</v>
      </c>
      <c r="F518" s="340">
        <v>0</v>
      </c>
      <c r="H518" s="201">
        <f t="shared" si="226"/>
        <v>0</v>
      </c>
      <c r="I518" s="201">
        <f t="shared" si="226"/>
        <v>0</v>
      </c>
      <c r="J518" s="201">
        <f t="shared" si="226"/>
        <v>0</v>
      </c>
      <c r="K518" s="201">
        <f t="shared" si="226"/>
        <v>0</v>
      </c>
      <c r="L518" s="201">
        <f t="shared" si="226"/>
        <v>0</v>
      </c>
      <c r="M518" s="201">
        <f t="shared" si="226"/>
        <v>0</v>
      </c>
      <c r="N518" s="201">
        <f t="shared" si="226"/>
        <v>0</v>
      </c>
      <c r="O518" s="201">
        <f t="shared" si="226"/>
        <v>0</v>
      </c>
      <c r="P518" s="201">
        <f t="shared" si="226"/>
        <v>0</v>
      </c>
      <c r="Q518" s="201">
        <f t="shared" si="226"/>
        <v>0</v>
      </c>
      <c r="R518" s="201">
        <f t="shared" si="227"/>
        <v>0</v>
      </c>
      <c r="S518" s="201">
        <f t="shared" si="227"/>
        <v>0</v>
      </c>
      <c r="T518" s="201">
        <f t="shared" si="227"/>
        <v>0</v>
      </c>
      <c r="U518" s="201">
        <f t="shared" si="227"/>
        <v>0</v>
      </c>
      <c r="V518" s="201">
        <f t="shared" si="227"/>
        <v>0</v>
      </c>
      <c r="W518" s="201">
        <f t="shared" si="227"/>
        <v>0</v>
      </c>
      <c r="X518" s="201">
        <f t="shared" si="227"/>
        <v>0</v>
      </c>
      <c r="Y518" s="201">
        <f t="shared" si="227"/>
        <v>0</v>
      </c>
      <c r="Z518" s="201">
        <f t="shared" si="227"/>
        <v>0</v>
      </c>
      <c r="AA518" s="201">
        <f t="shared" si="227"/>
        <v>0</v>
      </c>
      <c r="AB518" s="201">
        <f t="shared" si="227"/>
        <v>0</v>
      </c>
      <c r="AC518" s="201">
        <f t="shared" si="227"/>
        <v>0</v>
      </c>
      <c r="AD518" s="201">
        <f t="shared" si="227"/>
        <v>0</v>
      </c>
      <c r="AE518" s="201">
        <f t="shared" si="227"/>
        <v>0</v>
      </c>
      <c r="AF518" s="201">
        <f t="shared" si="228"/>
        <v>0</v>
      </c>
      <c r="AG518" s="333" t="str">
        <f t="shared" si="229"/>
        <v>ok</v>
      </c>
    </row>
    <row r="519" spans="1:33">
      <c r="A519" s="318" t="s">
        <v>335</v>
      </c>
      <c r="B519" s="318"/>
      <c r="C519" s="165" t="s">
        <v>39</v>
      </c>
      <c r="D519" s="165" t="s">
        <v>1039</v>
      </c>
      <c r="F519" s="340">
        <f>23277078.57+7375.17</f>
        <v>23284453.740000002</v>
      </c>
      <c r="H519" s="201">
        <f t="shared" si="226"/>
        <v>0</v>
      </c>
      <c r="I519" s="201">
        <f t="shared" si="226"/>
        <v>0</v>
      </c>
      <c r="J519" s="201">
        <f t="shared" si="226"/>
        <v>0</v>
      </c>
      <c r="K519" s="201">
        <f t="shared" si="226"/>
        <v>0</v>
      </c>
      <c r="L519" s="201">
        <f t="shared" si="226"/>
        <v>0</v>
      </c>
      <c r="M519" s="201">
        <f t="shared" si="226"/>
        <v>0</v>
      </c>
      <c r="N519" s="201">
        <f t="shared" si="226"/>
        <v>0</v>
      </c>
      <c r="O519" s="201">
        <f t="shared" si="226"/>
        <v>0</v>
      </c>
      <c r="P519" s="201">
        <f t="shared" si="226"/>
        <v>0</v>
      </c>
      <c r="Q519" s="201">
        <f t="shared" si="226"/>
        <v>0</v>
      </c>
      <c r="R519" s="201">
        <f t="shared" si="227"/>
        <v>2560064.2504972881</v>
      </c>
      <c r="S519" s="201">
        <f t="shared" si="227"/>
        <v>0</v>
      </c>
      <c r="T519" s="201">
        <f t="shared" si="227"/>
        <v>3941974.8139139079</v>
      </c>
      <c r="U519" s="201">
        <f t="shared" si="227"/>
        <v>6453356.3014189359</v>
      </c>
      <c r="V519" s="201">
        <f t="shared" si="227"/>
        <v>1313991.6046379691</v>
      </c>
      <c r="W519" s="201">
        <f t="shared" si="227"/>
        <v>2151118.7671396453</v>
      </c>
      <c r="X519" s="201">
        <f t="shared" si="227"/>
        <v>1840447.1153142832</v>
      </c>
      <c r="Y519" s="201">
        <f t="shared" si="227"/>
        <v>1463766.7362373921</v>
      </c>
      <c r="Z519" s="201">
        <f t="shared" si="227"/>
        <v>670200.87615203089</v>
      </c>
      <c r="AA519" s="201">
        <f t="shared" si="227"/>
        <v>903120.00892703561</v>
      </c>
      <c r="AB519" s="201">
        <f t="shared" si="227"/>
        <v>1986413.2657615151</v>
      </c>
      <c r="AC519" s="201">
        <f t="shared" si="227"/>
        <v>0</v>
      </c>
      <c r="AD519" s="201">
        <f t="shared" si="227"/>
        <v>0</v>
      </c>
      <c r="AE519" s="201">
        <f t="shared" si="227"/>
        <v>0</v>
      </c>
      <c r="AF519" s="201">
        <f t="shared" si="228"/>
        <v>23284453.740000002</v>
      </c>
      <c r="AG519" s="333" t="str">
        <f t="shared" si="229"/>
        <v>ok</v>
      </c>
    </row>
    <row r="520" spans="1:33">
      <c r="A520" s="352" t="s">
        <v>639</v>
      </c>
      <c r="B520" s="318"/>
      <c r="C520" s="165" t="s">
        <v>40</v>
      </c>
      <c r="D520" s="165" t="s">
        <v>1062</v>
      </c>
      <c r="F520" s="340">
        <f>(13065737.57)*$AJ$7+228286.7+12787.2</f>
        <v>9517747.5746999979</v>
      </c>
      <c r="H520" s="201">
        <f t="shared" si="226"/>
        <v>2157984.8743448029</v>
      </c>
      <c r="I520" s="201">
        <f t="shared" si="226"/>
        <v>2034284.3229523271</v>
      </c>
      <c r="J520" s="201">
        <f t="shared" si="226"/>
        <v>2089224.0431481476</v>
      </c>
      <c r="K520" s="201">
        <f t="shared" si="226"/>
        <v>0</v>
      </c>
      <c r="L520" s="201">
        <f t="shared" si="226"/>
        <v>0</v>
      </c>
      <c r="M520" s="201">
        <f t="shared" si="226"/>
        <v>0</v>
      </c>
      <c r="N520" s="201">
        <f t="shared" si="226"/>
        <v>231613.20940741224</v>
      </c>
      <c r="O520" s="201">
        <f t="shared" si="226"/>
        <v>218336.61880008617</v>
      </c>
      <c r="P520" s="201">
        <f t="shared" si="226"/>
        <v>224233.21477245723</v>
      </c>
      <c r="Q520" s="201">
        <f t="shared" si="226"/>
        <v>0</v>
      </c>
      <c r="R520" s="201">
        <f t="shared" si="227"/>
        <v>281692.97821018787</v>
      </c>
      <c r="S520" s="201">
        <f t="shared" si="227"/>
        <v>0</v>
      </c>
      <c r="T520" s="201">
        <f t="shared" si="227"/>
        <v>433749.51435115782</v>
      </c>
      <c r="U520" s="201">
        <f t="shared" si="227"/>
        <v>710085.7549356682</v>
      </c>
      <c r="V520" s="201">
        <f t="shared" si="227"/>
        <v>144583.17145038591</v>
      </c>
      <c r="W520" s="201">
        <f t="shared" si="227"/>
        <v>236695.25164522277</v>
      </c>
      <c r="X520" s="201">
        <f t="shared" si="227"/>
        <v>202510.94442279061</v>
      </c>
      <c r="Y520" s="201">
        <f t="shared" si="227"/>
        <v>161063.46208132175</v>
      </c>
      <c r="Z520" s="201">
        <f t="shared" si="227"/>
        <v>73744.586982795649</v>
      </c>
      <c r="AA520" s="201">
        <f t="shared" si="227"/>
        <v>99373.507890065957</v>
      </c>
      <c r="AB520" s="201">
        <f t="shared" si="227"/>
        <v>218572.11930516714</v>
      </c>
      <c r="AC520" s="201">
        <f t="shared" si="227"/>
        <v>0</v>
      </c>
      <c r="AD520" s="201">
        <f t="shared" si="227"/>
        <v>0</v>
      </c>
      <c r="AE520" s="201">
        <f t="shared" si="227"/>
        <v>0</v>
      </c>
      <c r="AF520" s="201">
        <f t="shared" si="228"/>
        <v>9517747.5746999979</v>
      </c>
      <c r="AG520" s="333" t="str">
        <f t="shared" si="229"/>
        <v>ok</v>
      </c>
    </row>
    <row r="521" spans="1:33">
      <c r="A521" s="352" t="s">
        <v>334</v>
      </c>
      <c r="B521" s="318"/>
      <c r="C521" s="165" t="s">
        <v>22</v>
      </c>
      <c r="D521" s="165" t="s">
        <v>1041</v>
      </c>
      <c r="F521" s="340">
        <v>0</v>
      </c>
      <c r="H521" s="201">
        <f t="shared" si="226"/>
        <v>0</v>
      </c>
      <c r="I521" s="201">
        <f t="shared" si="226"/>
        <v>0</v>
      </c>
      <c r="J521" s="201">
        <f t="shared" si="226"/>
        <v>0</v>
      </c>
      <c r="K521" s="201">
        <f t="shared" si="226"/>
        <v>0</v>
      </c>
      <c r="L521" s="201">
        <f t="shared" si="226"/>
        <v>0</v>
      </c>
      <c r="M521" s="201">
        <f t="shared" si="226"/>
        <v>0</v>
      </c>
      <c r="N521" s="201">
        <f t="shared" si="226"/>
        <v>0</v>
      </c>
      <c r="O521" s="201">
        <f t="shared" si="226"/>
        <v>0</v>
      </c>
      <c r="P521" s="201">
        <f t="shared" si="226"/>
        <v>0</v>
      </c>
      <c r="Q521" s="201">
        <f t="shared" si="226"/>
        <v>0</v>
      </c>
      <c r="R521" s="201">
        <f t="shared" si="227"/>
        <v>0</v>
      </c>
      <c r="S521" s="201">
        <f t="shared" si="227"/>
        <v>0</v>
      </c>
      <c r="T521" s="201">
        <f t="shared" si="227"/>
        <v>0</v>
      </c>
      <c r="U521" s="201">
        <f t="shared" si="227"/>
        <v>0</v>
      </c>
      <c r="V521" s="201">
        <f t="shared" si="227"/>
        <v>0</v>
      </c>
      <c r="W521" s="201">
        <f t="shared" si="227"/>
        <v>0</v>
      </c>
      <c r="X521" s="201">
        <f t="shared" si="227"/>
        <v>0</v>
      </c>
      <c r="Y521" s="201">
        <f t="shared" si="227"/>
        <v>0</v>
      </c>
      <c r="Z521" s="201">
        <f t="shared" si="227"/>
        <v>0</v>
      </c>
      <c r="AA521" s="201">
        <f t="shared" si="227"/>
        <v>0</v>
      </c>
      <c r="AB521" s="201">
        <f t="shared" si="227"/>
        <v>0</v>
      </c>
      <c r="AC521" s="201">
        <f t="shared" si="227"/>
        <v>0</v>
      </c>
      <c r="AD521" s="201">
        <f t="shared" si="227"/>
        <v>0</v>
      </c>
      <c r="AE521" s="201">
        <f t="shared" si="227"/>
        <v>0</v>
      </c>
      <c r="AF521" s="201">
        <f t="shared" si="228"/>
        <v>0</v>
      </c>
      <c r="AG521" s="333" t="str">
        <f t="shared" si="229"/>
        <v>ok</v>
      </c>
    </row>
    <row r="522" spans="1:33">
      <c r="A522" s="318"/>
      <c r="B522" s="318"/>
      <c r="F522" s="340"/>
      <c r="AG522" s="333"/>
    </row>
    <row r="523" spans="1:33">
      <c r="A523" s="318" t="s">
        <v>1177</v>
      </c>
      <c r="B523" s="318"/>
      <c r="C523" s="165" t="s">
        <v>1178</v>
      </c>
      <c r="F523" s="203">
        <f>SUM(F514:F522)</f>
        <v>121970362.90470001</v>
      </c>
      <c r="H523" s="201">
        <f t="shared" ref="H523:M523" si="230">SUM(H514:H522)</f>
        <v>30864642.306949891</v>
      </c>
      <c r="I523" s="201">
        <f t="shared" si="230"/>
        <v>29095411.522577301</v>
      </c>
      <c r="J523" s="201">
        <f t="shared" si="230"/>
        <v>29881188.490918074</v>
      </c>
      <c r="K523" s="201">
        <f t="shared" si="230"/>
        <v>0</v>
      </c>
      <c r="L523" s="201">
        <f t="shared" si="230"/>
        <v>0</v>
      </c>
      <c r="M523" s="201">
        <f t="shared" si="230"/>
        <v>0</v>
      </c>
      <c r="N523" s="201">
        <f>SUM(N514:N522)</f>
        <v>2158363.569932871</v>
      </c>
      <c r="O523" s="201">
        <f>SUM(O514:O522)</f>
        <v>2034641.3108567079</v>
      </c>
      <c r="P523" s="201">
        <f>SUM(P514:P522)</f>
        <v>2089590.6721903766</v>
      </c>
      <c r="Q523" s="201">
        <f t="shared" ref="Q523:AB523" si="231">SUM(Q514:Q522)</f>
        <v>0</v>
      </c>
      <c r="R523" s="201">
        <f t="shared" si="231"/>
        <v>2841757.2287074761</v>
      </c>
      <c r="S523" s="201">
        <f t="shared" si="231"/>
        <v>0</v>
      </c>
      <c r="T523" s="201">
        <f t="shared" si="231"/>
        <v>4375724.3282650653</v>
      </c>
      <c r="U523" s="201">
        <f t="shared" si="231"/>
        <v>7163442.0563546037</v>
      </c>
      <c r="V523" s="201">
        <f t="shared" si="231"/>
        <v>1458574.7760883549</v>
      </c>
      <c r="W523" s="201">
        <f t="shared" si="231"/>
        <v>2387814.0187848681</v>
      </c>
      <c r="X523" s="201">
        <f t="shared" si="231"/>
        <v>2042958.0597370737</v>
      </c>
      <c r="Y523" s="201">
        <f t="shared" si="231"/>
        <v>1624830.1983187138</v>
      </c>
      <c r="Z523" s="201">
        <f t="shared" si="231"/>
        <v>743945.46313482651</v>
      </c>
      <c r="AA523" s="201">
        <f t="shared" si="231"/>
        <v>1002493.5168171015</v>
      </c>
      <c r="AB523" s="201">
        <f t="shared" si="231"/>
        <v>2204985.3850666825</v>
      </c>
      <c r="AC523" s="201">
        <f>SUM(AC514:AC522)</f>
        <v>0</v>
      </c>
      <c r="AD523" s="201">
        <f>SUM(AD514:AD522)</f>
        <v>0</v>
      </c>
      <c r="AE523" s="201">
        <f>SUM(AE514:AE522)</f>
        <v>0</v>
      </c>
      <c r="AF523" s="201">
        <f>SUM(H523:AE523)</f>
        <v>121970362.90470003</v>
      </c>
      <c r="AG523" s="333" t="str">
        <f>IF(ABS(AF523-F523)&lt;1,"ok","err")</f>
        <v>ok</v>
      </c>
    </row>
    <row r="524" spans="1:33">
      <c r="A524" s="318"/>
      <c r="B524" s="318"/>
      <c r="F524" s="203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  <c r="Z524" s="201"/>
      <c r="AA524" s="201"/>
      <c r="AB524" s="201"/>
      <c r="AC524" s="201"/>
      <c r="AD524" s="201"/>
      <c r="AE524" s="201"/>
      <c r="AF524" s="201"/>
      <c r="AG524" s="333"/>
    </row>
    <row r="525" spans="1:33">
      <c r="A525" s="87" t="s">
        <v>821</v>
      </c>
      <c r="B525" s="318"/>
      <c r="F525" s="203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  <c r="Z525" s="201"/>
      <c r="AA525" s="201"/>
      <c r="AB525" s="201"/>
      <c r="AC525" s="201"/>
      <c r="AD525" s="201"/>
      <c r="AE525" s="201"/>
      <c r="AF525" s="201"/>
      <c r="AG525" s="333"/>
    </row>
    <row r="526" spans="1:33">
      <c r="A526" s="87"/>
      <c r="B526" s="318" t="s">
        <v>782</v>
      </c>
      <c r="C526" s="359" t="s">
        <v>822</v>
      </c>
      <c r="D526" s="165" t="s">
        <v>671</v>
      </c>
      <c r="F526" s="203">
        <v>-3808582.38</v>
      </c>
      <c r="H526" s="201">
        <f t="shared" ref="H526:Q529" si="232">IF(VLOOKUP($D526,$C$6:$AE$598,H$2,)=0,0,((VLOOKUP($D526,$C$6:$AE$598,H$2,)/VLOOKUP($D526,$C$6:$AE$598,4,))*$F526))</f>
        <v>-1308425.059795737</v>
      </c>
      <c r="I526" s="201">
        <f t="shared" si="232"/>
        <v>-1233423.1896359164</v>
      </c>
      <c r="J526" s="201">
        <f t="shared" si="232"/>
        <v>-1266734.1305683465</v>
      </c>
      <c r="K526" s="201">
        <f t="shared" si="232"/>
        <v>0</v>
      </c>
      <c r="L526" s="201">
        <f t="shared" si="232"/>
        <v>0</v>
      </c>
      <c r="M526" s="201">
        <f t="shared" si="232"/>
        <v>0</v>
      </c>
      <c r="N526" s="201">
        <f t="shared" si="232"/>
        <v>0</v>
      </c>
      <c r="O526" s="201">
        <f t="shared" si="232"/>
        <v>0</v>
      </c>
      <c r="P526" s="201">
        <f t="shared" si="232"/>
        <v>0</v>
      </c>
      <c r="Q526" s="201">
        <f t="shared" si="232"/>
        <v>0</v>
      </c>
      <c r="R526" s="201">
        <f t="shared" ref="R526:AE529" si="233">IF(VLOOKUP($D526,$C$6:$AE$598,R$2,)=0,0,((VLOOKUP($D526,$C$6:$AE$598,R$2,)/VLOOKUP($D526,$C$6:$AE$598,4,))*$F526))</f>
        <v>0</v>
      </c>
      <c r="S526" s="201">
        <f t="shared" si="233"/>
        <v>0</v>
      </c>
      <c r="T526" s="201">
        <f t="shared" si="233"/>
        <v>0</v>
      </c>
      <c r="U526" s="201">
        <f t="shared" si="233"/>
        <v>0</v>
      </c>
      <c r="V526" s="201">
        <f t="shared" si="233"/>
        <v>0</v>
      </c>
      <c r="W526" s="201">
        <f t="shared" si="233"/>
        <v>0</v>
      </c>
      <c r="X526" s="201">
        <f t="shared" si="233"/>
        <v>0</v>
      </c>
      <c r="Y526" s="201">
        <f t="shared" si="233"/>
        <v>0</v>
      </c>
      <c r="Z526" s="201">
        <f t="shared" si="233"/>
        <v>0</v>
      </c>
      <c r="AA526" s="201">
        <f t="shared" si="233"/>
        <v>0</v>
      </c>
      <c r="AB526" s="201">
        <f t="shared" si="233"/>
        <v>0</v>
      </c>
      <c r="AC526" s="201">
        <f t="shared" si="233"/>
        <v>0</v>
      </c>
      <c r="AD526" s="201">
        <f t="shared" si="233"/>
        <v>0</v>
      </c>
      <c r="AE526" s="201">
        <f t="shared" si="233"/>
        <v>0</v>
      </c>
      <c r="AF526" s="201">
        <f>SUM(H526:AE526)</f>
        <v>-3808582.38</v>
      </c>
      <c r="AG526" s="333" t="str">
        <f>IF(ABS(AF526-F526)&lt;1,"ok","err")</f>
        <v>ok</v>
      </c>
    </row>
    <row r="527" spans="1:33">
      <c r="A527" s="87"/>
      <c r="B527" s="318" t="s">
        <v>1236</v>
      </c>
      <c r="C527" s="359" t="s">
        <v>823</v>
      </c>
      <c r="D527" s="165" t="s">
        <v>1266</v>
      </c>
      <c r="F527" s="340">
        <v>-6882.04</v>
      </c>
      <c r="H527" s="201">
        <f t="shared" si="232"/>
        <v>0</v>
      </c>
      <c r="I527" s="201">
        <f t="shared" si="232"/>
        <v>0</v>
      </c>
      <c r="J527" s="201">
        <f t="shared" si="232"/>
        <v>0</v>
      </c>
      <c r="K527" s="201">
        <f t="shared" si="232"/>
        <v>0</v>
      </c>
      <c r="L527" s="201">
        <f t="shared" si="232"/>
        <v>0</v>
      </c>
      <c r="M527" s="201">
        <f t="shared" si="232"/>
        <v>0</v>
      </c>
      <c r="N527" s="201">
        <f t="shared" si="232"/>
        <v>-2364.3005979869745</v>
      </c>
      <c r="O527" s="201">
        <f t="shared" si="232"/>
        <v>-2228.7735648249159</v>
      </c>
      <c r="P527" s="201">
        <f t="shared" si="232"/>
        <v>-2288.9658371881096</v>
      </c>
      <c r="Q527" s="201">
        <f t="shared" si="232"/>
        <v>0</v>
      </c>
      <c r="R527" s="201">
        <f t="shared" si="233"/>
        <v>0</v>
      </c>
      <c r="S527" s="201">
        <f t="shared" si="233"/>
        <v>0</v>
      </c>
      <c r="T527" s="201">
        <f t="shared" si="233"/>
        <v>0</v>
      </c>
      <c r="U527" s="201">
        <f t="shared" si="233"/>
        <v>0</v>
      </c>
      <c r="V527" s="201">
        <f t="shared" si="233"/>
        <v>0</v>
      </c>
      <c r="W527" s="201">
        <f t="shared" si="233"/>
        <v>0</v>
      </c>
      <c r="X527" s="201">
        <f t="shared" si="233"/>
        <v>0</v>
      </c>
      <c r="Y527" s="201">
        <f t="shared" si="233"/>
        <v>0</v>
      </c>
      <c r="Z527" s="201">
        <f t="shared" si="233"/>
        <v>0</v>
      </c>
      <c r="AA527" s="201">
        <f t="shared" si="233"/>
        <v>0</v>
      </c>
      <c r="AB527" s="201">
        <f t="shared" si="233"/>
        <v>0</v>
      </c>
      <c r="AC527" s="201">
        <f t="shared" si="233"/>
        <v>0</v>
      </c>
      <c r="AD527" s="201">
        <f t="shared" si="233"/>
        <v>0</v>
      </c>
      <c r="AE527" s="201">
        <f t="shared" si="233"/>
        <v>0</v>
      </c>
      <c r="AF527" s="201">
        <f>SUM(H527:AE527)</f>
        <v>-6882.04</v>
      </c>
      <c r="AG527" s="333" t="str">
        <f>IF(ABS(AF527-F527)&lt;1,"ok","err")</f>
        <v>ok</v>
      </c>
    </row>
    <row r="528" spans="1:33">
      <c r="A528" s="87"/>
      <c r="B528" s="318" t="s">
        <v>1042</v>
      </c>
      <c r="C528" s="359" t="s">
        <v>824</v>
      </c>
      <c r="D528" s="165" t="s">
        <v>1039</v>
      </c>
      <c r="F528" s="340">
        <v>-37080.6</v>
      </c>
      <c r="H528" s="201">
        <f t="shared" si="232"/>
        <v>0</v>
      </c>
      <c r="I528" s="201">
        <f t="shared" si="232"/>
        <v>0</v>
      </c>
      <c r="J528" s="201">
        <f t="shared" si="232"/>
        <v>0</v>
      </c>
      <c r="K528" s="201">
        <f t="shared" si="232"/>
        <v>0</v>
      </c>
      <c r="L528" s="201">
        <f t="shared" si="232"/>
        <v>0</v>
      </c>
      <c r="M528" s="201">
        <f t="shared" si="232"/>
        <v>0</v>
      </c>
      <c r="N528" s="201">
        <f t="shared" si="232"/>
        <v>0</v>
      </c>
      <c r="O528" s="201">
        <f t="shared" si="232"/>
        <v>0</v>
      </c>
      <c r="P528" s="201">
        <f t="shared" si="232"/>
        <v>0</v>
      </c>
      <c r="Q528" s="201">
        <f t="shared" si="232"/>
        <v>0</v>
      </c>
      <c r="R528" s="201">
        <f t="shared" si="233"/>
        <v>-4076.9141293580433</v>
      </c>
      <c r="S528" s="201">
        <f t="shared" si="233"/>
        <v>0</v>
      </c>
      <c r="T528" s="201">
        <f t="shared" si="233"/>
        <v>-6277.6130768192124</v>
      </c>
      <c r="U528" s="201">
        <f t="shared" si="233"/>
        <v>-10276.999681522053</v>
      </c>
      <c r="V528" s="201">
        <f t="shared" si="233"/>
        <v>-2092.5376922730707</v>
      </c>
      <c r="W528" s="201">
        <f t="shared" si="233"/>
        <v>-3425.6665605073508</v>
      </c>
      <c r="X528" s="201">
        <f t="shared" si="233"/>
        <v>-2930.920521742195</v>
      </c>
      <c r="Y528" s="201">
        <f t="shared" si="233"/>
        <v>-2331.0552803084242</v>
      </c>
      <c r="Z528" s="201">
        <f t="shared" si="233"/>
        <v>-1067.2979871351276</v>
      </c>
      <c r="AA528" s="201">
        <f t="shared" si="233"/>
        <v>-1438.2227806139563</v>
      </c>
      <c r="AB528" s="201">
        <f t="shared" si="233"/>
        <v>-3163.3722897205671</v>
      </c>
      <c r="AC528" s="201">
        <f t="shared" si="233"/>
        <v>0</v>
      </c>
      <c r="AD528" s="201">
        <f t="shared" si="233"/>
        <v>0</v>
      </c>
      <c r="AE528" s="201">
        <f t="shared" si="233"/>
        <v>0</v>
      </c>
      <c r="AF528" s="201">
        <f>SUM(H528:AE528)</f>
        <v>-37080.6</v>
      </c>
      <c r="AG528" s="333" t="str">
        <f>IF(ABS(AF528-F528)&lt;1,"ok","err")</f>
        <v>ok</v>
      </c>
    </row>
    <row r="529" spans="1:33">
      <c r="A529" s="87"/>
      <c r="B529" s="318" t="s">
        <v>783</v>
      </c>
      <c r="C529" s="359" t="s">
        <v>825</v>
      </c>
      <c r="D529" s="165" t="s">
        <v>1062</v>
      </c>
      <c r="F529" s="340">
        <v>-5617.47</v>
      </c>
      <c r="H529" s="201">
        <f t="shared" si="232"/>
        <v>-1273.6642989260831</v>
      </c>
      <c r="I529" s="201">
        <f t="shared" si="232"/>
        <v>-1200.6549938382043</v>
      </c>
      <c r="J529" s="201">
        <f t="shared" si="232"/>
        <v>-1233.0809672721703</v>
      </c>
      <c r="K529" s="201">
        <f t="shared" si="232"/>
        <v>0</v>
      </c>
      <c r="L529" s="201">
        <f t="shared" si="232"/>
        <v>0</v>
      </c>
      <c r="M529" s="201">
        <f t="shared" si="232"/>
        <v>0</v>
      </c>
      <c r="N529" s="201">
        <f t="shared" si="232"/>
        <v>-136.70043728711377</v>
      </c>
      <c r="O529" s="201">
        <f t="shared" si="232"/>
        <v>-128.86446046028698</v>
      </c>
      <c r="P529" s="201">
        <f t="shared" si="232"/>
        <v>-132.34469049548616</v>
      </c>
      <c r="Q529" s="201">
        <f t="shared" si="232"/>
        <v>0</v>
      </c>
      <c r="R529" s="201">
        <f t="shared" si="233"/>
        <v>-166.25801870525672</v>
      </c>
      <c r="S529" s="201">
        <f t="shared" si="233"/>
        <v>0</v>
      </c>
      <c r="T529" s="201">
        <f t="shared" si="233"/>
        <v>-256.00331015912661</v>
      </c>
      <c r="U529" s="201">
        <f t="shared" si="233"/>
        <v>-419.09972863555367</v>
      </c>
      <c r="V529" s="201">
        <f t="shared" si="233"/>
        <v>-85.334436719708862</v>
      </c>
      <c r="W529" s="201">
        <f t="shared" si="233"/>
        <v>-139.69990954518457</v>
      </c>
      <c r="X529" s="201">
        <f t="shared" si="233"/>
        <v>-119.5239888469674</v>
      </c>
      <c r="Y529" s="201">
        <f t="shared" si="233"/>
        <v>-95.061269406115883</v>
      </c>
      <c r="Z529" s="201">
        <f t="shared" si="233"/>
        <v>-43.524794263237496</v>
      </c>
      <c r="AA529" s="201">
        <f t="shared" si="233"/>
        <v>-58.651240221067155</v>
      </c>
      <c r="AB529" s="201">
        <f t="shared" si="233"/>
        <v>-129.00345521843687</v>
      </c>
      <c r="AC529" s="201">
        <f t="shared" si="233"/>
        <v>0</v>
      </c>
      <c r="AD529" s="201">
        <f t="shared" si="233"/>
        <v>0</v>
      </c>
      <c r="AE529" s="201">
        <f t="shared" si="233"/>
        <v>0</v>
      </c>
      <c r="AF529" s="201">
        <f>SUM(H529:AE529)</f>
        <v>-5617.47</v>
      </c>
      <c r="AG529" s="333" t="str">
        <f>IF(ABS(AF529-F529)&lt;1,"ok","err")</f>
        <v>ok</v>
      </c>
    </row>
    <row r="530" spans="1:33">
      <c r="A530" s="87"/>
      <c r="B530" s="318"/>
      <c r="F530" s="203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  <c r="Z530" s="201"/>
      <c r="AA530" s="201"/>
      <c r="AB530" s="201"/>
      <c r="AC530" s="201"/>
      <c r="AD530" s="201"/>
      <c r="AE530" s="201"/>
      <c r="AF530" s="201"/>
      <c r="AG530" s="333"/>
    </row>
    <row r="531" spans="1:33">
      <c r="A531" s="318" t="s">
        <v>820</v>
      </c>
      <c r="B531" s="318"/>
      <c r="C531" s="359" t="s">
        <v>827</v>
      </c>
      <c r="F531" s="203">
        <f>SUM(F526:F530)</f>
        <v>-3858162.49</v>
      </c>
      <c r="H531" s="347">
        <f t="shared" ref="H531:AE531" si="234">SUM(H526:H530)</f>
        <v>-1309698.724094663</v>
      </c>
      <c r="I531" s="347">
        <f t="shared" si="234"/>
        <v>-1234623.8446297545</v>
      </c>
      <c r="J531" s="347">
        <f t="shared" si="234"/>
        <v>-1267967.2115356186</v>
      </c>
      <c r="K531" s="347">
        <f t="shared" si="234"/>
        <v>0</v>
      </c>
      <c r="L531" s="347">
        <f t="shared" si="234"/>
        <v>0</v>
      </c>
      <c r="M531" s="347">
        <f t="shared" si="234"/>
        <v>0</v>
      </c>
      <c r="N531" s="347">
        <f t="shared" si="234"/>
        <v>-2501.0010352740883</v>
      </c>
      <c r="O531" s="347">
        <f t="shared" si="234"/>
        <v>-2357.6380252852027</v>
      </c>
      <c r="P531" s="347">
        <f t="shared" si="234"/>
        <v>-2421.3105276835959</v>
      </c>
      <c r="Q531" s="347">
        <f t="shared" si="234"/>
        <v>0</v>
      </c>
      <c r="R531" s="347">
        <f t="shared" si="234"/>
        <v>-4243.1721480632996</v>
      </c>
      <c r="S531" s="347">
        <f t="shared" si="234"/>
        <v>0</v>
      </c>
      <c r="T531" s="347">
        <f t="shared" si="234"/>
        <v>-6533.6163869783395</v>
      </c>
      <c r="U531" s="347">
        <f t="shared" si="234"/>
        <v>-10696.099410157607</v>
      </c>
      <c r="V531" s="347">
        <f t="shared" si="234"/>
        <v>-2177.8721289927794</v>
      </c>
      <c r="W531" s="347">
        <f t="shared" si="234"/>
        <v>-3565.3664700525355</v>
      </c>
      <c r="X531" s="347">
        <f t="shared" si="234"/>
        <v>-3050.4445105891623</v>
      </c>
      <c r="Y531" s="347">
        <f t="shared" si="234"/>
        <v>-2426.1165497145403</v>
      </c>
      <c r="Z531" s="347">
        <f t="shared" si="234"/>
        <v>-1110.8227813983651</v>
      </c>
      <c r="AA531" s="347">
        <f t="shared" si="234"/>
        <v>-1496.8740208350234</v>
      </c>
      <c r="AB531" s="347">
        <f t="shared" si="234"/>
        <v>-3292.3757449390041</v>
      </c>
      <c r="AC531" s="347">
        <f t="shared" si="234"/>
        <v>0</v>
      </c>
      <c r="AD531" s="347">
        <f t="shared" si="234"/>
        <v>0</v>
      </c>
      <c r="AE531" s="347">
        <f t="shared" si="234"/>
        <v>0</v>
      </c>
      <c r="AF531" s="201">
        <f>SUM(H531:AE531)</f>
        <v>-3858162.4899999998</v>
      </c>
      <c r="AG531" s="333" t="str">
        <f>IF(ABS(AF531-F531)&lt;1,"ok","err")</f>
        <v>ok</v>
      </c>
    </row>
    <row r="532" spans="1:33">
      <c r="A532" s="318"/>
      <c r="B532" s="318"/>
      <c r="F532" s="340"/>
      <c r="AG532" s="333"/>
    </row>
    <row r="533" spans="1:33">
      <c r="A533" s="87" t="s">
        <v>789</v>
      </c>
      <c r="B533" s="318"/>
      <c r="F533" s="203"/>
      <c r="H533" s="201"/>
      <c r="I533" s="201"/>
      <c r="J533" s="201"/>
      <c r="K533" s="201"/>
      <c r="L533" s="201"/>
      <c r="M533" s="201"/>
      <c r="N533" s="201"/>
      <c r="O533" s="201"/>
      <c r="P533" s="201"/>
      <c r="Q533" s="201"/>
      <c r="R533" s="201"/>
      <c r="S533" s="201"/>
      <c r="T533" s="201"/>
      <c r="U533" s="201"/>
      <c r="V533" s="201"/>
      <c r="W533" s="201"/>
      <c r="X533" s="201"/>
      <c r="Y533" s="201"/>
      <c r="Z533" s="201"/>
      <c r="AA533" s="201"/>
      <c r="AB533" s="201"/>
      <c r="AC533" s="201"/>
      <c r="AD533" s="201"/>
      <c r="AE533" s="201"/>
      <c r="AF533" s="201"/>
      <c r="AG533" s="333"/>
    </row>
    <row r="534" spans="1:33">
      <c r="A534" s="87"/>
      <c r="B534" s="318" t="s">
        <v>782</v>
      </c>
      <c r="C534" s="165" t="s">
        <v>790</v>
      </c>
      <c r="D534" s="165" t="s">
        <v>671</v>
      </c>
      <c r="F534" s="203">
        <v>1613618.78</v>
      </c>
      <c r="H534" s="201">
        <f t="shared" ref="H534:Q537" si="235">IF(VLOOKUP($D534,$C$6:$AE$598,H$2,)=0,0,((VLOOKUP($D534,$C$6:$AE$598,H$2,)/VLOOKUP($D534,$C$6:$AE$598,4,))*$F534))</f>
        <v>554353.04742155119</v>
      </c>
      <c r="I534" s="201">
        <f t="shared" si="235"/>
        <v>522576.28269655968</v>
      </c>
      <c r="J534" s="201">
        <f t="shared" si="235"/>
        <v>536689.44988188916</v>
      </c>
      <c r="K534" s="201">
        <f t="shared" si="235"/>
        <v>0</v>
      </c>
      <c r="L534" s="201">
        <f t="shared" si="235"/>
        <v>0</v>
      </c>
      <c r="M534" s="201">
        <f t="shared" si="235"/>
        <v>0</v>
      </c>
      <c r="N534" s="201">
        <f t="shared" si="235"/>
        <v>0</v>
      </c>
      <c r="O534" s="201">
        <f t="shared" si="235"/>
        <v>0</v>
      </c>
      <c r="P534" s="201">
        <f t="shared" si="235"/>
        <v>0</v>
      </c>
      <c r="Q534" s="201">
        <f t="shared" si="235"/>
        <v>0</v>
      </c>
      <c r="R534" s="201">
        <f t="shared" ref="R534:AE537" si="236">IF(VLOOKUP($D534,$C$6:$AE$598,R$2,)=0,0,((VLOOKUP($D534,$C$6:$AE$598,R$2,)/VLOOKUP($D534,$C$6:$AE$598,4,))*$F534))</f>
        <v>0</v>
      </c>
      <c r="S534" s="201">
        <f t="shared" si="236"/>
        <v>0</v>
      </c>
      <c r="T534" s="201">
        <f t="shared" si="236"/>
        <v>0</v>
      </c>
      <c r="U534" s="201">
        <f t="shared" si="236"/>
        <v>0</v>
      </c>
      <c r="V534" s="201">
        <f t="shared" si="236"/>
        <v>0</v>
      </c>
      <c r="W534" s="201">
        <f t="shared" si="236"/>
        <v>0</v>
      </c>
      <c r="X534" s="201">
        <f t="shared" si="236"/>
        <v>0</v>
      </c>
      <c r="Y534" s="201">
        <f t="shared" si="236"/>
        <v>0</v>
      </c>
      <c r="Z534" s="201">
        <f t="shared" si="236"/>
        <v>0</v>
      </c>
      <c r="AA534" s="201">
        <f t="shared" si="236"/>
        <v>0</v>
      </c>
      <c r="AB534" s="201">
        <f t="shared" si="236"/>
        <v>0</v>
      </c>
      <c r="AC534" s="201">
        <f t="shared" si="236"/>
        <v>0</v>
      </c>
      <c r="AD534" s="201">
        <f t="shared" si="236"/>
        <v>0</v>
      </c>
      <c r="AE534" s="201">
        <f t="shared" si="236"/>
        <v>0</v>
      </c>
      <c r="AF534" s="201">
        <f>SUM(H534:AE534)</f>
        <v>1613618.78</v>
      </c>
      <c r="AG534" s="333" t="str">
        <f>IF(ABS(AF534-F534)&lt;1,"ok","err")</f>
        <v>ok</v>
      </c>
    </row>
    <row r="535" spans="1:33">
      <c r="A535" s="87"/>
      <c r="B535" s="318" t="s">
        <v>1236</v>
      </c>
      <c r="C535" s="165" t="s">
        <v>792</v>
      </c>
      <c r="D535" s="165" t="s">
        <v>1266</v>
      </c>
      <c r="F535" s="340">
        <v>4031.04</v>
      </c>
      <c r="H535" s="201">
        <f t="shared" si="235"/>
        <v>0</v>
      </c>
      <c r="I535" s="201">
        <f t="shared" si="235"/>
        <v>0</v>
      </c>
      <c r="J535" s="201">
        <f t="shared" si="235"/>
        <v>0</v>
      </c>
      <c r="K535" s="201">
        <f t="shared" si="235"/>
        <v>0</v>
      </c>
      <c r="L535" s="201">
        <f t="shared" si="235"/>
        <v>0</v>
      </c>
      <c r="M535" s="201">
        <f t="shared" si="235"/>
        <v>0</v>
      </c>
      <c r="N535" s="201">
        <f t="shared" si="235"/>
        <v>1384.849591474245</v>
      </c>
      <c r="O535" s="201">
        <f t="shared" si="235"/>
        <v>1305.4668950996838</v>
      </c>
      <c r="P535" s="201">
        <f t="shared" si="235"/>
        <v>1340.7235134260711</v>
      </c>
      <c r="Q535" s="201">
        <f t="shared" si="235"/>
        <v>0</v>
      </c>
      <c r="R535" s="201">
        <f t="shared" si="236"/>
        <v>0</v>
      </c>
      <c r="S535" s="201">
        <f t="shared" si="236"/>
        <v>0</v>
      </c>
      <c r="T535" s="201">
        <f t="shared" si="236"/>
        <v>0</v>
      </c>
      <c r="U535" s="201">
        <f t="shared" si="236"/>
        <v>0</v>
      </c>
      <c r="V535" s="201">
        <f t="shared" si="236"/>
        <v>0</v>
      </c>
      <c r="W535" s="201">
        <f t="shared" si="236"/>
        <v>0</v>
      </c>
      <c r="X535" s="201">
        <f t="shared" si="236"/>
        <v>0</v>
      </c>
      <c r="Y535" s="201">
        <f t="shared" si="236"/>
        <v>0</v>
      </c>
      <c r="Z535" s="201">
        <f t="shared" si="236"/>
        <v>0</v>
      </c>
      <c r="AA535" s="201">
        <f t="shared" si="236"/>
        <v>0</v>
      </c>
      <c r="AB535" s="201">
        <f t="shared" si="236"/>
        <v>0</v>
      </c>
      <c r="AC535" s="201">
        <f t="shared" si="236"/>
        <v>0</v>
      </c>
      <c r="AD535" s="201">
        <f t="shared" si="236"/>
        <v>0</v>
      </c>
      <c r="AE535" s="201">
        <f t="shared" si="236"/>
        <v>0</v>
      </c>
      <c r="AF535" s="201">
        <f>SUM(H535:AE535)</f>
        <v>4031.04</v>
      </c>
      <c r="AG535" s="333" t="str">
        <f>IF(ABS(AF535-F535)&lt;1,"ok","err")</f>
        <v>ok</v>
      </c>
    </row>
    <row r="536" spans="1:33">
      <c r="A536" s="87"/>
      <c r="B536" s="318" t="s">
        <v>1042</v>
      </c>
      <c r="C536" s="165" t="s">
        <v>791</v>
      </c>
      <c r="D536" s="165" t="s">
        <v>1039</v>
      </c>
      <c r="F536" s="340">
        <v>29705.43</v>
      </c>
      <c r="H536" s="201">
        <f t="shared" si="235"/>
        <v>0</v>
      </c>
      <c r="I536" s="201">
        <f t="shared" si="235"/>
        <v>0</v>
      </c>
      <c r="J536" s="201">
        <f t="shared" si="235"/>
        <v>0</v>
      </c>
      <c r="K536" s="201">
        <f t="shared" si="235"/>
        <v>0</v>
      </c>
      <c r="L536" s="201">
        <f t="shared" si="235"/>
        <v>0</v>
      </c>
      <c r="M536" s="201">
        <f t="shared" si="235"/>
        <v>0</v>
      </c>
      <c r="N536" s="201">
        <f t="shared" si="235"/>
        <v>0</v>
      </c>
      <c r="O536" s="201">
        <f t="shared" si="235"/>
        <v>0</v>
      </c>
      <c r="P536" s="201">
        <f t="shared" si="235"/>
        <v>0</v>
      </c>
      <c r="Q536" s="201">
        <f t="shared" si="235"/>
        <v>0</v>
      </c>
      <c r="R536" s="201">
        <f t="shared" si="236"/>
        <v>3266.033647936018</v>
      </c>
      <c r="S536" s="201">
        <f t="shared" si="236"/>
        <v>0</v>
      </c>
      <c r="T536" s="201">
        <f t="shared" si="236"/>
        <v>5029.023150125342</v>
      </c>
      <c r="U536" s="201">
        <f t="shared" si="236"/>
        <v>8232.9491607329874</v>
      </c>
      <c r="V536" s="201">
        <f t="shared" si="236"/>
        <v>1676.3410500417804</v>
      </c>
      <c r="W536" s="201">
        <f t="shared" si="236"/>
        <v>2744.3163869109958</v>
      </c>
      <c r="X536" s="201">
        <f t="shared" si="236"/>
        <v>2347.9731825854019</v>
      </c>
      <c r="Y536" s="201">
        <f t="shared" si="236"/>
        <v>1867.4185276217827</v>
      </c>
      <c r="Z536" s="201">
        <f t="shared" si="236"/>
        <v>855.01706137396468</v>
      </c>
      <c r="AA536" s="201">
        <f t="shared" si="236"/>
        <v>1152.1665273467322</v>
      </c>
      <c r="AB536" s="201">
        <f t="shared" si="236"/>
        <v>2534.1913053249955</v>
      </c>
      <c r="AC536" s="201">
        <f t="shared" si="236"/>
        <v>0</v>
      </c>
      <c r="AD536" s="201">
        <f t="shared" si="236"/>
        <v>0</v>
      </c>
      <c r="AE536" s="201">
        <f t="shared" si="236"/>
        <v>0</v>
      </c>
      <c r="AF536" s="201">
        <f>SUM(H536:AE536)</f>
        <v>29705.430000000004</v>
      </c>
      <c r="AG536" s="333" t="str">
        <f>IF(ABS(AF536-F536)&lt;1,"ok","err")</f>
        <v>ok</v>
      </c>
    </row>
    <row r="537" spans="1:33">
      <c r="A537" s="87"/>
      <c r="B537" s="318" t="s">
        <v>783</v>
      </c>
      <c r="C537" s="359" t="s">
        <v>826</v>
      </c>
      <c r="D537" s="165" t="s">
        <v>1062</v>
      </c>
      <c r="F537" s="340">
        <v>4154.55</v>
      </c>
      <c r="H537" s="201">
        <f t="shared" si="235"/>
        <v>941.97245612408415</v>
      </c>
      <c r="I537" s="201">
        <f t="shared" si="235"/>
        <v>887.97647422247235</v>
      </c>
      <c r="J537" s="201">
        <f t="shared" si="235"/>
        <v>911.95796908227271</v>
      </c>
      <c r="K537" s="201">
        <f t="shared" si="235"/>
        <v>0</v>
      </c>
      <c r="L537" s="201">
        <f t="shared" si="235"/>
        <v>0</v>
      </c>
      <c r="M537" s="201">
        <f t="shared" si="235"/>
        <v>0</v>
      </c>
      <c r="N537" s="201">
        <f t="shared" si="235"/>
        <v>101.10046012371734</v>
      </c>
      <c r="O537" s="201">
        <f t="shared" si="235"/>
        <v>95.305154136165442</v>
      </c>
      <c r="P537" s="201">
        <f t="shared" si="235"/>
        <v>97.879051227335808</v>
      </c>
      <c r="Q537" s="201">
        <f t="shared" si="235"/>
        <v>0</v>
      </c>
      <c r="R537" s="201">
        <f t="shared" si="236"/>
        <v>122.96055904382654</v>
      </c>
      <c r="S537" s="201">
        <f t="shared" si="236"/>
        <v>0</v>
      </c>
      <c r="T537" s="201">
        <f t="shared" si="236"/>
        <v>189.3340867368405</v>
      </c>
      <c r="U537" s="201">
        <f t="shared" si="236"/>
        <v>309.95639987447009</v>
      </c>
      <c r="V537" s="201">
        <f t="shared" si="236"/>
        <v>63.111362245613492</v>
      </c>
      <c r="W537" s="201">
        <f t="shared" si="236"/>
        <v>103.3187999581567</v>
      </c>
      <c r="X537" s="201">
        <f t="shared" si="236"/>
        <v>88.397158839151501</v>
      </c>
      <c r="Y537" s="201">
        <f t="shared" si="236"/>
        <v>70.305101195231799</v>
      </c>
      <c r="Z537" s="201">
        <f t="shared" si="236"/>
        <v>32.189924290887774</v>
      </c>
      <c r="AA537" s="201">
        <f t="shared" si="236"/>
        <v>43.377091477201397</v>
      </c>
      <c r="AB537" s="201">
        <f t="shared" si="236"/>
        <v>95.407951422572239</v>
      </c>
      <c r="AC537" s="201">
        <f t="shared" si="236"/>
        <v>0</v>
      </c>
      <c r="AD537" s="201">
        <f t="shared" si="236"/>
        <v>0</v>
      </c>
      <c r="AE537" s="201">
        <f t="shared" si="236"/>
        <v>0</v>
      </c>
      <c r="AF537" s="201">
        <f>SUM(H537:AE537)</f>
        <v>4154.5499999999993</v>
      </c>
      <c r="AG537" s="333" t="str">
        <f>IF(ABS(AF537-F537)&lt;1,"ok","err")</f>
        <v>ok</v>
      </c>
    </row>
    <row r="538" spans="1:33">
      <c r="A538" s="87"/>
      <c r="B538" s="318"/>
      <c r="F538" s="203"/>
      <c r="H538" s="201"/>
      <c r="I538" s="201"/>
      <c r="J538" s="201"/>
      <c r="K538" s="201"/>
      <c r="L538" s="201"/>
      <c r="M538" s="201"/>
      <c r="N538" s="201"/>
      <c r="O538" s="201"/>
      <c r="P538" s="201"/>
      <c r="Q538" s="201"/>
      <c r="R538" s="201"/>
      <c r="S538" s="201"/>
      <c r="T538" s="201"/>
      <c r="U538" s="201"/>
      <c r="V538" s="201"/>
      <c r="W538" s="201"/>
      <c r="X538" s="201"/>
      <c r="Y538" s="201"/>
      <c r="Z538" s="201"/>
      <c r="AA538" s="201"/>
      <c r="AB538" s="201"/>
      <c r="AC538" s="201"/>
      <c r="AD538" s="201"/>
      <c r="AE538" s="201"/>
      <c r="AF538" s="201"/>
      <c r="AG538" s="333"/>
    </row>
    <row r="539" spans="1:33">
      <c r="A539" s="318" t="s">
        <v>793</v>
      </c>
      <c r="B539" s="318"/>
      <c r="C539" s="165" t="s">
        <v>795</v>
      </c>
      <c r="F539" s="203">
        <f>SUM(F534:F538)</f>
        <v>1651509.8</v>
      </c>
      <c r="H539" s="347">
        <f>SUM(H534:H538)</f>
        <v>555295.01987767522</v>
      </c>
      <c r="I539" s="347">
        <f t="shared" ref="I539:W539" si="237">SUM(I534:I538)</f>
        <v>523464.25917078217</v>
      </c>
      <c r="J539" s="347">
        <f t="shared" si="237"/>
        <v>537601.40785097145</v>
      </c>
      <c r="K539" s="347">
        <f t="shared" si="237"/>
        <v>0</v>
      </c>
      <c r="L539" s="347">
        <f t="shared" si="237"/>
        <v>0</v>
      </c>
      <c r="M539" s="347">
        <f t="shared" si="237"/>
        <v>0</v>
      </c>
      <c r="N539" s="347">
        <f t="shared" si="237"/>
        <v>1485.9500515979623</v>
      </c>
      <c r="O539" s="347">
        <f t="shared" si="237"/>
        <v>1400.7720492358492</v>
      </c>
      <c r="P539" s="347">
        <f t="shared" si="237"/>
        <v>1438.6025646534069</v>
      </c>
      <c r="Q539" s="347">
        <f t="shared" si="237"/>
        <v>0</v>
      </c>
      <c r="R539" s="347">
        <f t="shared" si="237"/>
        <v>3388.9942069798444</v>
      </c>
      <c r="S539" s="347">
        <f t="shared" si="237"/>
        <v>0</v>
      </c>
      <c r="T539" s="347">
        <f t="shared" si="237"/>
        <v>5218.3572368621826</v>
      </c>
      <c r="U539" s="347">
        <f t="shared" si="237"/>
        <v>8542.905560607458</v>
      </c>
      <c r="V539" s="347">
        <f t="shared" si="237"/>
        <v>1739.4524122873938</v>
      </c>
      <c r="W539" s="347">
        <f t="shared" si="237"/>
        <v>2847.6351868691527</v>
      </c>
      <c r="X539" s="347">
        <f t="shared" ref="X539:AE539" si="238">SUM(X534:X538)</f>
        <v>2436.3703414245533</v>
      </c>
      <c r="Y539" s="347">
        <f t="shared" si="238"/>
        <v>1937.7236288170145</v>
      </c>
      <c r="Z539" s="347">
        <f t="shared" si="238"/>
        <v>887.20698566485248</v>
      </c>
      <c r="AA539" s="347">
        <f t="shared" si="238"/>
        <v>1195.5436188239337</v>
      </c>
      <c r="AB539" s="347">
        <f t="shared" si="238"/>
        <v>2629.5992567475678</v>
      </c>
      <c r="AC539" s="347">
        <f t="shared" si="238"/>
        <v>0</v>
      </c>
      <c r="AD539" s="347">
        <f t="shared" si="238"/>
        <v>0</v>
      </c>
      <c r="AE539" s="347">
        <f t="shared" si="238"/>
        <v>0</v>
      </c>
      <c r="AF539" s="201">
        <f>SUM(H539:AE539)</f>
        <v>1651509.8000000003</v>
      </c>
      <c r="AG539" s="333" t="str">
        <f>IF(ABS(AF539-F539)&lt;1,"ok","err")</f>
        <v>ok</v>
      </c>
    </row>
    <row r="540" spans="1:33">
      <c r="A540" s="318"/>
      <c r="B540" s="318"/>
      <c r="F540" s="340"/>
      <c r="AG540" s="333"/>
    </row>
    <row r="541" spans="1:33">
      <c r="A541" s="318" t="s">
        <v>669</v>
      </c>
      <c r="B541" s="318"/>
      <c r="C541" s="165" t="s">
        <v>1179</v>
      </c>
      <c r="D541" s="165" t="s">
        <v>1072</v>
      </c>
      <c r="F541" s="203">
        <v>21920600.789999999</v>
      </c>
      <c r="H541" s="201">
        <f t="shared" ref="H541:AE541" si="239">IF(VLOOKUP($D541,$C$6:$AE$598,H$2,)=0,0,((VLOOKUP($D541,$C$6:$AE$598,H$2,)/VLOOKUP($D541,$C$6:$AE$598,4,))*$F541))</f>
        <v>4994629.7588389749</v>
      </c>
      <c r="I541" s="201">
        <f t="shared" si="239"/>
        <v>4708326.3363660844</v>
      </c>
      <c r="J541" s="201">
        <f t="shared" si="239"/>
        <v>4835483.6509027053</v>
      </c>
      <c r="K541" s="201">
        <f t="shared" si="239"/>
        <v>0</v>
      </c>
      <c r="L541" s="201">
        <f t="shared" si="239"/>
        <v>0</v>
      </c>
      <c r="M541" s="201">
        <f t="shared" si="239"/>
        <v>0</v>
      </c>
      <c r="N541" s="201">
        <f t="shared" si="239"/>
        <v>536280.12112159072</v>
      </c>
      <c r="O541" s="201">
        <f t="shared" si="239"/>
        <v>505539.33722072776</v>
      </c>
      <c r="P541" s="201">
        <f t="shared" si="239"/>
        <v>519192.38926537958</v>
      </c>
      <c r="Q541" s="201">
        <f t="shared" si="239"/>
        <v>0</v>
      </c>
      <c r="R541" s="201">
        <f t="shared" si="239"/>
        <v>640019.99448319688</v>
      </c>
      <c r="S541" s="201">
        <f t="shared" si="239"/>
        <v>0</v>
      </c>
      <c r="T541" s="201">
        <f t="shared" si="239"/>
        <v>985499.75773615937</v>
      </c>
      <c r="U541" s="201">
        <f t="shared" si="239"/>
        <v>1613348.9867021707</v>
      </c>
      <c r="V541" s="201">
        <f t="shared" si="239"/>
        <v>328499.91924538632</v>
      </c>
      <c r="W541" s="201">
        <f t="shared" si="239"/>
        <v>537782.99556739023</v>
      </c>
      <c r="X541" s="201">
        <f t="shared" si="239"/>
        <v>460114.60546791105</v>
      </c>
      <c r="Y541" s="201">
        <f t="shared" si="239"/>
        <v>365943.93217645341</v>
      </c>
      <c r="Z541" s="201">
        <f t="shared" si="239"/>
        <v>167551.24836188593</v>
      </c>
      <c r="AA541" s="201">
        <f t="shared" si="239"/>
        <v>225781.38928304927</v>
      </c>
      <c r="AB541" s="201">
        <f t="shared" si="239"/>
        <v>496606.36726093007</v>
      </c>
      <c r="AC541" s="201">
        <f t="shared" si="239"/>
        <v>0</v>
      </c>
      <c r="AD541" s="201">
        <f t="shared" si="239"/>
        <v>0</v>
      </c>
      <c r="AE541" s="201">
        <f t="shared" si="239"/>
        <v>0</v>
      </c>
      <c r="AF541" s="201">
        <f>SUM(H541:AE541)</f>
        <v>21920600.789999992</v>
      </c>
      <c r="AG541" s="333" t="str">
        <f>IF(ABS(AF541-F541)&lt;1,"ok","err")</f>
        <v>ok</v>
      </c>
    </row>
    <row r="542" spans="1:33">
      <c r="A542" s="318"/>
      <c r="B542" s="318"/>
      <c r="AG542" s="333"/>
    </row>
    <row r="543" spans="1:33">
      <c r="A543" s="318" t="s">
        <v>786</v>
      </c>
      <c r="B543" s="318"/>
      <c r="C543" s="165" t="s">
        <v>553</v>
      </c>
      <c r="D543" s="165" t="s">
        <v>1072</v>
      </c>
      <c r="F543" s="203">
        <v>-2661472.48</v>
      </c>
      <c r="G543" s="347">
        <v>600157</v>
      </c>
      <c r="H543" s="201">
        <f t="shared" ref="H543:AE543" si="240">IF(VLOOKUP($D543,$C$6:$AE$598,H$2,)=0,0,((VLOOKUP($D543,$C$6:$AE$598,H$2,)/VLOOKUP($D543,$C$6:$AE$598,4,))*$F543))</f>
        <v>-606419.03834146552</v>
      </c>
      <c r="I543" s="201">
        <f t="shared" si="240"/>
        <v>-571657.73379779514</v>
      </c>
      <c r="J543" s="201">
        <f t="shared" si="240"/>
        <v>-587096.43899169238</v>
      </c>
      <c r="K543" s="201">
        <f t="shared" si="240"/>
        <v>0</v>
      </c>
      <c r="L543" s="201">
        <f t="shared" si="240"/>
        <v>0</v>
      </c>
      <c r="M543" s="201">
        <f t="shared" si="240"/>
        <v>0</v>
      </c>
      <c r="N543" s="201">
        <f t="shared" si="240"/>
        <v>-65112.028525573114</v>
      </c>
      <c r="O543" s="201">
        <f t="shared" si="240"/>
        <v>-61379.660460045568</v>
      </c>
      <c r="P543" s="201">
        <f t="shared" si="240"/>
        <v>-63037.335020745806</v>
      </c>
      <c r="Q543" s="201">
        <f t="shared" si="240"/>
        <v>0</v>
      </c>
      <c r="R543" s="201">
        <f t="shared" si="240"/>
        <v>-77707.523543052506</v>
      </c>
      <c r="S543" s="201">
        <f t="shared" si="240"/>
        <v>0</v>
      </c>
      <c r="T543" s="201">
        <f t="shared" si="240"/>
        <v>-119653.67689456724</v>
      </c>
      <c r="U543" s="201">
        <f t="shared" si="240"/>
        <v>-195883.49652818587</v>
      </c>
      <c r="V543" s="201">
        <f t="shared" si="240"/>
        <v>-39884.558964855729</v>
      </c>
      <c r="W543" s="201">
        <f t="shared" si="240"/>
        <v>-65294.498842728623</v>
      </c>
      <c r="X543" s="201">
        <f t="shared" si="240"/>
        <v>-55864.452431319645</v>
      </c>
      <c r="Y543" s="201">
        <f t="shared" si="240"/>
        <v>-44430.794303545059</v>
      </c>
      <c r="Z543" s="201">
        <f t="shared" si="240"/>
        <v>-20343.102854563891</v>
      </c>
      <c r="AA543" s="201">
        <f t="shared" si="240"/>
        <v>-27413.06955177676</v>
      </c>
      <c r="AB543" s="201">
        <f t="shared" si="240"/>
        <v>-60295.070948086839</v>
      </c>
      <c r="AC543" s="201">
        <f t="shared" si="240"/>
        <v>0</v>
      </c>
      <c r="AD543" s="201">
        <f t="shared" si="240"/>
        <v>0</v>
      </c>
      <c r="AE543" s="201">
        <f t="shared" si="240"/>
        <v>0</v>
      </c>
      <c r="AF543" s="201">
        <f>SUM(H543:AE543)</f>
        <v>-2661472.48</v>
      </c>
      <c r="AG543" s="333" t="str">
        <f>IF(ABS(AF543-F543)&lt;1,"ok","err")</f>
        <v>ok</v>
      </c>
    </row>
    <row r="544" spans="1:33">
      <c r="A544" s="318"/>
      <c r="B544" s="318"/>
      <c r="W544" s="165"/>
    </row>
    <row r="545" spans="1:33">
      <c r="A545" s="318" t="s">
        <v>819</v>
      </c>
      <c r="B545" s="318"/>
      <c r="C545" s="165" t="s">
        <v>1180</v>
      </c>
      <c r="D545" s="165" t="s">
        <v>1072</v>
      </c>
      <c r="F545" s="203">
        <v>-693.97</v>
      </c>
      <c r="G545" s="347">
        <v>600157</v>
      </c>
      <c r="H545" s="201">
        <f t="shared" ref="H545:AE545" si="241">IF(VLOOKUP($D545,$C$6:$AE$598,H$2,)=0,0,((VLOOKUP($D545,$C$6:$AE$598,H$2,)/VLOOKUP($D545,$C$6:$AE$598,4,))*$F545))</f>
        <v>-158.12172517291137</v>
      </c>
      <c r="I545" s="201">
        <f t="shared" si="241"/>
        <v>-149.05783189749755</v>
      </c>
      <c r="J545" s="201">
        <f t="shared" si="241"/>
        <v>-153.0834223643991</v>
      </c>
      <c r="K545" s="201">
        <f t="shared" si="241"/>
        <v>0</v>
      </c>
      <c r="L545" s="201">
        <f t="shared" si="241"/>
        <v>0</v>
      </c>
      <c r="M545" s="201">
        <f t="shared" si="241"/>
        <v>0</v>
      </c>
      <c r="N545" s="201">
        <f t="shared" si="241"/>
        <v>-16.977742499855559</v>
      </c>
      <c r="O545" s="201">
        <f t="shared" si="241"/>
        <v>-16.004540076799074</v>
      </c>
      <c r="P545" s="201">
        <f t="shared" si="241"/>
        <v>-16.436773144596621</v>
      </c>
      <c r="Q545" s="201">
        <f t="shared" si="241"/>
        <v>0</v>
      </c>
      <c r="R545" s="201">
        <f t="shared" si="241"/>
        <v>-20.261975473506364</v>
      </c>
      <c r="S545" s="201">
        <f t="shared" si="241"/>
        <v>0</v>
      </c>
      <c r="T545" s="201">
        <f t="shared" si="241"/>
        <v>-31.199293916622739</v>
      </c>
      <c r="U545" s="201">
        <f t="shared" si="241"/>
        <v>-51.075963064500726</v>
      </c>
      <c r="V545" s="201">
        <f t="shared" si="241"/>
        <v>-10.399764638874242</v>
      </c>
      <c r="W545" s="201">
        <f t="shared" si="241"/>
        <v>-17.025321021500243</v>
      </c>
      <c r="X545" s="201">
        <f t="shared" si="241"/>
        <v>-14.566468128110381</v>
      </c>
      <c r="Y545" s="201">
        <f t="shared" si="241"/>
        <v>-11.585180216791558</v>
      </c>
      <c r="Z545" s="201">
        <f t="shared" si="241"/>
        <v>-5.3043956659592073</v>
      </c>
      <c r="AA545" s="201">
        <f t="shared" si="241"/>
        <v>-7.1478657096039253</v>
      </c>
      <c r="AB545" s="201">
        <f t="shared" si="241"/>
        <v>-15.721737008471276</v>
      </c>
      <c r="AC545" s="201">
        <f t="shared" si="241"/>
        <v>0</v>
      </c>
      <c r="AD545" s="201">
        <f t="shared" si="241"/>
        <v>0</v>
      </c>
      <c r="AE545" s="201">
        <f t="shared" si="241"/>
        <v>0</v>
      </c>
      <c r="AF545" s="201">
        <f>SUM(H545:AE545)</f>
        <v>-693.96999999999969</v>
      </c>
      <c r="AG545" s="333" t="str">
        <f>IF(ABS(AF545-F545)&lt;1,"ok","err")</f>
        <v>ok</v>
      </c>
    </row>
    <row r="546" spans="1:33">
      <c r="A546" s="318"/>
      <c r="B546" s="318"/>
      <c r="W546" s="165"/>
    </row>
    <row r="547" spans="1:33">
      <c r="A547" s="318" t="s">
        <v>942</v>
      </c>
      <c r="B547" s="318"/>
      <c r="C547" s="165" t="s">
        <v>1181</v>
      </c>
      <c r="D547" s="165" t="s">
        <v>1072</v>
      </c>
      <c r="F547" s="203">
        <v>34922372.929999992</v>
      </c>
      <c r="H547" s="201">
        <f t="shared" ref="H547:AE547" si="242">IF(VLOOKUP($D547,$C$6:$AE$598,H$2,)=0,0,((VLOOKUP($D547,$C$6:$AE$598,H$2,)/VLOOKUP($D547,$C$6:$AE$598,4,))*$F547))</f>
        <v>7957095.9188774414</v>
      </c>
      <c r="I547" s="201">
        <f t="shared" si="242"/>
        <v>7500977.2665412882</v>
      </c>
      <c r="J547" s="201">
        <f t="shared" si="242"/>
        <v>7703555.4349759305</v>
      </c>
      <c r="K547" s="201">
        <f t="shared" si="242"/>
        <v>0</v>
      </c>
      <c r="L547" s="201">
        <f t="shared" si="242"/>
        <v>0</v>
      </c>
      <c r="M547" s="201">
        <f t="shared" si="242"/>
        <v>0</v>
      </c>
      <c r="N547" s="201">
        <f t="shared" si="242"/>
        <v>854364.10088255431</v>
      </c>
      <c r="O547" s="201">
        <f t="shared" si="242"/>
        <v>805390.02714109828</v>
      </c>
      <c r="P547" s="201">
        <f t="shared" si="242"/>
        <v>827141.11780251586</v>
      </c>
      <c r="Q547" s="201">
        <f t="shared" si="242"/>
        <v>0</v>
      </c>
      <c r="R547" s="201">
        <f t="shared" si="242"/>
        <v>1019635.2346417026</v>
      </c>
      <c r="S547" s="201">
        <f t="shared" si="242"/>
        <v>0</v>
      </c>
      <c r="T547" s="201">
        <f t="shared" si="242"/>
        <v>1570029.5074844437</v>
      </c>
      <c r="U547" s="201">
        <f t="shared" si="242"/>
        <v>2570275.1270190347</v>
      </c>
      <c r="V547" s="201">
        <f t="shared" si="242"/>
        <v>523343.16916148097</v>
      </c>
      <c r="W547" s="201">
        <f t="shared" si="242"/>
        <v>856758.37567301164</v>
      </c>
      <c r="X547" s="201">
        <f t="shared" si="242"/>
        <v>733022.51140946965</v>
      </c>
      <c r="Y547" s="201">
        <f t="shared" si="242"/>
        <v>582996.3600617504</v>
      </c>
      <c r="Z547" s="201">
        <f t="shared" si="242"/>
        <v>266930.96764255385</v>
      </c>
      <c r="AA547" s="201">
        <f t="shared" si="242"/>
        <v>359699.16850057972</v>
      </c>
      <c r="AB547" s="201">
        <f t="shared" si="242"/>
        <v>791158.64218513237</v>
      </c>
      <c r="AC547" s="201">
        <f t="shared" si="242"/>
        <v>0</v>
      </c>
      <c r="AD547" s="201">
        <f t="shared" si="242"/>
        <v>0</v>
      </c>
      <c r="AE547" s="201">
        <f t="shared" si="242"/>
        <v>0</v>
      </c>
      <c r="AF547" s="201">
        <f>SUM(H547:AE547)</f>
        <v>34922372.929999977</v>
      </c>
      <c r="AG547" s="333" t="str">
        <f>IF(ABS(AF547-F547)&lt;1,"ok","err")</f>
        <v>ok</v>
      </c>
    </row>
    <row r="548" spans="1:33">
      <c r="A548" s="318"/>
      <c r="B548" s="318"/>
      <c r="F548" s="203"/>
      <c r="H548" s="201"/>
      <c r="I548" s="201"/>
      <c r="J548" s="201"/>
      <c r="K548" s="201"/>
      <c r="L548" s="201"/>
      <c r="M548" s="201"/>
      <c r="N548" s="201"/>
      <c r="O548" s="201"/>
      <c r="P548" s="201"/>
      <c r="Q548" s="201"/>
      <c r="R548" s="201"/>
      <c r="S548" s="201"/>
      <c r="T548" s="201"/>
      <c r="U548" s="201"/>
      <c r="V548" s="201"/>
      <c r="W548" s="201"/>
      <c r="X548" s="201"/>
      <c r="Y548" s="201"/>
      <c r="Z548" s="201"/>
      <c r="AA548" s="201"/>
      <c r="AB548" s="201"/>
      <c r="AC548" s="201"/>
      <c r="AD548" s="201"/>
      <c r="AE548" s="201"/>
      <c r="AF548" s="201"/>
      <c r="AG548" s="333"/>
    </row>
    <row r="549" spans="1:33">
      <c r="A549" s="318" t="s">
        <v>1182</v>
      </c>
      <c r="B549" s="318"/>
      <c r="C549" s="165" t="s">
        <v>1183</v>
      </c>
      <c r="D549" s="165" t="s">
        <v>1072</v>
      </c>
      <c r="F549" s="203">
        <v>0</v>
      </c>
      <c r="H549" s="201">
        <f t="shared" ref="H549:AE549" si="243">IF(VLOOKUP($D549,$C$6:$AE$598,H$2,)=0,0,((VLOOKUP($D549,$C$6:$AE$598,H$2,)/VLOOKUP($D549,$C$6:$AE$598,4,))*$F549))</f>
        <v>0</v>
      </c>
      <c r="I549" s="201">
        <f t="shared" si="243"/>
        <v>0</v>
      </c>
      <c r="J549" s="201">
        <f t="shared" si="243"/>
        <v>0</v>
      </c>
      <c r="K549" s="201">
        <f t="shared" si="243"/>
        <v>0</v>
      </c>
      <c r="L549" s="201">
        <f t="shared" si="243"/>
        <v>0</v>
      </c>
      <c r="M549" s="201">
        <f t="shared" si="243"/>
        <v>0</v>
      </c>
      <c r="N549" s="201">
        <f t="shared" si="243"/>
        <v>0</v>
      </c>
      <c r="O549" s="201">
        <f t="shared" si="243"/>
        <v>0</v>
      </c>
      <c r="P549" s="201">
        <f t="shared" si="243"/>
        <v>0</v>
      </c>
      <c r="Q549" s="201">
        <f t="shared" si="243"/>
        <v>0</v>
      </c>
      <c r="R549" s="201">
        <f t="shared" si="243"/>
        <v>0</v>
      </c>
      <c r="S549" s="201">
        <f t="shared" si="243"/>
        <v>0</v>
      </c>
      <c r="T549" s="201">
        <f t="shared" si="243"/>
        <v>0</v>
      </c>
      <c r="U549" s="201">
        <f t="shared" si="243"/>
        <v>0</v>
      </c>
      <c r="V549" s="201">
        <f t="shared" si="243"/>
        <v>0</v>
      </c>
      <c r="W549" s="201">
        <f t="shared" si="243"/>
        <v>0</v>
      </c>
      <c r="X549" s="201">
        <f t="shared" si="243"/>
        <v>0</v>
      </c>
      <c r="Y549" s="201">
        <f t="shared" si="243"/>
        <v>0</v>
      </c>
      <c r="Z549" s="201">
        <f t="shared" si="243"/>
        <v>0</v>
      </c>
      <c r="AA549" s="201">
        <f t="shared" si="243"/>
        <v>0</v>
      </c>
      <c r="AB549" s="201">
        <f t="shared" si="243"/>
        <v>0</v>
      </c>
      <c r="AC549" s="201">
        <f t="shared" si="243"/>
        <v>0</v>
      </c>
      <c r="AD549" s="201">
        <f t="shared" si="243"/>
        <v>0</v>
      </c>
      <c r="AE549" s="201">
        <f t="shared" si="243"/>
        <v>0</v>
      </c>
      <c r="AF549" s="201">
        <f>SUM(H549:AE549)</f>
        <v>0</v>
      </c>
      <c r="AG549" s="333" t="str">
        <f>IF(ABS(AF549-F549)&lt;1,"ok","err")</f>
        <v>ok</v>
      </c>
    </row>
    <row r="550" spans="1:33">
      <c r="A550" s="318"/>
      <c r="B550" s="318"/>
      <c r="AF550" s="201"/>
      <c r="AG550" s="333"/>
    </row>
    <row r="551" spans="1:33">
      <c r="A551" s="87" t="s">
        <v>1184</v>
      </c>
      <c r="B551" s="318"/>
      <c r="C551" s="165" t="s">
        <v>1185</v>
      </c>
      <c r="F551" s="342">
        <f>F523+F531+F539+F541+F543+F545+F547+F549</f>
        <v>173944517.48470002</v>
      </c>
      <c r="G551" s="343"/>
      <c r="H551" s="342">
        <f t="shared" ref="H551:AE551" si="244">H523+H531+H539+H541+H543+H545+H547+H549</f>
        <v>42455387.120382681</v>
      </c>
      <c r="I551" s="342">
        <f t="shared" si="244"/>
        <v>40021748.748396009</v>
      </c>
      <c r="J551" s="342">
        <f t="shared" si="244"/>
        <v>41102612.250698008</v>
      </c>
      <c r="K551" s="342">
        <f t="shared" si="244"/>
        <v>0</v>
      </c>
      <c r="L551" s="342">
        <f t="shared" si="244"/>
        <v>0</v>
      </c>
      <c r="M551" s="342">
        <f t="shared" si="244"/>
        <v>0</v>
      </c>
      <c r="N551" s="342">
        <f t="shared" si="244"/>
        <v>3482863.7346852673</v>
      </c>
      <c r="O551" s="342">
        <f t="shared" si="244"/>
        <v>3283218.1442423621</v>
      </c>
      <c r="P551" s="342">
        <f t="shared" si="244"/>
        <v>3371887.6995013515</v>
      </c>
      <c r="Q551" s="342">
        <f t="shared" si="244"/>
        <v>0</v>
      </c>
      <c r="R551" s="342">
        <f t="shared" si="244"/>
        <v>4422830.4943727665</v>
      </c>
      <c r="S551" s="342">
        <f t="shared" si="244"/>
        <v>0</v>
      </c>
      <c r="T551" s="342">
        <f t="shared" si="244"/>
        <v>6810253.4581470685</v>
      </c>
      <c r="U551" s="342">
        <f t="shared" si="244"/>
        <v>11148978.403735008</v>
      </c>
      <c r="V551" s="342">
        <f t="shared" si="244"/>
        <v>2270084.4860490221</v>
      </c>
      <c r="W551" s="342">
        <f t="shared" si="244"/>
        <v>3716326.134578336</v>
      </c>
      <c r="X551" s="342">
        <f t="shared" si="244"/>
        <v>3179602.0835458422</v>
      </c>
      <c r="Y551" s="342">
        <f t="shared" si="244"/>
        <v>2528839.7181522585</v>
      </c>
      <c r="Z551" s="342">
        <f t="shared" si="244"/>
        <v>1157855.6560933031</v>
      </c>
      <c r="AA551" s="342">
        <f t="shared" si="244"/>
        <v>1560252.5267812328</v>
      </c>
      <c r="AB551" s="342">
        <f t="shared" si="244"/>
        <v>3431776.8253394584</v>
      </c>
      <c r="AC551" s="342">
        <f t="shared" si="244"/>
        <v>0</v>
      </c>
      <c r="AD551" s="342">
        <f t="shared" si="244"/>
        <v>0</v>
      </c>
      <c r="AE551" s="342">
        <f t="shared" si="244"/>
        <v>0</v>
      </c>
      <c r="AF551" s="201">
        <f>SUM(H551:AE551)</f>
        <v>173944517.48469999</v>
      </c>
      <c r="AG551" s="333" t="str">
        <f>IF(ABS(AF551-F551)&lt;1,"ok","err")</f>
        <v>ok</v>
      </c>
    </row>
    <row r="552" spans="1:33">
      <c r="A552" s="318"/>
      <c r="B552" s="318"/>
      <c r="AG552" s="333"/>
    </row>
    <row r="553" spans="1:33">
      <c r="A553" s="87" t="s">
        <v>1265</v>
      </c>
      <c r="B553" s="318"/>
      <c r="F553" s="342">
        <f t="shared" ref="F553:AE553" si="245">F311+F551</f>
        <v>902830750.9046998</v>
      </c>
      <c r="G553" s="343">
        <f t="shared" si="245"/>
        <v>0</v>
      </c>
      <c r="H553" s="343">
        <f t="shared" si="245"/>
        <v>84166357.344148681</v>
      </c>
      <c r="I553" s="343">
        <f t="shared" si="245"/>
        <v>79341752.252637833</v>
      </c>
      <c r="J553" s="343">
        <f t="shared" si="245"/>
        <v>81484527.291222334</v>
      </c>
      <c r="K553" s="343">
        <f t="shared" si="245"/>
        <v>494394072.61689991</v>
      </c>
      <c r="L553" s="343">
        <f t="shared" si="245"/>
        <v>0</v>
      </c>
      <c r="M553" s="343">
        <f t="shared" si="245"/>
        <v>0</v>
      </c>
      <c r="N553" s="343">
        <f t="shared" si="245"/>
        <v>11019361.564116968</v>
      </c>
      <c r="O553" s="343">
        <f t="shared" si="245"/>
        <v>10387706.950741522</v>
      </c>
      <c r="P553" s="343">
        <f t="shared" si="245"/>
        <v>10668246.748896025</v>
      </c>
      <c r="Q553" s="343">
        <f t="shared" si="245"/>
        <v>0</v>
      </c>
      <c r="R553" s="343">
        <f t="shared" si="245"/>
        <v>10673509.165173762</v>
      </c>
      <c r="S553" s="343">
        <f t="shared" si="245"/>
        <v>0</v>
      </c>
      <c r="T553" s="343">
        <f t="shared" si="245"/>
        <v>19956144.368219182</v>
      </c>
      <c r="U553" s="343">
        <f t="shared" si="245"/>
        <v>28792571.56570426</v>
      </c>
      <c r="V553" s="343">
        <f t="shared" si="245"/>
        <v>6652048.1227397267</v>
      </c>
      <c r="W553" s="343">
        <f t="shared" si="245"/>
        <v>9597523.8552347533</v>
      </c>
      <c r="X553" s="343">
        <f t="shared" si="245"/>
        <v>4150455.6518771672</v>
      </c>
      <c r="Y553" s="343">
        <f t="shared" si="245"/>
        <v>3300990.7608286981</v>
      </c>
      <c r="Z553" s="343">
        <f t="shared" si="245"/>
        <v>1437351.0790316579</v>
      </c>
      <c r="AA553" s="343">
        <f t="shared" si="245"/>
        <v>12843533.416440906</v>
      </c>
      <c r="AB553" s="343">
        <f t="shared" si="245"/>
        <v>4602985.7002602881</v>
      </c>
      <c r="AC553" s="343">
        <f t="shared" si="245"/>
        <v>16962250.956368335</v>
      </c>
      <c r="AD553" s="343">
        <f t="shared" si="245"/>
        <v>12399361.494157936</v>
      </c>
      <c r="AE553" s="343">
        <f t="shared" si="245"/>
        <v>0</v>
      </c>
      <c r="AF553" s="201">
        <f>SUM(H553:AE553)</f>
        <v>902830750.90469992</v>
      </c>
      <c r="AG553" s="333" t="str">
        <f>IF(ABS(AF553-F553)&lt;1,"ok","err")</f>
        <v>ok</v>
      </c>
    </row>
    <row r="554" spans="1:33">
      <c r="A554" s="318"/>
      <c r="B554" s="318"/>
      <c r="AG554" s="333"/>
    </row>
    <row r="555" spans="1:33">
      <c r="A555" s="318"/>
      <c r="B555" s="318"/>
      <c r="AG555" s="333"/>
    </row>
    <row r="556" spans="1:33" s="318" customFormat="1">
      <c r="F556" s="340"/>
      <c r="W556" s="320"/>
      <c r="AG556" s="348"/>
    </row>
    <row r="557" spans="1:33" s="318" customFormat="1">
      <c r="A557" s="337" t="s">
        <v>1186</v>
      </c>
      <c r="W557" s="320"/>
      <c r="AG557" s="348"/>
    </row>
    <row r="558" spans="1:33" s="318" customFormat="1">
      <c r="W558" s="320"/>
      <c r="AG558" s="348"/>
    </row>
    <row r="559" spans="1:33" s="318" customFormat="1">
      <c r="A559" s="318" t="s">
        <v>1027</v>
      </c>
      <c r="C559" s="318" t="s">
        <v>1044</v>
      </c>
      <c r="F559" s="360">
        <v>1</v>
      </c>
      <c r="G559" s="360"/>
      <c r="H559" s="190">
        <v>0</v>
      </c>
      <c r="I559" s="190">
        <v>0</v>
      </c>
      <c r="J559" s="190">
        <v>0</v>
      </c>
      <c r="K559" s="190">
        <v>0</v>
      </c>
      <c r="L559" s="190">
        <v>0</v>
      </c>
      <c r="M559" s="190">
        <v>0</v>
      </c>
      <c r="N559" s="190">
        <v>0</v>
      </c>
      <c r="O559" s="190">
        <v>0</v>
      </c>
      <c r="P559" s="190">
        <v>0</v>
      </c>
      <c r="Q559" s="190">
        <v>0</v>
      </c>
      <c r="R559" s="190">
        <v>1</v>
      </c>
      <c r="S559" s="190">
        <v>0</v>
      </c>
      <c r="T559" s="190">
        <v>0</v>
      </c>
      <c r="U559" s="190">
        <v>0</v>
      </c>
      <c r="V559" s="190">
        <v>0</v>
      </c>
      <c r="W559" s="190">
        <v>0</v>
      </c>
      <c r="X559" s="360">
        <v>0</v>
      </c>
      <c r="Y559" s="360">
        <v>0</v>
      </c>
      <c r="Z559" s="360">
        <v>0</v>
      </c>
      <c r="AA559" s="360">
        <v>0</v>
      </c>
      <c r="AB559" s="360">
        <v>0</v>
      </c>
      <c r="AC559" s="360">
        <v>0</v>
      </c>
      <c r="AD559" s="360">
        <v>0</v>
      </c>
      <c r="AE559" s="360">
        <v>0</v>
      </c>
      <c r="AF559" s="190">
        <f>SUM(H559:AE559)</f>
        <v>1</v>
      </c>
      <c r="AG559" s="348" t="str">
        <f t="shared" ref="AG559:AG583" si="246">IF(ABS(AF559-F559)&lt;0.0000001,"ok","err")</f>
        <v>ok</v>
      </c>
    </row>
    <row r="560" spans="1:33" s="318" customFormat="1">
      <c r="A560" s="318" t="s">
        <v>1187</v>
      </c>
      <c r="C560" s="318" t="s">
        <v>1045</v>
      </c>
      <c r="F560" s="360">
        <v>1</v>
      </c>
      <c r="G560" s="360"/>
      <c r="H560" s="190">
        <v>0</v>
      </c>
      <c r="I560" s="190">
        <v>0</v>
      </c>
      <c r="J560" s="190">
        <v>0</v>
      </c>
      <c r="K560" s="190">
        <v>0</v>
      </c>
      <c r="L560" s="190">
        <v>0</v>
      </c>
      <c r="M560" s="190">
        <v>0</v>
      </c>
      <c r="N560" s="190">
        <v>0</v>
      </c>
      <c r="O560" s="190">
        <v>0</v>
      </c>
      <c r="P560" s="190">
        <v>0</v>
      </c>
      <c r="Q560" s="190">
        <v>0</v>
      </c>
      <c r="R560" s="190">
        <v>0</v>
      </c>
      <c r="S560" s="190">
        <v>0</v>
      </c>
      <c r="T560" s="190">
        <f>0.4543*0.75</f>
        <v>0.340725</v>
      </c>
      <c r="U560" s="190">
        <f>0.5457*0.75</f>
        <v>0.40927499999999994</v>
      </c>
      <c r="V560" s="190">
        <f>0.4543*0.25</f>
        <v>0.113575</v>
      </c>
      <c r="W560" s="190">
        <f>0.5457*0.25</f>
        <v>0.13642499999999999</v>
      </c>
      <c r="X560" s="360">
        <v>0</v>
      </c>
      <c r="Y560" s="360">
        <v>0</v>
      </c>
      <c r="Z560" s="360">
        <v>0</v>
      </c>
      <c r="AA560" s="360">
        <v>0</v>
      </c>
      <c r="AB560" s="360">
        <v>0</v>
      </c>
      <c r="AC560" s="360">
        <v>0</v>
      </c>
      <c r="AD560" s="360">
        <v>0</v>
      </c>
      <c r="AE560" s="360">
        <v>0</v>
      </c>
      <c r="AF560" s="190">
        <f t="shared" ref="AF560:AF568" si="247">SUM(H560:AE560)</f>
        <v>1</v>
      </c>
      <c r="AG560" s="348" t="str">
        <f t="shared" si="246"/>
        <v>ok</v>
      </c>
    </row>
    <row r="561" spans="1:34" s="318" customFormat="1">
      <c r="A561" s="318" t="s">
        <v>1188</v>
      </c>
      <c r="C561" s="318" t="s">
        <v>1047</v>
      </c>
      <c r="F561" s="360">
        <v>1</v>
      </c>
      <c r="G561" s="360"/>
      <c r="H561" s="190">
        <v>0</v>
      </c>
      <c r="I561" s="190">
        <v>0</v>
      </c>
      <c r="J561" s="190">
        <v>0</v>
      </c>
      <c r="K561" s="190">
        <v>0</v>
      </c>
      <c r="L561" s="190">
        <v>0</v>
      </c>
      <c r="M561" s="190">
        <v>0</v>
      </c>
      <c r="N561" s="190">
        <v>0</v>
      </c>
      <c r="O561" s="190">
        <v>0</v>
      </c>
      <c r="P561" s="190">
        <v>0</v>
      </c>
      <c r="Q561" s="190">
        <v>0</v>
      </c>
      <c r="R561" s="190">
        <v>0</v>
      </c>
      <c r="S561" s="190">
        <v>0</v>
      </c>
      <c r="T561" s="190">
        <f>T560</f>
        <v>0.340725</v>
      </c>
      <c r="U561" s="190">
        <f>U560</f>
        <v>0.40927499999999994</v>
      </c>
      <c r="V561" s="190">
        <f>V560</f>
        <v>0.113575</v>
      </c>
      <c r="W561" s="190">
        <f>W560</f>
        <v>0.13642499999999999</v>
      </c>
      <c r="X561" s="360">
        <v>0</v>
      </c>
      <c r="Y561" s="360">
        <v>0</v>
      </c>
      <c r="Z561" s="360">
        <v>0</v>
      </c>
      <c r="AA561" s="360">
        <v>0</v>
      </c>
      <c r="AB561" s="360">
        <v>0</v>
      </c>
      <c r="AC561" s="360">
        <v>0</v>
      </c>
      <c r="AD561" s="360">
        <v>0</v>
      </c>
      <c r="AE561" s="360">
        <v>0</v>
      </c>
      <c r="AF561" s="190">
        <f t="shared" si="247"/>
        <v>1</v>
      </c>
      <c r="AG561" s="348" t="str">
        <f t="shared" si="246"/>
        <v>ok</v>
      </c>
      <c r="AH561" s="360"/>
    </row>
    <row r="562" spans="1:34" s="318" customFormat="1">
      <c r="A562" s="318" t="s">
        <v>1189</v>
      </c>
      <c r="C562" s="318" t="s">
        <v>1048</v>
      </c>
      <c r="F562" s="360">
        <v>1</v>
      </c>
      <c r="G562" s="360"/>
      <c r="H562" s="190">
        <v>0</v>
      </c>
      <c r="I562" s="190">
        <v>0</v>
      </c>
      <c r="J562" s="190">
        <v>0</v>
      </c>
      <c r="K562" s="190">
        <v>0</v>
      </c>
      <c r="L562" s="190">
        <v>0</v>
      </c>
      <c r="M562" s="190">
        <v>0</v>
      </c>
      <c r="N562" s="190">
        <v>0</v>
      </c>
      <c r="O562" s="190">
        <v>0</v>
      </c>
      <c r="P562" s="190">
        <v>0</v>
      </c>
      <c r="Q562" s="190">
        <v>0</v>
      </c>
      <c r="R562" s="190">
        <v>0</v>
      </c>
      <c r="S562" s="190">
        <v>0</v>
      </c>
      <c r="T562" s="190">
        <f>0.2479*0.75</f>
        <v>0.18592500000000001</v>
      </c>
      <c r="U562" s="190">
        <f>0.7521*0.75</f>
        <v>0.56407499999999999</v>
      </c>
      <c r="V562" s="190">
        <f>0.2479*0.25</f>
        <v>6.1975000000000002E-2</v>
      </c>
      <c r="W562" s="190">
        <f>0.7521*0.25</f>
        <v>0.188025</v>
      </c>
      <c r="X562" s="360">
        <v>0</v>
      </c>
      <c r="Y562" s="360">
        <v>0</v>
      </c>
      <c r="Z562" s="360">
        <v>0</v>
      </c>
      <c r="AA562" s="360">
        <v>0</v>
      </c>
      <c r="AB562" s="360">
        <v>0</v>
      </c>
      <c r="AC562" s="360">
        <v>0</v>
      </c>
      <c r="AD562" s="360">
        <v>0</v>
      </c>
      <c r="AE562" s="360">
        <v>0</v>
      </c>
      <c r="AF562" s="190">
        <f t="shared" si="247"/>
        <v>1</v>
      </c>
      <c r="AG562" s="348" t="str">
        <f t="shared" si="246"/>
        <v>ok</v>
      </c>
    </row>
    <row r="563" spans="1:34" s="318" customFormat="1">
      <c r="A563" s="318" t="s">
        <v>1190</v>
      </c>
      <c r="C563" s="318" t="s">
        <v>1051</v>
      </c>
      <c r="F563" s="360">
        <v>1</v>
      </c>
      <c r="G563" s="360"/>
      <c r="H563" s="190">
        <v>0</v>
      </c>
      <c r="I563" s="190">
        <v>0</v>
      </c>
      <c r="J563" s="190">
        <v>0</v>
      </c>
      <c r="K563" s="190">
        <v>0</v>
      </c>
      <c r="L563" s="190">
        <v>0</v>
      </c>
      <c r="M563" s="190">
        <v>0</v>
      </c>
      <c r="N563" s="190">
        <v>0</v>
      </c>
      <c r="O563" s="190">
        <v>0</v>
      </c>
      <c r="P563" s="190">
        <v>0</v>
      </c>
      <c r="Q563" s="190">
        <v>0</v>
      </c>
      <c r="R563" s="190">
        <v>0</v>
      </c>
      <c r="S563" s="190">
        <v>0</v>
      </c>
      <c r="T563" s="190">
        <v>0</v>
      </c>
      <c r="U563" s="190">
        <v>0</v>
      </c>
      <c r="V563" s="190">
        <v>0</v>
      </c>
      <c r="W563" s="190">
        <v>0</v>
      </c>
      <c r="X563" s="360">
        <v>0.55700000000000005</v>
      </c>
      <c r="Y563" s="360">
        <v>0.443</v>
      </c>
      <c r="Z563" s="360">
        <v>0</v>
      </c>
      <c r="AA563" s="360">
        <v>0</v>
      </c>
      <c r="AB563" s="360">
        <v>0</v>
      </c>
      <c r="AC563" s="360">
        <v>0</v>
      </c>
      <c r="AD563" s="360">
        <v>0</v>
      </c>
      <c r="AE563" s="360">
        <v>0</v>
      </c>
      <c r="AF563" s="190">
        <f t="shared" si="247"/>
        <v>1</v>
      </c>
      <c r="AG563" s="348" t="str">
        <f t="shared" si="246"/>
        <v>ok</v>
      </c>
    </row>
    <row r="564" spans="1:34" s="318" customFormat="1">
      <c r="A564" s="318" t="s">
        <v>1191</v>
      </c>
      <c r="C564" s="318" t="s">
        <v>1053</v>
      </c>
      <c r="F564" s="360">
        <v>1</v>
      </c>
      <c r="G564" s="360"/>
      <c r="H564" s="190">
        <v>0</v>
      </c>
      <c r="I564" s="190">
        <v>0</v>
      </c>
      <c r="J564" s="190">
        <v>0</v>
      </c>
      <c r="K564" s="190">
        <v>0</v>
      </c>
      <c r="L564" s="190">
        <v>0</v>
      </c>
      <c r="M564" s="190">
        <v>0</v>
      </c>
      <c r="N564" s="190">
        <v>0</v>
      </c>
      <c r="O564" s="190">
        <v>0</v>
      </c>
      <c r="P564" s="190">
        <v>0</v>
      </c>
      <c r="Q564" s="190">
        <v>0</v>
      </c>
      <c r="R564" s="190">
        <v>0</v>
      </c>
      <c r="S564" s="190">
        <v>0</v>
      </c>
      <c r="T564" s="190">
        <v>0</v>
      </c>
      <c r="U564" s="190">
        <v>0</v>
      </c>
      <c r="V564" s="190">
        <v>0</v>
      </c>
      <c r="W564" s="190">
        <v>0</v>
      </c>
      <c r="X564" s="360">
        <v>0</v>
      </c>
      <c r="Y564" s="360">
        <v>0</v>
      </c>
      <c r="Z564" s="360">
        <v>1</v>
      </c>
      <c r="AA564" s="360">
        <v>0</v>
      </c>
      <c r="AB564" s="360">
        <v>0</v>
      </c>
      <c r="AC564" s="360">
        <v>0</v>
      </c>
      <c r="AD564" s="360">
        <v>0</v>
      </c>
      <c r="AE564" s="360">
        <v>0</v>
      </c>
      <c r="AF564" s="190">
        <f t="shared" si="247"/>
        <v>1</v>
      </c>
      <c r="AG564" s="348" t="str">
        <f t="shared" si="246"/>
        <v>ok</v>
      </c>
    </row>
    <row r="565" spans="1:34" s="318" customFormat="1">
      <c r="A565" s="318" t="s">
        <v>1028</v>
      </c>
      <c r="C565" s="318" t="s">
        <v>1055</v>
      </c>
      <c r="F565" s="360">
        <v>1</v>
      </c>
      <c r="G565" s="360"/>
      <c r="H565" s="190">
        <v>0</v>
      </c>
      <c r="I565" s="190">
        <v>0</v>
      </c>
      <c r="J565" s="190">
        <v>0</v>
      </c>
      <c r="K565" s="190">
        <v>0</v>
      </c>
      <c r="L565" s="190">
        <v>0</v>
      </c>
      <c r="M565" s="190">
        <v>0</v>
      </c>
      <c r="N565" s="190">
        <v>0</v>
      </c>
      <c r="O565" s="190">
        <v>0</v>
      </c>
      <c r="P565" s="190">
        <v>0</v>
      </c>
      <c r="Q565" s="190">
        <v>0</v>
      </c>
      <c r="R565" s="190">
        <v>0</v>
      </c>
      <c r="S565" s="190">
        <v>0</v>
      </c>
      <c r="T565" s="190">
        <v>0</v>
      </c>
      <c r="U565" s="190">
        <v>0</v>
      </c>
      <c r="V565" s="190">
        <v>0</v>
      </c>
      <c r="W565" s="190">
        <v>0</v>
      </c>
      <c r="X565" s="360">
        <v>0</v>
      </c>
      <c r="Y565" s="360">
        <v>0</v>
      </c>
      <c r="Z565" s="360">
        <v>0</v>
      </c>
      <c r="AA565" s="360">
        <v>1</v>
      </c>
      <c r="AB565" s="360">
        <v>0</v>
      </c>
      <c r="AC565" s="360">
        <v>0</v>
      </c>
      <c r="AD565" s="360">
        <v>0</v>
      </c>
      <c r="AE565" s="360">
        <v>0</v>
      </c>
      <c r="AF565" s="190">
        <f t="shared" si="247"/>
        <v>1</v>
      </c>
      <c r="AG565" s="348" t="str">
        <f t="shared" si="246"/>
        <v>ok</v>
      </c>
    </row>
    <row r="566" spans="1:34" s="318" customFormat="1">
      <c r="A566" s="318" t="s">
        <v>1192</v>
      </c>
      <c r="C566" s="318" t="s">
        <v>1058</v>
      </c>
      <c r="F566" s="360">
        <v>1</v>
      </c>
      <c r="G566" s="360"/>
      <c r="H566" s="190">
        <v>0</v>
      </c>
      <c r="I566" s="190">
        <v>0</v>
      </c>
      <c r="J566" s="190">
        <v>0</v>
      </c>
      <c r="K566" s="190">
        <v>0</v>
      </c>
      <c r="L566" s="190">
        <v>0</v>
      </c>
      <c r="M566" s="190">
        <v>0</v>
      </c>
      <c r="N566" s="190">
        <v>0</v>
      </c>
      <c r="O566" s="190">
        <v>0</v>
      </c>
      <c r="P566" s="190">
        <v>0</v>
      </c>
      <c r="Q566" s="190">
        <v>0</v>
      </c>
      <c r="R566" s="190">
        <v>0</v>
      </c>
      <c r="S566" s="190">
        <v>0</v>
      </c>
      <c r="T566" s="190">
        <v>0</v>
      </c>
      <c r="U566" s="190">
        <v>0</v>
      </c>
      <c r="V566" s="190">
        <v>0</v>
      </c>
      <c r="W566" s="190">
        <v>0</v>
      </c>
      <c r="X566" s="360">
        <v>0</v>
      </c>
      <c r="Y566" s="360">
        <v>0</v>
      </c>
      <c r="Z566" s="360">
        <v>0</v>
      </c>
      <c r="AA566" s="360">
        <v>0</v>
      </c>
      <c r="AB566" s="360">
        <v>1</v>
      </c>
      <c r="AC566" s="360">
        <v>0</v>
      </c>
      <c r="AD566" s="360">
        <v>0</v>
      </c>
      <c r="AE566" s="360">
        <v>0</v>
      </c>
      <c r="AF566" s="190">
        <f t="shared" si="247"/>
        <v>1</v>
      </c>
      <c r="AG566" s="348" t="str">
        <f t="shared" si="246"/>
        <v>ok</v>
      </c>
    </row>
    <row r="567" spans="1:34" s="318" customFormat="1">
      <c r="A567" s="318" t="s">
        <v>1193</v>
      </c>
      <c r="C567" s="318" t="s">
        <v>1132</v>
      </c>
      <c r="F567" s="360">
        <v>1</v>
      </c>
      <c r="G567" s="360"/>
      <c r="H567" s="190">
        <v>0</v>
      </c>
      <c r="I567" s="190">
        <v>0</v>
      </c>
      <c r="J567" s="190">
        <v>0</v>
      </c>
      <c r="K567" s="190">
        <v>0</v>
      </c>
      <c r="L567" s="190">
        <v>0</v>
      </c>
      <c r="M567" s="190">
        <v>0</v>
      </c>
      <c r="N567" s="190">
        <v>0</v>
      </c>
      <c r="O567" s="190">
        <v>0</v>
      </c>
      <c r="P567" s="190">
        <v>0</v>
      </c>
      <c r="Q567" s="190">
        <v>0</v>
      </c>
      <c r="R567" s="190">
        <v>0</v>
      </c>
      <c r="S567" s="190">
        <v>0</v>
      </c>
      <c r="T567" s="190">
        <v>0</v>
      </c>
      <c r="U567" s="190">
        <v>0</v>
      </c>
      <c r="V567" s="190">
        <v>0</v>
      </c>
      <c r="W567" s="190">
        <v>0</v>
      </c>
      <c r="X567" s="360">
        <v>0</v>
      </c>
      <c r="Y567" s="360">
        <v>0</v>
      </c>
      <c r="Z567" s="360">
        <v>0</v>
      </c>
      <c r="AA567" s="360">
        <v>0</v>
      </c>
      <c r="AB567" s="360">
        <v>0</v>
      </c>
      <c r="AC567" s="360">
        <v>0</v>
      </c>
      <c r="AD567" s="360">
        <v>1</v>
      </c>
      <c r="AE567" s="360">
        <v>0</v>
      </c>
      <c r="AF567" s="190">
        <f t="shared" si="247"/>
        <v>1</v>
      </c>
      <c r="AG567" s="348" t="str">
        <f t="shared" si="246"/>
        <v>ok</v>
      </c>
    </row>
    <row r="568" spans="1:34" s="318" customFormat="1">
      <c r="A568" s="318" t="s">
        <v>1194</v>
      </c>
      <c r="C568" s="318" t="s">
        <v>1142</v>
      </c>
      <c r="F568" s="360">
        <v>1</v>
      </c>
      <c r="G568" s="360"/>
      <c r="H568" s="190">
        <v>0</v>
      </c>
      <c r="I568" s="190">
        <v>0</v>
      </c>
      <c r="J568" s="190">
        <v>0</v>
      </c>
      <c r="K568" s="190">
        <v>0</v>
      </c>
      <c r="L568" s="190">
        <v>0</v>
      </c>
      <c r="M568" s="190">
        <v>0</v>
      </c>
      <c r="N568" s="190">
        <v>0</v>
      </c>
      <c r="O568" s="190">
        <v>0</v>
      </c>
      <c r="P568" s="190">
        <v>0</v>
      </c>
      <c r="Q568" s="190">
        <v>0</v>
      </c>
      <c r="R568" s="190">
        <v>0</v>
      </c>
      <c r="S568" s="190">
        <v>0</v>
      </c>
      <c r="T568" s="190">
        <v>0</v>
      </c>
      <c r="U568" s="190">
        <v>0</v>
      </c>
      <c r="V568" s="190">
        <v>0</v>
      </c>
      <c r="W568" s="190">
        <v>0</v>
      </c>
      <c r="X568" s="360">
        <v>0</v>
      </c>
      <c r="Y568" s="360">
        <v>0</v>
      </c>
      <c r="Z568" s="360">
        <v>0</v>
      </c>
      <c r="AA568" s="360">
        <v>0</v>
      </c>
      <c r="AB568" s="360">
        <v>0</v>
      </c>
      <c r="AC568" s="360">
        <v>0</v>
      </c>
      <c r="AD568" s="360">
        <v>1</v>
      </c>
      <c r="AE568" s="360">
        <v>0</v>
      </c>
      <c r="AF568" s="190">
        <f t="shared" si="247"/>
        <v>1</v>
      </c>
      <c r="AG568" s="348" t="str">
        <f t="shared" si="246"/>
        <v>ok</v>
      </c>
    </row>
    <row r="569" spans="1:34" s="318" customFormat="1">
      <c r="A569" s="318" t="s">
        <v>1236</v>
      </c>
      <c r="C569" s="318" t="s">
        <v>1267</v>
      </c>
      <c r="F569" s="360">
        <v>1</v>
      </c>
      <c r="G569" s="360"/>
      <c r="H569" s="190">
        <v>0</v>
      </c>
      <c r="I569" s="190">
        <v>0</v>
      </c>
      <c r="J569" s="190">
        <v>0</v>
      </c>
      <c r="K569" s="190">
        <v>0</v>
      </c>
      <c r="L569" s="190">
        <v>0</v>
      </c>
      <c r="M569" s="190">
        <v>0</v>
      </c>
      <c r="N569" s="190">
        <v>0.34354647720544701</v>
      </c>
      <c r="O569" s="190">
        <v>0.32385361968615639</v>
      </c>
      <c r="P569" s="190">
        <v>0.3325999031083966</v>
      </c>
      <c r="Q569" s="190">
        <v>0</v>
      </c>
      <c r="R569" s="190">
        <v>0</v>
      </c>
      <c r="S569" s="190">
        <v>0</v>
      </c>
      <c r="T569" s="190">
        <v>0</v>
      </c>
      <c r="U569" s="190">
        <v>0</v>
      </c>
      <c r="V569" s="190">
        <v>0</v>
      </c>
      <c r="W569" s="190">
        <v>0</v>
      </c>
      <c r="X569" s="360">
        <v>0</v>
      </c>
      <c r="Y569" s="360">
        <v>0</v>
      </c>
      <c r="Z569" s="360">
        <v>0</v>
      </c>
      <c r="AA569" s="360">
        <v>0</v>
      </c>
      <c r="AB569" s="360">
        <v>0</v>
      </c>
      <c r="AC569" s="360">
        <v>0</v>
      </c>
      <c r="AD569" s="360">
        <v>0</v>
      </c>
      <c r="AE569" s="360">
        <v>0</v>
      </c>
      <c r="AF569" s="190">
        <f t="shared" ref="AF569:AF582" si="248">SUM(H569:AE569)</f>
        <v>1</v>
      </c>
      <c r="AG569" s="348" t="str">
        <f t="shared" si="246"/>
        <v>ok</v>
      </c>
    </row>
    <row r="570" spans="1:34" s="318" customFormat="1">
      <c r="A570" s="318" t="s">
        <v>41</v>
      </c>
      <c r="C570" s="318" t="s">
        <v>42</v>
      </c>
      <c r="F570" s="360">
        <v>1</v>
      </c>
      <c r="G570" s="360"/>
      <c r="H570" s="190">
        <v>0</v>
      </c>
      <c r="I570" s="190">
        <v>0</v>
      </c>
      <c r="J570" s="190">
        <v>0</v>
      </c>
      <c r="K570" s="190">
        <v>0</v>
      </c>
      <c r="L570" s="190">
        <v>0</v>
      </c>
      <c r="M570" s="190">
        <v>0</v>
      </c>
      <c r="N570" s="190">
        <v>0</v>
      </c>
      <c r="O570" s="190">
        <v>0</v>
      </c>
      <c r="P570" s="190">
        <v>0</v>
      </c>
      <c r="Q570" s="190">
        <v>0</v>
      </c>
      <c r="R570" s="190">
        <v>0</v>
      </c>
      <c r="S570" s="190">
        <v>0</v>
      </c>
      <c r="T570" s="190">
        <v>0</v>
      </c>
      <c r="U570" s="190">
        <v>0</v>
      </c>
      <c r="V570" s="190">
        <v>0</v>
      </c>
      <c r="W570" s="190">
        <v>0</v>
      </c>
      <c r="X570" s="360">
        <v>0</v>
      </c>
      <c r="Y570" s="360">
        <v>0</v>
      </c>
      <c r="Z570" s="360">
        <v>0</v>
      </c>
      <c r="AA570" s="360">
        <v>0</v>
      </c>
      <c r="AB570" s="360">
        <v>0</v>
      </c>
      <c r="AC570" s="360">
        <v>0</v>
      </c>
      <c r="AD570" s="360">
        <v>0</v>
      </c>
      <c r="AE570" s="360">
        <v>1</v>
      </c>
      <c r="AF570" s="190">
        <f t="shared" si="248"/>
        <v>1</v>
      </c>
      <c r="AG570" s="348" t="str">
        <f t="shared" si="246"/>
        <v>ok</v>
      </c>
    </row>
    <row r="571" spans="1:34" s="318" customFormat="1">
      <c r="A571" s="318" t="s">
        <v>672</v>
      </c>
      <c r="C571" s="318" t="s">
        <v>671</v>
      </c>
      <c r="F571" s="360">
        <v>1</v>
      </c>
      <c r="G571" s="360"/>
      <c r="H571" s="190">
        <v>0.34354647720544701</v>
      </c>
      <c r="I571" s="190">
        <v>0.32385361968615639</v>
      </c>
      <c r="J571" s="190">
        <v>0.3325999031083966</v>
      </c>
      <c r="K571" s="190">
        <v>0</v>
      </c>
      <c r="L571" s="190">
        <v>0</v>
      </c>
      <c r="M571" s="190">
        <v>0</v>
      </c>
      <c r="N571" s="190">
        <v>0</v>
      </c>
      <c r="O571" s="190">
        <v>0</v>
      </c>
      <c r="P571" s="190">
        <v>0</v>
      </c>
      <c r="Q571" s="190">
        <v>0</v>
      </c>
      <c r="R571" s="190">
        <v>0</v>
      </c>
      <c r="S571" s="190">
        <v>0</v>
      </c>
      <c r="T571" s="190">
        <v>0</v>
      </c>
      <c r="U571" s="190">
        <v>0</v>
      </c>
      <c r="V571" s="190">
        <v>0</v>
      </c>
      <c r="W571" s="190">
        <v>0</v>
      </c>
      <c r="X571" s="360">
        <v>0</v>
      </c>
      <c r="Y571" s="360">
        <v>0</v>
      </c>
      <c r="Z571" s="360">
        <v>0</v>
      </c>
      <c r="AA571" s="360">
        <v>0</v>
      </c>
      <c r="AB571" s="360">
        <v>0</v>
      </c>
      <c r="AC571" s="360">
        <v>0</v>
      </c>
      <c r="AD571" s="360">
        <v>0</v>
      </c>
      <c r="AE571" s="360">
        <v>0</v>
      </c>
      <c r="AF571" s="190">
        <f t="shared" si="248"/>
        <v>1</v>
      </c>
      <c r="AG571" s="348" t="str">
        <f t="shared" si="246"/>
        <v>ok</v>
      </c>
    </row>
    <row r="572" spans="1:34" s="318" customFormat="1">
      <c r="A572" s="318" t="s">
        <v>677</v>
      </c>
      <c r="C572" s="318" t="s">
        <v>678</v>
      </c>
      <c r="F572" s="360">
        <v>1</v>
      </c>
      <c r="G572" s="360"/>
      <c r="H572" s="190">
        <v>0</v>
      </c>
      <c r="I572" s="190">
        <v>0</v>
      </c>
      <c r="J572" s="190">
        <v>0</v>
      </c>
      <c r="K572" s="190">
        <v>1</v>
      </c>
      <c r="L572" s="190">
        <v>0</v>
      </c>
      <c r="M572" s="190">
        <v>0</v>
      </c>
      <c r="N572" s="190">
        <v>0</v>
      </c>
      <c r="O572" s="190">
        <v>0</v>
      </c>
      <c r="P572" s="190">
        <v>0</v>
      </c>
      <c r="Q572" s="190">
        <v>0</v>
      </c>
      <c r="R572" s="190">
        <v>0</v>
      </c>
      <c r="S572" s="190">
        <v>0</v>
      </c>
      <c r="T572" s="190">
        <v>0</v>
      </c>
      <c r="U572" s="190">
        <v>0</v>
      </c>
      <c r="V572" s="190">
        <v>0</v>
      </c>
      <c r="W572" s="190">
        <v>0</v>
      </c>
      <c r="X572" s="360">
        <v>0</v>
      </c>
      <c r="Y572" s="360">
        <v>0</v>
      </c>
      <c r="Z572" s="360">
        <v>0</v>
      </c>
      <c r="AA572" s="360">
        <v>0</v>
      </c>
      <c r="AB572" s="360">
        <v>0</v>
      </c>
      <c r="AC572" s="360">
        <v>0</v>
      </c>
      <c r="AD572" s="360">
        <v>0</v>
      </c>
      <c r="AE572" s="360">
        <v>0</v>
      </c>
      <c r="AF572" s="190">
        <f t="shared" si="248"/>
        <v>1</v>
      </c>
      <c r="AG572" s="348" t="str">
        <f t="shared" si="246"/>
        <v>ok</v>
      </c>
    </row>
    <row r="573" spans="1:34" s="318" customFormat="1">
      <c r="A573" s="318" t="s">
        <v>673</v>
      </c>
      <c r="C573" s="318" t="s">
        <v>674</v>
      </c>
      <c r="F573" s="360">
        <v>1</v>
      </c>
      <c r="G573" s="360"/>
      <c r="H573" s="190">
        <v>0</v>
      </c>
      <c r="I573" s="190">
        <v>0</v>
      </c>
      <c r="J573" s="190">
        <v>0</v>
      </c>
      <c r="K573" s="190">
        <v>1</v>
      </c>
      <c r="L573" s="190">
        <v>0</v>
      </c>
      <c r="M573" s="190">
        <v>0</v>
      </c>
      <c r="N573" s="190">
        <v>0</v>
      </c>
      <c r="O573" s="190">
        <v>0</v>
      </c>
      <c r="P573" s="190">
        <v>0</v>
      </c>
      <c r="Q573" s="190">
        <v>0</v>
      </c>
      <c r="R573" s="190">
        <v>0</v>
      </c>
      <c r="S573" s="190">
        <v>0</v>
      </c>
      <c r="T573" s="190">
        <v>0</v>
      </c>
      <c r="U573" s="190">
        <v>0</v>
      </c>
      <c r="V573" s="190">
        <v>0</v>
      </c>
      <c r="W573" s="190">
        <v>0</v>
      </c>
      <c r="X573" s="360">
        <v>0</v>
      </c>
      <c r="Y573" s="360">
        <v>0</v>
      </c>
      <c r="Z573" s="360">
        <v>0</v>
      </c>
      <c r="AA573" s="360">
        <v>0</v>
      </c>
      <c r="AB573" s="360">
        <v>0</v>
      </c>
      <c r="AC573" s="360">
        <v>0</v>
      </c>
      <c r="AD573" s="360">
        <v>0</v>
      </c>
      <c r="AE573" s="360">
        <v>0</v>
      </c>
      <c r="AF573" s="190">
        <f t="shared" si="248"/>
        <v>1</v>
      </c>
      <c r="AG573" s="348" t="str">
        <f t="shared" si="246"/>
        <v>ok</v>
      </c>
    </row>
    <row r="574" spans="1:34" s="318" customFormat="1">
      <c r="A574" s="318" t="s">
        <v>675</v>
      </c>
      <c r="C574" s="318" t="s">
        <v>676</v>
      </c>
      <c r="F574" s="340">
        <f>F325+F326+F328+F329+F330</f>
        <v>18662562.759999998</v>
      </c>
      <c r="G574" s="361"/>
      <c r="H574" s="340">
        <f>H325+H326+H328+H329+H330</f>
        <v>5596161.835748964</v>
      </c>
      <c r="I574" s="340">
        <f t="shared" ref="I574:AE574" si="249">I325+I326+I328+I329+I330</f>
        <v>5275377.2403639499</v>
      </c>
      <c r="J574" s="340">
        <f t="shared" si="249"/>
        <v>5417848.843887086</v>
      </c>
      <c r="K574" s="340">
        <f t="shared" si="249"/>
        <v>2373174.84</v>
      </c>
      <c r="L574" s="362">
        <f t="shared" si="249"/>
        <v>0</v>
      </c>
      <c r="M574" s="362">
        <f t="shared" si="249"/>
        <v>0</v>
      </c>
      <c r="N574" s="362">
        <f t="shared" si="249"/>
        <v>0</v>
      </c>
      <c r="O574" s="362">
        <f t="shared" si="249"/>
        <v>0</v>
      </c>
      <c r="P574" s="362">
        <f t="shared" si="249"/>
        <v>0</v>
      </c>
      <c r="Q574" s="362">
        <f t="shared" si="249"/>
        <v>0</v>
      </c>
      <c r="R574" s="362">
        <f t="shared" si="249"/>
        <v>0</v>
      </c>
      <c r="S574" s="362">
        <f t="shared" si="249"/>
        <v>0</v>
      </c>
      <c r="T574" s="362">
        <f t="shared" si="249"/>
        <v>0</v>
      </c>
      <c r="U574" s="362">
        <f t="shared" si="249"/>
        <v>0</v>
      </c>
      <c r="V574" s="362">
        <f t="shared" si="249"/>
        <v>0</v>
      </c>
      <c r="W574" s="362">
        <f t="shared" si="249"/>
        <v>0</v>
      </c>
      <c r="X574" s="362">
        <f t="shared" si="249"/>
        <v>0</v>
      </c>
      <c r="Y574" s="362">
        <f t="shared" si="249"/>
        <v>0</v>
      </c>
      <c r="Z574" s="362">
        <f t="shared" si="249"/>
        <v>0</v>
      </c>
      <c r="AA574" s="362">
        <f t="shared" si="249"/>
        <v>0</v>
      </c>
      <c r="AB574" s="362">
        <f t="shared" si="249"/>
        <v>0</v>
      </c>
      <c r="AC574" s="362">
        <f t="shared" si="249"/>
        <v>0</v>
      </c>
      <c r="AD574" s="362">
        <f t="shared" si="249"/>
        <v>0</v>
      </c>
      <c r="AE574" s="362">
        <f t="shared" si="249"/>
        <v>0</v>
      </c>
      <c r="AF574" s="362">
        <f t="shared" si="248"/>
        <v>18662562.760000002</v>
      </c>
      <c r="AG574" s="348" t="str">
        <f t="shared" si="246"/>
        <v>ok</v>
      </c>
    </row>
    <row r="575" spans="1:34" s="318" customFormat="1">
      <c r="A575" s="318" t="s">
        <v>679</v>
      </c>
      <c r="C575" s="318" t="s">
        <v>679</v>
      </c>
      <c r="F575" s="360">
        <v>1</v>
      </c>
      <c r="G575" s="360"/>
      <c r="H575" s="190">
        <f>H571</f>
        <v>0.34354647720544701</v>
      </c>
      <c r="I575" s="190">
        <f>I571</f>
        <v>0.32385361968615639</v>
      </c>
      <c r="J575" s="190">
        <f>J571</f>
        <v>0.3325999031083966</v>
      </c>
      <c r="K575" s="190">
        <v>0</v>
      </c>
      <c r="L575" s="190">
        <v>0</v>
      </c>
      <c r="M575" s="190">
        <v>0</v>
      </c>
      <c r="N575" s="190">
        <v>0</v>
      </c>
      <c r="O575" s="190">
        <v>0</v>
      </c>
      <c r="P575" s="190">
        <v>0</v>
      </c>
      <c r="Q575" s="190">
        <v>0</v>
      </c>
      <c r="R575" s="190">
        <v>0</v>
      </c>
      <c r="S575" s="190">
        <v>0</v>
      </c>
      <c r="T575" s="190">
        <v>0</v>
      </c>
      <c r="U575" s="190">
        <v>0</v>
      </c>
      <c r="V575" s="190">
        <v>0</v>
      </c>
      <c r="W575" s="190">
        <v>0</v>
      </c>
      <c r="X575" s="360">
        <v>0</v>
      </c>
      <c r="Y575" s="360">
        <v>0</v>
      </c>
      <c r="Z575" s="360">
        <v>0</v>
      </c>
      <c r="AA575" s="360">
        <v>0</v>
      </c>
      <c r="AB575" s="360">
        <v>0</v>
      </c>
      <c r="AC575" s="360">
        <v>0</v>
      </c>
      <c r="AD575" s="360">
        <v>0</v>
      </c>
      <c r="AE575" s="360">
        <v>0</v>
      </c>
      <c r="AF575" s="190">
        <f t="shared" si="248"/>
        <v>1</v>
      </c>
      <c r="AG575" s="348" t="str">
        <f t="shared" si="246"/>
        <v>ok</v>
      </c>
    </row>
    <row r="576" spans="1:34" s="318" customFormat="1">
      <c r="A576" s="318" t="s">
        <v>680</v>
      </c>
      <c r="C576" s="318" t="s">
        <v>681</v>
      </c>
      <c r="F576" s="340">
        <f>F336+F337+F338+F339</f>
        <v>9366509.5300000012</v>
      </c>
      <c r="G576" s="361"/>
      <c r="H576" s="340">
        <f>H336+H337+H338+H339</f>
        <v>106597.35646980461</v>
      </c>
      <c r="I576" s="340">
        <f t="shared" ref="I576:AE576" si="250">I336+I337+I338+I339</f>
        <v>100486.9560082172</v>
      </c>
      <c r="J576" s="340">
        <f t="shared" si="250"/>
        <v>103200.79752197818</v>
      </c>
      <c r="K576" s="340">
        <f t="shared" si="250"/>
        <v>9056224.4199999999</v>
      </c>
      <c r="L576" s="362">
        <f t="shared" si="250"/>
        <v>0</v>
      </c>
      <c r="M576" s="362">
        <f t="shared" si="250"/>
        <v>0</v>
      </c>
      <c r="N576" s="362">
        <f t="shared" si="250"/>
        <v>0</v>
      </c>
      <c r="O576" s="362">
        <f t="shared" si="250"/>
        <v>0</v>
      </c>
      <c r="P576" s="362">
        <f t="shared" si="250"/>
        <v>0</v>
      </c>
      <c r="Q576" s="362">
        <f t="shared" si="250"/>
        <v>0</v>
      </c>
      <c r="R576" s="362">
        <f t="shared" si="250"/>
        <v>0</v>
      </c>
      <c r="S576" s="362">
        <f t="shared" si="250"/>
        <v>0</v>
      </c>
      <c r="T576" s="362">
        <f t="shared" si="250"/>
        <v>0</v>
      </c>
      <c r="U576" s="362">
        <f t="shared" si="250"/>
        <v>0</v>
      </c>
      <c r="V576" s="362">
        <f t="shared" si="250"/>
        <v>0</v>
      </c>
      <c r="W576" s="362">
        <f t="shared" si="250"/>
        <v>0</v>
      </c>
      <c r="X576" s="362">
        <f t="shared" si="250"/>
        <v>0</v>
      </c>
      <c r="Y576" s="362">
        <f t="shared" si="250"/>
        <v>0</v>
      </c>
      <c r="Z576" s="362">
        <f t="shared" si="250"/>
        <v>0</v>
      </c>
      <c r="AA576" s="362">
        <f t="shared" si="250"/>
        <v>0</v>
      </c>
      <c r="AB576" s="362">
        <f t="shared" si="250"/>
        <v>0</v>
      </c>
      <c r="AC576" s="362">
        <f t="shared" si="250"/>
        <v>0</v>
      </c>
      <c r="AD576" s="362">
        <f t="shared" si="250"/>
        <v>0</v>
      </c>
      <c r="AE576" s="362">
        <f t="shared" si="250"/>
        <v>0</v>
      </c>
      <c r="AF576" s="362">
        <f t="shared" si="248"/>
        <v>9366509.5299999993</v>
      </c>
      <c r="AG576" s="348" t="str">
        <f t="shared" si="246"/>
        <v>ok</v>
      </c>
    </row>
    <row r="577" spans="1:33" s="318" customFormat="1">
      <c r="A577" s="318" t="s">
        <v>682</v>
      </c>
      <c r="C577" s="318" t="s">
        <v>683</v>
      </c>
      <c r="F577" s="340">
        <f>F347+F348+F349+F350+F351</f>
        <v>213215.48</v>
      </c>
      <c r="G577" s="361"/>
      <c r="H577" s="340">
        <f t="shared" ref="H577:M577" si="251">H347+H348+H349+H350+H351</f>
        <v>73249.427039668459</v>
      </c>
      <c r="I577" s="340">
        <f t="shared" si="251"/>
        <v>69050.604971121284</v>
      </c>
      <c r="J577" s="340">
        <f t="shared" si="251"/>
        <v>70915.447989210268</v>
      </c>
      <c r="K577" s="340">
        <f t="shared" si="251"/>
        <v>0</v>
      </c>
      <c r="L577" s="362">
        <f t="shared" si="251"/>
        <v>0</v>
      </c>
      <c r="M577" s="362">
        <f t="shared" si="251"/>
        <v>0</v>
      </c>
      <c r="N577" s="362">
        <f>N347+N348+N349+N350+N351</f>
        <v>0</v>
      </c>
      <c r="O577" s="362">
        <f>O347+O348+O349+O350+O351</f>
        <v>0</v>
      </c>
      <c r="P577" s="362">
        <f>P347+P348+P349+P350+P351</f>
        <v>0</v>
      </c>
      <c r="Q577" s="362">
        <f t="shared" ref="Q577:AB577" si="252">Q347+Q348+Q349+Q350+Q351</f>
        <v>0</v>
      </c>
      <c r="R577" s="362">
        <f t="shared" si="252"/>
        <v>0</v>
      </c>
      <c r="S577" s="362">
        <f t="shared" si="252"/>
        <v>0</v>
      </c>
      <c r="T577" s="362">
        <f t="shared" si="252"/>
        <v>0</v>
      </c>
      <c r="U577" s="362">
        <f t="shared" si="252"/>
        <v>0</v>
      </c>
      <c r="V577" s="362">
        <f t="shared" si="252"/>
        <v>0</v>
      </c>
      <c r="W577" s="362">
        <f t="shared" si="252"/>
        <v>0</v>
      </c>
      <c r="X577" s="362">
        <f t="shared" si="252"/>
        <v>0</v>
      </c>
      <c r="Y577" s="362">
        <f t="shared" si="252"/>
        <v>0</v>
      </c>
      <c r="Z577" s="362">
        <f t="shared" si="252"/>
        <v>0</v>
      </c>
      <c r="AA577" s="362">
        <f t="shared" si="252"/>
        <v>0</v>
      </c>
      <c r="AB577" s="362">
        <f t="shared" si="252"/>
        <v>0</v>
      </c>
      <c r="AC577" s="362">
        <f>AC347+AC348+AC349+AC350+AC351</f>
        <v>0</v>
      </c>
      <c r="AD577" s="362">
        <f>AD347+AD348+AD349+AD350+AD351</f>
        <v>0</v>
      </c>
      <c r="AE577" s="362">
        <f>AE347+AE348+AE349+AE350+AE351</f>
        <v>0</v>
      </c>
      <c r="AF577" s="362">
        <f t="shared" si="248"/>
        <v>213215.47999999998</v>
      </c>
      <c r="AG577" s="348" t="str">
        <f t="shared" si="246"/>
        <v>ok</v>
      </c>
    </row>
    <row r="578" spans="1:33" s="318" customFormat="1">
      <c r="A578" s="318" t="s">
        <v>689</v>
      </c>
      <c r="C578" s="318" t="s">
        <v>690</v>
      </c>
      <c r="F578" s="340">
        <f>F357+F358+F359+F360</f>
        <v>184132.94</v>
      </c>
      <c r="G578" s="361"/>
      <c r="H578" s="340">
        <f>H357+H358+H359+H360</f>
        <v>21154.118251924214</v>
      </c>
      <c r="I578" s="340">
        <f t="shared" ref="I578:AE578" si="253">I357+I358+I359+I360</f>
        <v>19941.516568245057</v>
      </c>
      <c r="J578" s="340">
        <f t="shared" si="253"/>
        <v>20480.075179830728</v>
      </c>
      <c r="K578" s="340">
        <f t="shared" si="253"/>
        <v>122557.23</v>
      </c>
      <c r="L578" s="362">
        <f t="shared" si="253"/>
        <v>0</v>
      </c>
      <c r="M578" s="362">
        <f t="shared" si="253"/>
        <v>0</v>
      </c>
      <c r="N578" s="362">
        <f t="shared" si="253"/>
        <v>0</v>
      </c>
      <c r="O578" s="362">
        <f t="shared" si="253"/>
        <v>0</v>
      </c>
      <c r="P578" s="362">
        <f t="shared" si="253"/>
        <v>0</v>
      </c>
      <c r="Q578" s="362">
        <f t="shared" si="253"/>
        <v>0</v>
      </c>
      <c r="R578" s="362">
        <f t="shared" si="253"/>
        <v>0</v>
      </c>
      <c r="S578" s="362">
        <f t="shared" si="253"/>
        <v>0</v>
      </c>
      <c r="T578" s="362">
        <f t="shared" si="253"/>
        <v>0</v>
      </c>
      <c r="U578" s="362">
        <f t="shared" si="253"/>
        <v>0</v>
      </c>
      <c r="V578" s="362">
        <f t="shared" si="253"/>
        <v>0</v>
      </c>
      <c r="W578" s="362">
        <f t="shared" si="253"/>
        <v>0</v>
      </c>
      <c r="X578" s="362">
        <f t="shared" si="253"/>
        <v>0</v>
      </c>
      <c r="Y578" s="362">
        <f t="shared" si="253"/>
        <v>0</v>
      </c>
      <c r="Z578" s="362">
        <f t="shared" si="253"/>
        <v>0</v>
      </c>
      <c r="AA578" s="362">
        <f t="shared" si="253"/>
        <v>0</v>
      </c>
      <c r="AB578" s="362">
        <f t="shared" si="253"/>
        <v>0</v>
      </c>
      <c r="AC578" s="362">
        <f t="shared" si="253"/>
        <v>0</v>
      </c>
      <c r="AD578" s="362">
        <f t="shared" si="253"/>
        <v>0</v>
      </c>
      <c r="AE578" s="362">
        <f t="shared" si="253"/>
        <v>0</v>
      </c>
      <c r="AF578" s="362">
        <f t="shared" si="248"/>
        <v>184132.94</v>
      </c>
      <c r="AG578" s="348" t="str">
        <f t="shared" si="246"/>
        <v>ok</v>
      </c>
    </row>
    <row r="579" spans="1:33" s="318" customFormat="1">
      <c r="A579" s="318" t="s">
        <v>692</v>
      </c>
      <c r="C579" s="318" t="s">
        <v>691</v>
      </c>
      <c r="F579" s="340">
        <f>F416+F417+F418+F419+F420+F421+F422+F423+F424+F425</f>
        <v>6205471.8200000003</v>
      </c>
      <c r="G579" s="361"/>
      <c r="H579" s="340">
        <f>H416+H417+H418+H419+H420+H421+H422+H423+H424+H425</f>
        <v>0</v>
      </c>
      <c r="I579" s="340">
        <f t="shared" ref="I579:AE579" si="254">I416+I417+I418+I419+I420+I421+I422+I423+I424+I425</f>
        <v>0</v>
      </c>
      <c r="J579" s="340">
        <f t="shared" si="254"/>
        <v>0</v>
      </c>
      <c r="K579" s="340">
        <f t="shared" si="254"/>
        <v>0</v>
      </c>
      <c r="L579" s="362">
        <f t="shared" si="254"/>
        <v>0</v>
      </c>
      <c r="M579" s="362">
        <f t="shared" si="254"/>
        <v>0</v>
      </c>
      <c r="N579" s="362">
        <f t="shared" si="254"/>
        <v>0</v>
      </c>
      <c r="O579" s="362">
        <f t="shared" si="254"/>
        <v>0</v>
      </c>
      <c r="P579" s="362">
        <f t="shared" si="254"/>
        <v>0</v>
      </c>
      <c r="Q579" s="362">
        <f t="shared" si="254"/>
        <v>0</v>
      </c>
      <c r="R579" s="362">
        <f t="shared" si="254"/>
        <v>855396.55456192081</v>
      </c>
      <c r="S579" s="362">
        <f t="shared" si="254"/>
        <v>0</v>
      </c>
      <c r="T579" s="362">
        <f t="shared" si="254"/>
        <v>865102.43869907013</v>
      </c>
      <c r="U579" s="362">
        <f t="shared" si="254"/>
        <v>1163901.4756628103</v>
      </c>
      <c r="V579" s="362">
        <f t="shared" si="254"/>
        <v>288367.47956635669</v>
      </c>
      <c r="W579" s="362">
        <f t="shared" si="254"/>
        <v>387967.15855427011</v>
      </c>
      <c r="X579" s="362">
        <f t="shared" si="254"/>
        <v>81307.859362521398</v>
      </c>
      <c r="Y579" s="362">
        <f t="shared" si="254"/>
        <v>64666.753496583435</v>
      </c>
      <c r="Z579" s="362">
        <f t="shared" si="254"/>
        <v>29608.347954894936</v>
      </c>
      <c r="AA579" s="362">
        <f t="shared" si="254"/>
        <v>2381397.353653152</v>
      </c>
      <c r="AB579" s="362">
        <f t="shared" si="254"/>
        <v>87756.398488420426</v>
      </c>
      <c r="AC579" s="362">
        <f t="shared" si="254"/>
        <v>0</v>
      </c>
      <c r="AD579" s="362">
        <f t="shared" si="254"/>
        <v>0</v>
      </c>
      <c r="AE579" s="362">
        <f t="shared" si="254"/>
        <v>0</v>
      </c>
      <c r="AF579" s="362">
        <f t="shared" si="248"/>
        <v>6205471.8199999994</v>
      </c>
      <c r="AG579" s="348" t="str">
        <f t="shared" si="246"/>
        <v>ok</v>
      </c>
    </row>
    <row r="580" spans="1:33" s="318" customFormat="1">
      <c r="A580" s="318" t="s">
        <v>693</v>
      </c>
      <c r="C580" s="318" t="s">
        <v>694</v>
      </c>
      <c r="F580" s="340">
        <f>F437+F438+F439+F440+F441+F442+F443+F444</f>
        <v>2752384.1999999997</v>
      </c>
      <c r="G580" s="361"/>
      <c r="H580" s="340">
        <f>H437+H438+H439+H440+H441+H442+H443+H444</f>
        <v>0</v>
      </c>
      <c r="I580" s="340">
        <f t="shared" ref="I580:AE580" si="255">I437+I438+I439+I440+I441+I442+I443+I444</f>
        <v>0</v>
      </c>
      <c r="J580" s="340">
        <f t="shared" si="255"/>
        <v>0</v>
      </c>
      <c r="K580" s="340">
        <f t="shared" si="255"/>
        <v>0</v>
      </c>
      <c r="L580" s="362">
        <f t="shared" si="255"/>
        <v>0</v>
      </c>
      <c r="M580" s="362">
        <f t="shared" si="255"/>
        <v>0</v>
      </c>
      <c r="N580" s="362">
        <f t="shared" si="255"/>
        <v>0</v>
      </c>
      <c r="O580" s="362">
        <f t="shared" si="255"/>
        <v>0</v>
      </c>
      <c r="P580" s="362">
        <f t="shared" si="255"/>
        <v>0</v>
      </c>
      <c r="Q580" s="362">
        <f t="shared" si="255"/>
        <v>0</v>
      </c>
      <c r="R580" s="362">
        <f t="shared" si="255"/>
        <v>204896.663278522</v>
      </c>
      <c r="S580" s="362">
        <f t="shared" si="255"/>
        <v>0</v>
      </c>
      <c r="T580" s="362">
        <f t="shared" si="255"/>
        <v>761662.4912043527</v>
      </c>
      <c r="U580" s="362">
        <f t="shared" si="255"/>
        <v>1054334.2284863342</v>
      </c>
      <c r="V580" s="362">
        <f t="shared" si="255"/>
        <v>253887.49706811758</v>
      </c>
      <c r="W580" s="362">
        <f t="shared" si="255"/>
        <v>351444.74282877811</v>
      </c>
      <c r="X580" s="362">
        <f t="shared" si="255"/>
        <v>61714.142888623493</v>
      </c>
      <c r="Y580" s="362">
        <f t="shared" si="255"/>
        <v>49083.241112495882</v>
      </c>
      <c r="Z580" s="362">
        <f t="shared" si="255"/>
        <v>1511.278994037368</v>
      </c>
      <c r="AA580" s="362">
        <f t="shared" si="255"/>
        <v>2036.5033039387699</v>
      </c>
      <c r="AB580" s="362">
        <f t="shared" si="255"/>
        <v>11813.410834799737</v>
      </c>
      <c r="AC580" s="362">
        <f t="shared" si="255"/>
        <v>0</v>
      </c>
      <c r="AD580" s="362">
        <f t="shared" si="255"/>
        <v>0</v>
      </c>
      <c r="AE580" s="362">
        <f t="shared" si="255"/>
        <v>0</v>
      </c>
      <c r="AF580" s="362">
        <f t="shared" si="248"/>
        <v>2752384.1999999988</v>
      </c>
      <c r="AG580" s="348" t="str">
        <f t="shared" si="246"/>
        <v>ok</v>
      </c>
    </row>
    <row r="581" spans="1:33" s="318" customFormat="1">
      <c r="A581" s="318" t="s">
        <v>1129</v>
      </c>
      <c r="C581" s="318" t="s">
        <v>695</v>
      </c>
      <c r="F581" s="360">
        <v>1</v>
      </c>
      <c r="G581" s="360"/>
      <c r="H581" s="190">
        <v>0</v>
      </c>
      <c r="I581" s="190">
        <v>0</v>
      </c>
      <c r="J581" s="190">
        <v>0</v>
      </c>
      <c r="K581" s="190">
        <v>0</v>
      </c>
      <c r="L581" s="190">
        <v>0</v>
      </c>
      <c r="M581" s="190">
        <v>0</v>
      </c>
      <c r="N581" s="190">
        <v>0</v>
      </c>
      <c r="O581" s="190">
        <v>0</v>
      </c>
      <c r="P581" s="190">
        <v>0</v>
      </c>
      <c r="Q581" s="190">
        <v>0</v>
      </c>
      <c r="R581" s="190">
        <v>0</v>
      </c>
      <c r="S581" s="190">
        <v>0</v>
      </c>
      <c r="T581" s="190">
        <v>0</v>
      </c>
      <c r="U581" s="190">
        <v>0</v>
      </c>
      <c r="V581" s="190">
        <v>0</v>
      </c>
      <c r="W581" s="190">
        <v>0</v>
      </c>
      <c r="X581" s="360">
        <v>0</v>
      </c>
      <c r="Y581" s="360">
        <v>0</v>
      </c>
      <c r="Z581" s="360">
        <v>0</v>
      </c>
      <c r="AA581" s="360">
        <v>0</v>
      </c>
      <c r="AB581" s="360">
        <v>0</v>
      </c>
      <c r="AC581" s="360">
        <v>1</v>
      </c>
      <c r="AD581" s="360">
        <v>0</v>
      </c>
      <c r="AE581" s="360">
        <v>0</v>
      </c>
      <c r="AF581" s="190">
        <f t="shared" si="248"/>
        <v>1</v>
      </c>
      <c r="AG581" s="348" t="str">
        <f t="shared" si="246"/>
        <v>ok</v>
      </c>
    </row>
    <row r="582" spans="1:33" s="318" customFormat="1">
      <c r="A582" s="318" t="s">
        <v>1140</v>
      </c>
      <c r="C582" s="318" t="s">
        <v>696</v>
      </c>
      <c r="F582" s="360">
        <v>1</v>
      </c>
      <c r="G582" s="360"/>
      <c r="H582" s="190">
        <v>0</v>
      </c>
      <c r="I582" s="190">
        <v>0</v>
      </c>
      <c r="J582" s="190">
        <v>0</v>
      </c>
      <c r="K582" s="190">
        <v>0</v>
      </c>
      <c r="L582" s="190">
        <v>0</v>
      </c>
      <c r="M582" s="190">
        <v>0</v>
      </c>
      <c r="N582" s="190">
        <v>0</v>
      </c>
      <c r="O582" s="190">
        <v>0</v>
      </c>
      <c r="P582" s="190">
        <v>0</v>
      </c>
      <c r="Q582" s="190">
        <v>0</v>
      </c>
      <c r="R582" s="190">
        <v>0</v>
      </c>
      <c r="S582" s="190">
        <v>0</v>
      </c>
      <c r="T582" s="190">
        <v>0</v>
      </c>
      <c r="U582" s="190">
        <v>0</v>
      </c>
      <c r="V582" s="190">
        <v>0</v>
      </c>
      <c r="W582" s="190">
        <v>0</v>
      </c>
      <c r="X582" s="360">
        <v>0</v>
      </c>
      <c r="Y582" s="360">
        <v>0</v>
      </c>
      <c r="Z582" s="360">
        <v>0</v>
      </c>
      <c r="AA582" s="360">
        <v>0</v>
      </c>
      <c r="AB582" s="360">
        <v>0</v>
      </c>
      <c r="AC582" s="360">
        <v>0</v>
      </c>
      <c r="AD582" s="360">
        <v>1</v>
      </c>
      <c r="AE582" s="360">
        <v>0</v>
      </c>
      <c r="AF582" s="190">
        <f t="shared" si="248"/>
        <v>1</v>
      </c>
      <c r="AG582" s="348" t="str">
        <f t="shared" si="246"/>
        <v>ok</v>
      </c>
    </row>
    <row r="583" spans="1:33" s="318" customFormat="1">
      <c r="A583" s="318" t="s">
        <v>974</v>
      </c>
      <c r="C583" s="318" t="s">
        <v>973</v>
      </c>
      <c r="F583" s="340">
        <f>F37+F38</f>
        <v>584492791.92000008</v>
      </c>
      <c r="G583" s="340">
        <f t="shared" ref="G583:AE583" si="256">G37+G38</f>
        <v>0</v>
      </c>
      <c r="H583" s="340">
        <f t="shared" si="256"/>
        <v>0</v>
      </c>
      <c r="I583" s="340">
        <f t="shared" si="256"/>
        <v>0</v>
      </c>
      <c r="J583" s="340">
        <f t="shared" si="256"/>
        <v>0</v>
      </c>
      <c r="K583" s="340">
        <f t="shared" si="256"/>
        <v>0</v>
      </c>
      <c r="L583" s="340">
        <f t="shared" si="256"/>
        <v>0</v>
      </c>
      <c r="M583" s="340">
        <f t="shared" si="256"/>
        <v>0</v>
      </c>
      <c r="N583" s="340">
        <f t="shared" si="256"/>
        <v>0</v>
      </c>
      <c r="O583" s="340">
        <f t="shared" si="256"/>
        <v>0</v>
      </c>
      <c r="P583" s="340">
        <f t="shared" si="256"/>
        <v>0</v>
      </c>
      <c r="Q583" s="340">
        <f t="shared" si="256"/>
        <v>0</v>
      </c>
      <c r="R583" s="340">
        <f t="shared" si="256"/>
        <v>0</v>
      </c>
      <c r="S583" s="340">
        <f t="shared" si="256"/>
        <v>0</v>
      </c>
      <c r="T583" s="340">
        <f t="shared" si="256"/>
        <v>166197216.28023002</v>
      </c>
      <c r="U583" s="340">
        <f t="shared" si="256"/>
        <v>272172377.65977001</v>
      </c>
      <c r="V583" s="340">
        <f t="shared" si="256"/>
        <v>55399072.09341</v>
      </c>
      <c r="W583" s="340">
        <f t="shared" si="256"/>
        <v>90724125.886590004</v>
      </c>
      <c r="X583" s="340">
        <f t="shared" si="256"/>
        <v>0</v>
      </c>
      <c r="Y583" s="340">
        <f t="shared" si="256"/>
        <v>0</v>
      </c>
      <c r="Z583" s="340">
        <f t="shared" si="256"/>
        <v>0</v>
      </c>
      <c r="AA583" s="340">
        <f t="shared" si="256"/>
        <v>0</v>
      </c>
      <c r="AB583" s="340">
        <f t="shared" si="256"/>
        <v>0</v>
      </c>
      <c r="AC583" s="340">
        <f t="shared" si="256"/>
        <v>0</v>
      </c>
      <c r="AD583" s="340">
        <f t="shared" si="256"/>
        <v>0</v>
      </c>
      <c r="AE583" s="340">
        <f t="shared" si="256"/>
        <v>0</v>
      </c>
      <c r="AF583" s="362">
        <f>SUM(H583:AE583)</f>
        <v>584492791.92000008</v>
      </c>
      <c r="AG583" s="348" t="str">
        <f t="shared" si="246"/>
        <v>ok</v>
      </c>
    </row>
    <row r="584" spans="1:33" s="318" customFormat="1">
      <c r="F584" s="340"/>
      <c r="G584" s="340"/>
      <c r="H584" s="340"/>
      <c r="I584" s="340"/>
      <c r="J584" s="340"/>
      <c r="K584" s="340"/>
      <c r="L584" s="340"/>
      <c r="M584" s="340"/>
      <c r="N584" s="340"/>
      <c r="O584" s="340"/>
      <c r="P584" s="340"/>
      <c r="Q584" s="340"/>
      <c r="R584" s="340"/>
      <c r="S584" s="340"/>
      <c r="T584" s="340"/>
      <c r="U584" s="340"/>
      <c r="V584" s="340"/>
      <c r="W584" s="340"/>
      <c r="X584" s="340"/>
      <c r="Y584" s="340"/>
      <c r="Z584" s="340"/>
      <c r="AA584" s="340"/>
      <c r="AB584" s="340"/>
      <c r="AC584" s="340"/>
      <c r="AD584" s="340"/>
      <c r="AE584" s="340"/>
      <c r="AF584" s="362"/>
      <c r="AG584" s="348"/>
    </row>
    <row r="585" spans="1:33" s="318" customFormat="1">
      <c r="A585" s="318" t="s">
        <v>1014</v>
      </c>
      <c r="D585" s="318" t="s">
        <v>671</v>
      </c>
      <c r="F585" s="340">
        <v>20765365.719999999</v>
      </c>
      <c r="G585" s="340"/>
      <c r="H585" s="340">
        <f t="shared" ref="H585:Q586" si="257">IF(VLOOKUP($D585,$C$6:$AE$598,H$2,)=0,0,((VLOOKUP($D585,$C$6:$AE$598,H$2,)/VLOOKUP($D585,$C$6:$AE$598,4,))*$F585))</f>
        <v>7133868.24098875</v>
      </c>
      <c r="I585" s="340">
        <f t="shared" si="257"/>
        <v>6724938.8525288291</v>
      </c>
      <c r="J585" s="340">
        <f t="shared" si="257"/>
        <v>6906558.6264824197</v>
      </c>
      <c r="K585" s="340">
        <f t="shared" si="257"/>
        <v>0</v>
      </c>
      <c r="L585" s="340">
        <f t="shared" si="257"/>
        <v>0</v>
      </c>
      <c r="M585" s="340">
        <f t="shared" si="257"/>
        <v>0</v>
      </c>
      <c r="N585" s="340">
        <f t="shared" si="257"/>
        <v>0</v>
      </c>
      <c r="O585" s="340">
        <f t="shared" si="257"/>
        <v>0</v>
      </c>
      <c r="P585" s="340">
        <f t="shared" si="257"/>
        <v>0</v>
      </c>
      <c r="Q585" s="340">
        <f t="shared" si="257"/>
        <v>0</v>
      </c>
      <c r="R585" s="340">
        <f t="shared" ref="R585:AE586" si="258">IF(VLOOKUP($D585,$C$6:$AE$598,R$2,)=0,0,((VLOOKUP($D585,$C$6:$AE$598,R$2,)/VLOOKUP($D585,$C$6:$AE$598,4,))*$F585))</f>
        <v>0</v>
      </c>
      <c r="S585" s="340">
        <f t="shared" si="258"/>
        <v>0</v>
      </c>
      <c r="T585" s="340">
        <f t="shared" si="258"/>
        <v>0</v>
      </c>
      <c r="U585" s="340">
        <f t="shared" si="258"/>
        <v>0</v>
      </c>
      <c r="V585" s="340">
        <f t="shared" si="258"/>
        <v>0</v>
      </c>
      <c r="W585" s="340">
        <f t="shared" si="258"/>
        <v>0</v>
      </c>
      <c r="X585" s="340">
        <f t="shared" si="258"/>
        <v>0</v>
      </c>
      <c r="Y585" s="340">
        <f t="shared" si="258"/>
        <v>0</v>
      </c>
      <c r="Z585" s="340">
        <f t="shared" si="258"/>
        <v>0</v>
      </c>
      <c r="AA585" s="340">
        <f t="shared" si="258"/>
        <v>0</v>
      </c>
      <c r="AB585" s="340">
        <f t="shared" si="258"/>
        <v>0</v>
      </c>
      <c r="AC585" s="340">
        <f t="shared" si="258"/>
        <v>0</v>
      </c>
      <c r="AD585" s="340">
        <f t="shared" si="258"/>
        <v>0</v>
      </c>
      <c r="AE585" s="340">
        <f t="shared" si="258"/>
        <v>0</v>
      </c>
      <c r="AF585" s="340">
        <f>SUM(H585:AE585)</f>
        <v>20765365.719999999</v>
      </c>
      <c r="AG585" s="348" t="str">
        <f>IF(ABS(AF585-F585)&lt;1,"ok","err")</f>
        <v>ok</v>
      </c>
    </row>
    <row r="586" spans="1:33" s="318" customFormat="1">
      <c r="A586" s="318" t="s">
        <v>1015</v>
      </c>
      <c r="D586" s="318" t="s">
        <v>674</v>
      </c>
      <c r="F586" s="340">
        <v>48301061.920000002</v>
      </c>
      <c r="G586" s="360"/>
      <c r="H586" s="340">
        <f t="shared" si="257"/>
        <v>0</v>
      </c>
      <c r="I586" s="340">
        <f t="shared" si="257"/>
        <v>0</v>
      </c>
      <c r="J586" s="340">
        <f t="shared" si="257"/>
        <v>0</v>
      </c>
      <c r="K586" s="340">
        <f t="shared" si="257"/>
        <v>48301061.920000002</v>
      </c>
      <c r="L586" s="340">
        <f t="shared" si="257"/>
        <v>0</v>
      </c>
      <c r="M586" s="340">
        <f t="shared" si="257"/>
        <v>0</v>
      </c>
      <c r="N586" s="340">
        <f t="shared" si="257"/>
        <v>0</v>
      </c>
      <c r="O586" s="340">
        <f t="shared" si="257"/>
        <v>0</v>
      </c>
      <c r="P586" s="340">
        <f t="shared" si="257"/>
        <v>0</v>
      </c>
      <c r="Q586" s="340">
        <f t="shared" si="257"/>
        <v>0</v>
      </c>
      <c r="R586" s="340">
        <f t="shared" si="258"/>
        <v>0</v>
      </c>
      <c r="S586" s="340">
        <f t="shared" si="258"/>
        <v>0</v>
      </c>
      <c r="T586" s="340">
        <f t="shared" si="258"/>
        <v>0</v>
      </c>
      <c r="U586" s="340">
        <f t="shared" si="258"/>
        <v>0</v>
      </c>
      <c r="V586" s="340">
        <f t="shared" si="258"/>
        <v>0</v>
      </c>
      <c r="W586" s="340">
        <f t="shared" si="258"/>
        <v>0</v>
      </c>
      <c r="X586" s="340">
        <f t="shared" si="258"/>
        <v>0</v>
      </c>
      <c r="Y586" s="340">
        <f t="shared" si="258"/>
        <v>0</v>
      </c>
      <c r="Z586" s="340">
        <f t="shared" si="258"/>
        <v>0</v>
      </c>
      <c r="AA586" s="340">
        <f t="shared" si="258"/>
        <v>0</v>
      </c>
      <c r="AB586" s="340">
        <f t="shared" si="258"/>
        <v>0</v>
      </c>
      <c r="AC586" s="340">
        <f t="shared" si="258"/>
        <v>0</v>
      </c>
      <c r="AD586" s="340">
        <f t="shared" si="258"/>
        <v>0</v>
      </c>
      <c r="AE586" s="340">
        <f t="shared" si="258"/>
        <v>0</v>
      </c>
      <c r="AF586" s="340">
        <f>SUM(H586:AE586)</f>
        <v>48301061.920000002</v>
      </c>
      <c r="AG586" s="348" t="str">
        <f>IF(ABS(AF586-F586)&lt;1,"ok","err")</f>
        <v>ok</v>
      </c>
    </row>
    <row r="587" spans="1:33" s="318" customFormat="1">
      <c r="A587" s="87" t="s">
        <v>10</v>
      </c>
      <c r="C587" s="318" t="s">
        <v>1090</v>
      </c>
      <c r="F587" s="340">
        <f>F585+F586</f>
        <v>69066427.640000001</v>
      </c>
      <c r="G587" s="340"/>
      <c r="H587" s="340">
        <f>H585+H586</f>
        <v>7133868.24098875</v>
      </c>
      <c r="I587" s="340">
        <f t="shared" ref="I587:AE587" si="259">I585+I586</f>
        <v>6724938.8525288291</v>
      </c>
      <c r="J587" s="340">
        <f t="shared" si="259"/>
        <v>6906558.6264824197</v>
      </c>
      <c r="K587" s="340">
        <f t="shared" si="259"/>
        <v>48301061.920000002</v>
      </c>
      <c r="L587" s="340">
        <f t="shared" si="259"/>
        <v>0</v>
      </c>
      <c r="M587" s="340">
        <f t="shared" si="259"/>
        <v>0</v>
      </c>
      <c r="N587" s="340">
        <f t="shared" si="259"/>
        <v>0</v>
      </c>
      <c r="O587" s="340">
        <f t="shared" si="259"/>
        <v>0</v>
      </c>
      <c r="P587" s="340">
        <f t="shared" si="259"/>
        <v>0</v>
      </c>
      <c r="Q587" s="340">
        <f t="shared" si="259"/>
        <v>0</v>
      </c>
      <c r="R587" s="340">
        <f t="shared" si="259"/>
        <v>0</v>
      </c>
      <c r="S587" s="340">
        <f t="shared" si="259"/>
        <v>0</v>
      </c>
      <c r="T587" s="340">
        <f t="shared" si="259"/>
        <v>0</v>
      </c>
      <c r="U587" s="340">
        <f t="shared" si="259"/>
        <v>0</v>
      </c>
      <c r="V587" s="340">
        <f t="shared" si="259"/>
        <v>0</v>
      </c>
      <c r="W587" s="340">
        <f t="shared" si="259"/>
        <v>0</v>
      </c>
      <c r="X587" s="340">
        <f t="shared" si="259"/>
        <v>0</v>
      </c>
      <c r="Y587" s="340">
        <f t="shared" si="259"/>
        <v>0</v>
      </c>
      <c r="Z587" s="340">
        <f t="shared" si="259"/>
        <v>0</v>
      </c>
      <c r="AA587" s="340">
        <f t="shared" si="259"/>
        <v>0</v>
      </c>
      <c r="AB587" s="340">
        <f t="shared" si="259"/>
        <v>0</v>
      </c>
      <c r="AC587" s="340">
        <f t="shared" si="259"/>
        <v>0</v>
      </c>
      <c r="AD587" s="340">
        <f t="shared" si="259"/>
        <v>0</v>
      </c>
      <c r="AE587" s="340">
        <f t="shared" si="259"/>
        <v>0</v>
      </c>
      <c r="AF587" s="340">
        <f>SUM(H587:AE587)</f>
        <v>69066427.640000001</v>
      </c>
      <c r="AG587" s="348" t="str">
        <f>IF(ABS(AF587-F587)&lt;1,"ok","err")</f>
        <v>ok</v>
      </c>
    </row>
    <row r="588" spans="1:33">
      <c r="A588" s="318"/>
      <c r="B588" s="318"/>
      <c r="F588" s="342"/>
      <c r="W588" s="165"/>
      <c r="AG588" s="333"/>
    </row>
    <row r="589" spans="1:33">
      <c r="A589" s="318" t="s">
        <v>116</v>
      </c>
      <c r="B589" s="318"/>
      <c r="C589" s="165" t="s">
        <v>114</v>
      </c>
      <c r="F589" s="363">
        <v>1</v>
      </c>
      <c r="H589" s="201">
        <v>0</v>
      </c>
      <c r="I589" s="201">
        <v>0</v>
      </c>
      <c r="J589" s="201">
        <v>0</v>
      </c>
      <c r="K589" s="201">
        <v>0</v>
      </c>
      <c r="L589" s="201">
        <v>0</v>
      </c>
      <c r="M589" s="201">
        <v>0</v>
      </c>
      <c r="N589" s="201">
        <v>0</v>
      </c>
      <c r="O589" s="201">
        <v>0</v>
      </c>
      <c r="P589" s="201">
        <v>0</v>
      </c>
      <c r="Q589" s="201">
        <v>0</v>
      </c>
      <c r="R589" s="201">
        <v>0</v>
      </c>
      <c r="S589" s="201">
        <v>0</v>
      </c>
      <c r="T589" s="201">
        <v>0</v>
      </c>
      <c r="U589" s="201">
        <v>0</v>
      </c>
      <c r="V589" s="201">
        <v>0</v>
      </c>
      <c r="W589" s="201">
        <v>0</v>
      </c>
      <c r="X589" s="201">
        <v>0</v>
      </c>
      <c r="Y589" s="201">
        <v>0</v>
      </c>
      <c r="Z589" s="201">
        <v>0</v>
      </c>
      <c r="AA589" s="201">
        <v>0</v>
      </c>
      <c r="AB589" s="201">
        <v>0</v>
      </c>
      <c r="AC589" s="364">
        <v>1</v>
      </c>
      <c r="AD589" s="201">
        <v>0</v>
      </c>
      <c r="AE589" s="201">
        <v>0</v>
      </c>
      <c r="AF589" s="365">
        <f>SUM(H589:AE589)</f>
        <v>1</v>
      </c>
      <c r="AG589" s="333" t="str">
        <f>IF(ABS(AF589-F589)&lt;1,"ok","err")</f>
        <v>ok</v>
      </c>
    </row>
    <row r="590" spans="1:33">
      <c r="A590" s="318" t="s">
        <v>117</v>
      </c>
      <c r="B590" s="318"/>
      <c r="C590" s="165" t="s">
        <v>115</v>
      </c>
      <c r="F590" s="363">
        <v>1</v>
      </c>
      <c r="H590" s="201">
        <v>0</v>
      </c>
      <c r="I590" s="201">
        <v>0</v>
      </c>
      <c r="J590" s="201">
        <v>0</v>
      </c>
      <c r="K590" s="201">
        <v>0</v>
      </c>
      <c r="L590" s="201">
        <v>0</v>
      </c>
      <c r="M590" s="201">
        <v>0</v>
      </c>
      <c r="N590" s="201">
        <v>0</v>
      </c>
      <c r="O590" s="201">
        <v>0</v>
      </c>
      <c r="P590" s="201">
        <v>0</v>
      </c>
      <c r="Q590" s="201">
        <v>0</v>
      </c>
      <c r="R590" s="201">
        <v>0</v>
      </c>
      <c r="S590" s="201">
        <v>0</v>
      </c>
      <c r="T590" s="201">
        <v>0</v>
      </c>
      <c r="U590" s="201">
        <v>0</v>
      </c>
      <c r="V590" s="201">
        <v>0</v>
      </c>
      <c r="W590" s="201">
        <v>0</v>
      </c>
      <c r="X590" s="201">
        <v>0</v>
      </c>
      <c r="Y590" s="201">
        <v>0</v>
      </c>
      <c r="Z590" s="201">
        <v>0</v>
      </c>
      <c r="AA590" s="201">
        <v>0</v>
      </c>
      <c r="AB590" s="201">
        <v>0</v>
      </c>
      <c r="AC590" s="364">
        <v>1</v>
      </c>
      <c r="AD590" s="201">
        <v>0</v>
      </c>
      <c r="AE590" s="201">
        <v>0</v>
      </c>
      <c r="AF590" s="365">
        <f>SUM(H590:AE590)</f>
        <v>1</v>
      </c>
      <c r="AG590" s="333" t="str">
        <f>IF(ABS(AF590-F590)&lt;1,"ok","err")</f>
        <v>ok</v>
      </c>
    </row>
    <row r="591" spans="1:33">
      <c r="A591" s="318" t="s">
        <v>122</v>
      </c>
      <c r="B591" s="318"/>
      <c r="C591" s="165" t="s">
        <v>119</v>
      </c>
      <c r="F591" s="360">
        <v>1</v>
      </c>
      <c r="G591" s="366"/>
      <c r="H591" s="365">
        <v>0</v>
      </c>
      <c r="I591" s="365">
        <v>0</v>
      </c>
      <c r="J591" s="365">
        <v>0</v>
      </c>
      <c r="K591" s="365">
        <v>0</v>
      </c>
      <c r="L591" s="365">
        <v>0</v>
      </c>
      <c r="M591" s="365">
        <v>1</v>
      </c>
      <c r="N591" s="365">
        <v>0</v>
      </c>
      <c r="O591" s="365">
        <v>0</v>
      </c>
      <c r="P591" s="365">
        <v>0</v>
      </c>
      <c r="Q591" s="365">
        <v>0</v>
      </c>
      <c r="R591" s="365">
        <v>0</v>
      </c>
      <c r="S591" s="365">
        <v>0</v>
      </c>
      <c r="T591" s="365">
        <v>0</v>
      </c>
      <c r="U591" s="365">
        <v>0</v>
      </c>
      <c r="V591" s="365">
        <v>0</v>
      </c>
      <c r="W591" s="365">
        <v>0</v>
      </c>
      <c r="X591" s="366">
        <v>0</v>
      </c>
      <c r="Y591" s="366">
        <v>0</v>
      </c>
      <c r="Z591" s="366">
        <v>0</v>
      </c>
      <c r="AA591" s="366">
        <v>0</v>
      </c>
      <c r="AB591" s="366">
        <v>0</v>
      </c>
      <c r="AC591" s="366">
        <v>0</v>
      </c>
      <c r="AD591" s="366">
        <v>0</v>
      </c>
      <c r="AE591" s="366">
        <v>0</v>
      </c>
      <c r="AF591" s="365">
        <f>SUM(H591:AE591)</f>
        <v>1</v>
      </c>
      <c r="AG591" s="333" t="str">
        <f>IF(ABS(AF591-F591)&lt;0.0000001,"ok","err")</f>
        <v>ok</v>
      </c>
    </row>
    <row r="592" spans="1:33">
      <c r="A592" s="318" t="s">
        <v>121</v>
      </c>
      <c r="B592" s="318"/>
      <c r="C592" s="165" t="s">
        <v>120</v>
      </c>
      <c r="F592" s="360">
        <v>1</v>
      </c>
      <c r="G592" s="366"/>
      <c r="H592" s="365">
        <v>1</v>
      </c>
      <c r="I592" s="365">
        <v>0</v>
      </c>
      <c r="J592" s="365">
        <v>0</v>
      </c>
      <c r="K592" s="365">
        <v>0</v>
      </c>
      <c r="L592" s="365">
        <v>0</v>
      </c>
      <c r="M592" s="365">
        <v>0</v>
      </c>
      <c r="N592" s="365">
        <v>0</v>
      </c>
      <c r="O592" s="365">
        <v>0</v>
      </c>
      <c r="P592" s="365">
        <v>0</v>
      </c>
      <c r="Q592" s="365">
        <v>0</v>
      </c>
      <c r="R592" s="365">
        <v>0</v>
      </c>
      <c r="S592" s="365">
        <v>0</v>
      </c>
      <c r="T592" s="365">
        <v>0</v>
      </c>
      <c r="U592" s="365">
        <v>0</v>
      </c>
      <c r="V592" s="365">
        <v>0</v>
      </c>
      <c r="W592" s="365">
        <v>0</v>
      </c>
      <c r="X592" s="366">
        <v>0</v>
      </c>
      <c r="Y592" s="366">
        <v>0</v>
      </c>
      <c r="Z592" s="366">
        <v>0</v>
      </c>
      <c r="AA592" s="366">
        <v>0</v>
      </c>
      <c r="AB592" s="366">
        <v>0</v>
      </c>
      <c r="AC592" s="366">
        <v>0</v>
      </c>
      <c r="AD592" s="366">
        <v>0</v>
      </c>
      <c r="AE592" s="366">
        <v>0</v>
      </c>
      <c r="AF592" s="365">
        <f>SUM(H592:AE592)</f>
        <v>1</v>
      </c>
      <c r="AG592" s="333" t="str">
        <f>IF(ABS(AF592-F592)&lt;0.0000001,"ok","err")</f>
        <v>ok</v>
      </c>
    </row>
    <row r="593" spans="1:33">
      <c r="A593" s="318"/>
      <c r="B593" s="318"/>
      <c r="C593" s="165" t="s">
        <v>1034</v>
      </c>
      <c r="F593" s="360">
        <v>1</v>
      </c>
      <c r="G593" s="366"/>
      <c r="H593" s="365">
        <v>0</v>
      </c>
      <c r="I593" s="365">
        <v>0</v>
      </c>
      <c r="J593" s="365">
        <v>0</v>
      </c>
      <c r="K593" s="365">
        <v>1</v>
      </c>
      <c r="L593" s="365">
        <v>0</v>
      </c>
      <c r="M593" s="365">
        <v>0</v>
      </c>
      <c r="N593" s="365">
        <v>0</v>
      </c>
      <c r="O593" s="365">
        <v>0</v>
      </c>
      <c r="P593" s="365">
        <v>0</v>
      </c>
      <c r="Q593" s="365">
        <v>0</v>
      </c>
      <c r="R593" s="365">
        <v>0</v>
      </c>
      <c r="S593" s="365">
        <v>0</v>
      </c>
      <c r="T593" s="365">
        <v>0</v>
      </c>
      <c r="U593" s="365">
        <v>0</v>
      </c>
      <c r="V593" s="365">
        <v>0</v>
      </c>
      <c r="W593" s="365">
        <v>0</v>
      </c>
      <c r="X593" s="366">
        <v>0</v>
      </c>
      <c r="Y593" s="366">
        <v>0</v>
      </c>
      <c r="Z593" s="366">
        <v>0</v>
      </c>
      <c r="AA593" s="366">
        <v>0</v>
      </c>
      <c r="AB593" s="366">
        <v>0</v>
      </c>
      <c r="AC593" s="366">
        <v>0</v>
      </c>
      <c r="AD593" s="366">
        <v>0</v>
      </c>
      <c r="AE593" s="366">
        <v>0</v>
      </c>
      <c r="AF593" s="365">
        <f>SUM(H593:AE593)</f>
        <v>1</v>
      </c>
      <c r="AG593" s="333" t="str">
        <f>IF(ABS(AF593-F593)&lt;0.0000001,"ok","err")</f>
        <v>ok</v>
      </c>
    </row>
    <row r="594" spans="1:33">
      <c r="AG594" s="333"/>
    </row>
    <row r="595" spans="1:33">
      <c r="A595" s="5" t="s">
        <v>999</v>
      </c>
      <c r="AG595" s="333"/>
    </row>
    <row r="596" spans="1:33">
      <c r="A596" s="318" t="s">
        <v>972</v>
      </c>
      <c r="D596" s="165" t="s">
        <v>1268</v>
      </c>
      <c r="F596" s="360">
        <v>1</v>
      </c>
      <c r="H596" s="367">
        <f>H48/$F$48</f>
        <v>0.22673272824351232</v>
      </c>
      <c r="I596" s="367">
        <f>I48/$F$48</f>
        <v>0.21373589780420799</v>
      </c>
      <c r="J596" s="367">
        <f>J48/$F$48</f>
        <v>0.21950824254907816</v>
      </c>
      <c r="K596" s="367">
        <f>K48/$F$48</f>
        <v>0</v>
      </c>
      <c r="L596" s="367">
        <f t="shared" ref="L596:AE596" si="260">L48/$F$48</f>
        <v>0</v>
      </c>
      <c r="M596" s="367">
        <f t="shared" si="260"/>
        <v>0</v>
      </c>
      <c r="N596" s="367">
        <f t="shared" si="260"/>
        <v>2.4334876249826658E-2</v>
      </c>
      <c r="O596" s="367">
        <f t="shared" si="260"/>
        <v>2.2939946356684945E-2</v>
      </c>
      <c r="P596" s="367">
        <f t="shared" si="260"/>
        <v>2.3559483271915323E-2</v>
      </c>
      <c r="Q596" s="367">
        <f t="shared" si="260"/>
        <v>0</v>
      </c>
      <c r="R596" s="367">
        <f t="shared" si="260"/>
        <v>2.9596601086477846E-2</v>
      </c>
      <c r="S596" s="367">
        <f t="shared" si="260"/>
        <v>0</v>
      </c>
      <c r="T596" s="367">
        <f t="shared" si="260"/>
        <v>4.5572706246606851E-2</v>
      </c>
      <c r="U596" s="367">
        <f t="shared" si="260"/>
        <v>7.4606491647583997E-2</v>
      </c>
      <c r="V596" s="367">
        <f t="shared" si="260"/>
        <v>1.5190902082202282E-2</v>
      </c>
      <c r="W596" s="367">
        <f t="shared" si="260"/>
        <v>2.4868830549194667E-2</v>
      </c>
      <c r="X596" s="367">
        <f t="shared" si="260"/>
        <v>2.127719219630321E-2</v>
      </c>
      <c r="Y596" s="367">
        <f t="shared" si="260"/>
        <v>1.6922434727041868E-2</v>
      </c>
      <c r="Z596" s="367">
        <f t="shared" si="260"/>
        <v>7.7481133434157187E-3</v>
      </c>
      <c r="AA596" s="367">
        <f t="shared" si="260"/>
        <v>1.0440863987002539E-2</v>
      </c>
      <c r="AB596" s="367">
        <f t="shared" si="260"/>
        <v>2.2964689658945551E-2</v>
      </c>
      <c r="AC596" s="367">
        <f t="shared" si="260"/>
        <v>0</v>
      </c>
      <c r="AD596" s="367">
        <f t="shared" si="260"/>
        <v>0</v>
      </c>
      <c r="AE596" s="367">
        <f t="shared" si="260"/>
        <v>0</v>
      </c>
      <c r="AF596" s="365">
        <f t="shared" ref="AF596:AF614" si="261">SUM(H596:AE596)</f>
        <v>1</v>
      </c>
      <c r="AG596" s="333" t="str">
        <f t="shared" ref="AG596:AG614" si="262">IF(ABS(AF596-F596)&lt;0.0000001,"ok","err")</f>
        <v>ok</v>
      </c>
    </row>
    <row r="597" spans="1:33">
      <c r="A597" s="318" t="s">
        <v>1059</v>
      </c>
      <c r="D597" s="165" t="s">
        <v>1039</v>
      </c>
      <c r="F597" s="360">
        <v>1</v>
      </c>
      <c r="H597" s="367">
        <f>H46/$F$46</f>
        <v>0</v>
      </c>
      <c r="I597" s="367">
        <f t="shared" ref="I597:AE597" si="263">I46/$F$46</f>
        <v>0</v>
      </c>
      <c r="J597" s="367">
        <f t="shared" si="263"/>
        <v>0</v>
      </c>
      <c r="K597" s="367">
        <f t="shared" si="263"/>
        <v>0</v>
      </c>
      <c r="L597" s="367">
        <f t="shared" si="263"/>
        <v>0</v>
      </c>
      <c r="M597" s="367">
        <f t="shared" si="263"/>
        <v>0</v>
      </c>
      <c r="N597" s="367">
        <f t="shared" si="263"/>
        <v>0</v>
      </c>
      <c r="O597" s="367">
        <f t="shared" si="263"/>
        <v>0</v>
      </c>
      <c r="P597" s="367">
        <f t="shared" si="263"/>
        <v>0</v>
      </c>
      <c r="Q597" s="367">
        <f t="shared" si="263"/>
        <v>0</v>
      </c>
      <c r="R597" s="367">
        <f t="shared" si="263"/>
        <v>0.10994736140618122</v>
      </c>
      <c r="S597" s="367">
        <f t="shared" si="263"/>
        <v>0</v>
      </c>
      <c r="T597" s="367">
        <f t="shared" si="263"/>
        <v>0.16929642661713168</v>
      </c>
      <c r="U597" s="367">
        <f t="shared" si="263"/>
        <v>0.27715300403774623</v>
      </c>
      <c r="V597" s="367">
        <f t="shared" si="263"/>
        <v>5.643214220571055E-2</v>
      </c>
      <c r="W597" s="367">
        <f t="shared" si="263"/>
        <v>9.2384334679248739E-2</v>
      </c>
      <c r="X597" s="367">
        <f t="shared" si="263"/>
        <v>7.9041885021876535E-2</v>
      </c>
      <c r="Y597" s="367">
        <f t="shared" si="263"/>
        <v>6.2864551283108264E-2</v>
      </c>
      <c r="Z597" s="367">
        <f t="shared" si="263"/>
        <v>2.8783190863554731E-2</v>
      </c>
      <c r="AA597" s="367">
        <f t="shared" si="263"/>
        <v>3.8786394519343168E-2</v>
      </c>
      <c r="AB597" s="367">
        <f t="shared" si="263"/>
        <v>8.5310709366098914E-2</v>
      </c>
      <c r="AC597" s="367">
        <f t="shared" si="263"/>
        <v>0</v>
      </c>
      <c r="AD597" s="367">
        <f t="shared" si="263"/>
        <v>0</v>
      </c>
      <c r="AE597" s="367">
        <f t="shared" si="263"/>
        <v>0</v>
      </c>
      <c r="AF597" s="365">
        <f t="shared" si="261"/>
        <v>1.0000000000000002</v>
      </c>
      <c r="AG597" s="333" t="str">
        <f t="shared" si="262"/>
        <v>ok</v>
      </c>
    </row>
    <row r="598" spans="1:33">
      <c r="A598" s="318" t="s">
        <v>1239</v>
      </c>
      <c r="D598" s="165" t="s">
        <v>1266</v>
      </c>
      <c r="F598" s="360">
        <v>1</v>
      </c>
      <c r="H598" s="367">
        <f>H33/$F$33</f>
        <v>0</v>
      </c>
      <c r="I598" s="367">
        <f t="shared" ref="I598:AE598" si="264">I33/$F$33</f>
        <v>0</v>
      </c>
      <c r="J598" s="367">
        <f t="shared" si="264"/>
        <v>0</v>
      </c>
      <c r="K598" s="367">
        <f t="shared" si="264"/>
        <v>0</v>
      </c>
      <c r="L598" s="367">
        <f t="shared" si="264"/>
        <v>0</v>
      </c>
      <c r="M598" s="367">
        <f t="shared" si="264"/>
        <v>0</v>
      </c>
      <c r="N598" s="367">
        <f t="shared" si="264"/>
        <v>0.34354647720544701</v>
      </c>
      <c r="O598" s="367">
        <f t="shared" si="264"/>
        <v>0.32385361968615639</v>
      </c>
      <c r="P598" s="367">
        <f t="shared" si="264"/>
        <v>0.3325999031083966</v>
      </c>
      <c r="Q598" s="367">
        <f t="shared" si="264"/>
        <v>0</v>
      </c>
      <c r="R598" s="367">
        <f t="shared" si="264"/>
        <v>0</v>
      </c>
      <c r="S598" s="367">
        <f t="shared" si="264"/>
        <v>0</v>
      </c>
      <c r="T598" s="367">
        <f t="shared" si="264"/>
        <v>0</v>
      </c>
      <c r="U598" s="367">
        <f t="shared" si="264"/>
        <v>0</v>
      </c>
      <c r="V598" s="367">
        <f t="shared" si="264"/>
        <v>0</v>
      </c>
      <c r="W598" s="367">
        <f t="shared" si="264"/>
        <v>0</v>
      </c>
      <c r="X598" s="367">
        <f t="shared" si="264"/>
        <v>0</v>
      </c>
      <c r="Y598" s="367">
        <f t="shared" si="264"/>
        <v>0</v>
      </c>
      <c r="Z598" s="367">
        <f t="shared" si="264"/>
        <v>0</v>
      </c>
      <c r="AA598" s="367">
        <f t="shared" si="264"/>
        <v>0</v>
      </c>
      <c r="AB598" s="367">
        <f t="shared" si="264"/>
        <v>0</v>
      </c>
      <c r="AC598" s="367">
        <f t="shared" si="264"/>
        <v>0</v>
      </c>
      <c r="AD598" s="367">
        <f t="shared" si="264"/>
        <v>0</v>
      </c>
      <c r="AE598" s="367">
        <f t="shared" si="264"/>
        <v>0</v>
      </c>
      <c r="AF598" s="365">
        <f t="shared" si="261"/>
        <v>1</v>
      </c>
      <c r="AG598" s="333" t="str">
        <f t="shared" si="262"/>
        <v>ok</v>
      </c>
    </row>
    <row r="599" spans="1:33">
      <c r="A599" s="318" t="s">
        <v>19</v>
      </c>
      <c r="D599" s="165" t="s">
        <v>1081</v>
      </c>
      <c r="F599" s="360">
        <v>1</v>
      </c>
      <c r="H599" s="367">
        <f>H313/$F$313</f>
        <v>5.2403797890750746E-2</v>
      </c>
      <c r="I599" s="367">
        <f t="shared" ref="I599:AE599" si="265">I313/$F$313</f>
        <v>4.9399894215979227E-2</v>
      </c>
      <c r="J599" s="367">
        <f t="shared" si="265"/>
        <v>5.0734032386984845E-2</v>
      </c>
      <c r="K599" s="367">
        <f t="shared" si="265"/>
        <v>0.6760830598173162</v>
      </c>
      <c r="L599" s="367">
        <f t="shared" si="265"/>
        <v>0</v>
      </c>
      <c r="M599" s="367">
        <f t="shared" si="265"/>
        <v>0</v>
      </c>
      <c r="N599" s="367">
        <f t="shared" si="265"/>
        <v>1.1422067579766404E-2</v>
      </c>
      <c r="O599" s="367">
        <f t="shared" si="265"/>
        <v>1.07673289509388E-2</v>
      </c>
      <c r="P599" s="367">
        <f t="shared" si="265"/>
        <v>1.1058121163780719E-2</v>
      </c>
      <c r="Q599" s="367">
        <f t="shared" si="265"/>
        <v>0</v>
      </c>
      <c r="R599" s="367">
        <f t="shared" si="265"/>
        <v>9.4733224653070838E-3</v>
      </c>
      <c r="S599" s="367">
        <f t="shared" si="265"/>
        <v>0</v>
      </c>
      <c r="T599" s="367">
        <f t="shared" si="265"/>
        <v>1.9923478752252633E-2</v>
      </c>
      <c r="U599" s="367">
        <f t="shared" si="265"/>
        <v>2.6740047964840131E-2</v>
      </c>
      <c r="V599" s="367">
        <f t="shared" si="265"/>
        <v>6.6411595840842096E-3</v>
      </c>
      <c r="W599" s="367">
        <f t="shared" si="265"/>
        <v>8.9133493216133775E-3</v>
      </c>
      <c r="X599" s="367">
        <f t="shared" si="265"/>
        <v>1.4713936523980855E-3</v>
      </c>
      <c r="Y599" s="367">
        <f t="shared" si="265"/>
        <v>1.1702466571137373E-3</v>
      </c>
      <c r="Z599" s="367">
        <f t="shared" si="265"/>
        <v>4.2359404610589651E-4</v>
      </c>
      <c r="AA599" s="367">
        <f t="shared" si="265"/>
        <v>1.7100568428465641E-2</v>
      </c>
      <c r="AB599" s="367">
        <f t="shared" si="265"/>
        <v>1.7750455479633102E-3</v>
      </c>
      <c r="AC599" s="367">
        <f t="shared" si="265"/>
        <v>2.5707428186601888E-2</v>
      </c>
      <c r="AD599" s="367">
        <f t="shared" si="265"/>
        <v>1.8792063387737326E-2</v>
      </c>
      <c r="AE599" s="367">
        <f t="shared" si="265"/>
        <v>0</v>
      </c>
      <c r="AF599" s="365">
        <f t="shared" si="261"/>
        <v>1.0000000000000002</v>
      </c>
      <c r="AG599" s="333" t="str">
        <f t="shared" si="262"/>
        <v>ok</v>
      </c>
    </row>
    <row r="600" spans="1:33">
      <c r="A600" s="318" t="s">
        <v>1063</v>
      </c>
      <c r="D600" s="165" t="s">
        <v>1064</v>
      </c>
      <c r="F600" s="360">
        <v>1</v>
      </c>
      <c r="H600" s="367">
        <f>H61/$F$61</f>
        <v>0.22669659438472251</v>
      </c>
      <c r="I600" s="367">
        <f t="shared" ref="I600:AE600" si="266">I61/$F$61</f>
        <v>0.21370183521955427</v>
      </c>
      <c r="J600" s="367">
        <f t="shared" si="266"/>
        <v>0.21947326003949119</v>
      </c>
      <c r="K600" s="367">
        <f t="shared" si="266"/>
        <v>0</v>
      </c>
      <c r="L600" s="367">
        <f t="shared" si="266"/>
        <v>0</v>
      </c>
      <c r="M600" s="367">
        <f t="shared" si="266"/>
        <v>0</v>
      </c>
      <c r="N600" s="367">
        <f t="shared" si="266"/>
        <v>2.4330998058138625E-2</v>
      </c>
      <c r="O600" s="367">
        <f t="shared" si="266"/>
        <v>2.2936290471675665E-2</v>
      </c>
      <c r="P600" s="367">
        <f t="shared" si="266"/>
        <v>2.3555728652772764E-2</v>
      </c>
      <c r="Q600" s="367">
        <f t="shared" si="266"/>
        <v>0</v>
      </c>
      <c r="R600" s="367">
        <f t="shared" si="266"/>
        <v>2.9609406397160323E-2</v>
      </c>
      <c r="S600" s="367">
        <f t="shared" si="266"/>
        <v>0</v>
      </c>
      <c r="T600" s="367">
        <f t="shared" si="266"/>
        <v>4.5592423803377101E-2</v>
      </c>
      <c r="U600" s="367">
        <f t="shared" si="266"/>
        <v>7.4638771006341642E-2</v>
      </c>
      <c r="V600" s="367">
        <f t="shared" si="266"/>
        <v>1.5197474601125695E-2</v>
      </c>
      <c r="W600" s="367">
        <f t="shared" si="266"/>
        <v>2.4879590335447215E-2</v>
      </c>
      <c r="X600" s="367">
        <f t="shared" si="266"/>
        <v>2.128639801881399E-2</v>
      </c>
      <c r="Y600" s="367">
        <f t="shared" si="266"/>
        <v>1.6929756413527102E-2</v>
      </c>
      <c r="Z600" s="367">
        <f t="shared" si="266"/>
        <v>7.7514656539825833E-3</v>
      </c>
      <c r="AA600" s="367">
        <f t="shared" si="266"/>
        <v>1.0445381347180364E-2</v>
      </c>
      <c r="AB600" s="367">
        <f t="shared" si="266"/>
        <v>2.2974625596688884E-2</v>
      </c>
      <c r="AC600" s="367">
        <f t="shared" si="266"/>
        <v>0</v>
      </c>
      <c r="AD600" s="367">
        <f t="shared" si="266"/>
        <v>0</v>
      </c>
      <c r="AE600" s="367">
        <f t="shared" si="266"/>
        <v>0</v>
      </c>
      <c r="AF600" s="365">
        <f t="shared" si="261"/>
        <v>0.99999999999999989</v>
      </c>
      <c r="AG600" s="333" t="str">
        <f t="shared" si="262"/>
        <v>ok</v>
      </c>
    </row>
    <row r="601" spans="1:33">
      <c r="A601" s="318" t="s">
        <v>1000</v>
      </c>
      <c r="D601" s="165" t="s">
        <v>99</v>
      </c>
      <c r="F601" s="360">
        <v>1</v>
      </c>
      <c r="H601" s="367">
        <f>H502/$F$502</f>
        <v>0.13596939086102452</v>
      </c>
      <c r="I601" s="367">
        <f t="shared" ref="I601:AE601" si="267">I502/$F$502</f>
        <v>0.12817531926118791</v>
      </c>
      <c r="J601" s="367">
        <f t="shared" si="267"/>
        <v>0.13163693772659485</v>
      </c>
      <c r="K601" s="367">
        <f t="shared" si="267"/>
        <v>0.25788661360970538</v>
      </c>
      <c r="L601" s="367">
        <f t="shared" si="267"/>
        <v>0</v>
      </c>
      <c r="M601" s="367">
        <f t="shared" si="267"/>
        <v>0</v>
      </c>
      <c r="N601" s="367">
        <f t="shared" si="267"/>
        <v>2.0720972195381618E-2</v>
      </c>
      <c r="O601" s="367">
        <f t="shared" si="267"/>
        <v>1.9533199418830031E-2</v>
      </c>
      <c r="P601" s="367">
        <f t="shared" si="267"/>
        <v>2.0060730648605342E-2</v>
      </c>
      <c r="Q601" s="367">
        <f t="shared" si="267"/>
        <v>0</v>
      </c>
      <c r="R601" s="367">
        <f t="shared" si="267"/>
        <v>2.454353631133338E-2</v>
      </c>
      <c r="S601" s="367">
        <f t="shared" si="267"/>
        <v>0</v>
      </c>
      <c r="T601" s="367">
        <f t="shared" si="267"/>
        <v>3.606076420449135E-2</v>
      </c>
      <c r="U601" s="367">
        <f t="shared" si="267"/>
        <v>4.9359582881673934E-2</v>
      </c>
      <c r="V601" s="367">
        <f t="shared" si="267"/>
        <v>1.2020254734830448E-2</v>
      </c>
      <c r="W601" s="367">
        <f t="shared" si="267"/>
        <v>1.6453194293891315E-2</v>
      </c>
      <c r="X601" s="367">
        <f t="shared" si="267"/>
        <v>3.5270317319328281E-3</v>
      </c>
      <c r="Y601" s="367">
        <f t="shared" si="267"/>
        <v>2.8051616826682991E-3</v>
      </c>
      <c r="Z601" s="367">
        <f t="shared" si="267"/>
        <v>8.7103293454918532E-4</v>
      </c>
      <c r="AA601" s="367">
        <f t="shared" si="267"/>
        <v>5.5712921473939969E-2</v>
      </c>
      <c r="AB601" s="367">
        <f t="shared" si="267"/>
        <v>2.7262788939452958E-3</v>
      </c>
      <c r="AC601" s="367">
        <f t="shared" si="267"/>
        <v>6.849430617190326E-2</v>
      </c>
      <c r="AD601" s="367">
        <f t="shared" si="267"/>
        <v>1.3442770963511085E-2</v>
      </c>
      <c r="AE601" s="367">
        <f t="shared" si="267"/>
        <v>0</v>
      </c>
      <c r="AF601" s="365">
        <f t="shared" si="261"/>
        <v>0.99999999999999989</v>
      </c>
      <c r="AG601" s="333" t="str">
        <f t="shared" si="262"/>
        <v>ok</v>
      </c>
    </row>
    <row r="602" spans="1:33">
      <c r="A602" s="318" t="s">
        <v>293</v>
      </c>
      <c r="D602" s="165" t="s">
        <v>18</v>
      </c>
      <c r="F602" s="360">
        <v>1</v>
      </c>
      <c r="H602" s="367">
        <f>H289/$F$289</f>
        <v>4.4928751050300711E-2</v>
      </c>
      <c r="I602" s="367">
        <f t="shared" ref="I602:AE602" si="268">I289/$F$289</f>
        <v>4.2353333889425165E-2</v>
      </c>
      <c r="J602" s="367">
        <f t="shared" si="268"/>
        <v>4.3497166286397181E-2</v>
      </c>
      <c r="K602" s="367">
        <f t="shared" si="268"/>
        <v>0.73864054452759953</v>
      </c>
      <c r="L602" s="367">
        <f t="shared" si="268"/>
        <v>0</v>
      </c>
      <c r="M602" s="367">
        <f t="shared" si="268"/>
        <v>0</v>
      </c>
      <c r="N602" s="367">
        <f t="shared" si="268"/>
        <v>8.9119820073655705E-3</v>
      </c>
      <c r="O602" s="367">
        <f t="shared" si="268"/>
        <v>8.4011271346474958E-3</v>
      </c>
      <c r="P602" s="367">
        <f t="shared" si="268"/>
        <v>8.6280155636145901E-3</v>
      </c>
      <c r="Q602" s="367">
        <f t="shared" si="268"/>
        <v>0</v>
      </c>
      <c r="R602" s="367">
        <f t="shared" si="268"/>
        <v>6.3965128331610376E-3</v>
      </c>
      <c r="S602" s="367">
        <f t="shared" si="268"/>
        <v>0</v>
      </c>
      <c r="T602" s="367">
        <f t="shared" si="268"/>
        <v>1.5489019279208524E-2</v>
      </c>
      <c r="U602" s="367">
        <f t="shared" si="268"/>
        <v>2.0376880180387389E-2</v>
      </c>
      <c r="V602" s="367">
        <f t="shared" si="268"/>
        <v>5.1630064264028414E-3</v>
      </c>
      <c r="W602" s="367">
        <f t="shared" si="268"/>
        <v>6.7922933934624645E-3</v>
      </c>
      <c r="X602" s="367">
        <f t="shared" si="268"/>
        <v>6.3981886331998961E-4</v>
      </c>
      <c r="Y602" s="367">
        <f t="shared" si="268"/>
        <v>5.0886850350225388E-4</v>
      </c>
      <c r="Z602" s="367">
        <f t="shared" si="268"/>
        <v>1.6217608387725907E-4</v>
      </c>
      <c r="AA602" s="367">
        <f t="shared" si="268"/>
        <v>1.1324062692276251E-2</v>
      </c>
      <c r="AB602" s="367">
        <f t="shared" si="268"/>
        <v>9.9647750101921587E-4</v>
      </c>
      <c r="AC602" s="367">
        <f t="shared" si="268"/>
        <v>1.9005878407946906E-2</v>
      </c>
      <c r="AD602" s="367">
        <f t="shared" si="268"/>
        <v>1.7784085376086084E-2</v>
      </c>
      <c r="AE602" s="367">
        <f t="shared" si="268"/>
        <v>0</v>
      </c>
      <c r="AF602" s="365">
        <f t="shared" si="261"/>
        <v>1.0000000000000004</v>
      </c>
      <c r="AG602" s="333" t="str">
        <f t="shared" si="262"/>
        <v>ok</v>
      </c>
    </row>
    <row r="603" spans="1:33">
      <c r="A603" s="318" t="s">
        <v>1001</v>
      </c>
      <c r="D603" s="165" t="s">
        <v>684</v>
      </c>
      <c r="F603" s="360">
        <v>1</v>
      </c>
      <c r="H603" s="367">
        <f>H332/$F$332</f>
        <v>0.29986030898946936</v>
      </c>
      <c r="I603" s="367">
        <f t="shared" ref="I603:AE603" si="269">I332/$F$332</f>
        <v>0.28267164098549291</v>
      </c>
      <c r="J603" s="367">
        <f t="shared" si="269"/>
        <v>0.29030572668718974</v>
      </c>
      <c r="K603" s="367">
        <f t="shared" si="269"/>
        <v>0.12716232333784794</v>
      </c>
      <c r="L603" s="367">
        <f t="shared" si="269"/>
        <v>0</v>
      </c>
      <c r="M603" s="367">
        <f t="shared" si="269"/>
        <v>0</v>
      </c>
      <c r="N603" s="367">
        <f t="shared" si="269"/>
        <v>0</v>
      </c>
      <c r="O603" s="367">
        <f t="shared" si="269"/>
        <v>0</v>
      </c>
      <c r="P603" s="367">
        <f t="shared" si="269"/>
        <v>0</v>
      </c>
      <c r="Q603" s="367">
        <f t="shared" si="269"/>
        <v>0</v>
      </c>
      <c r="R603" s="367">
        <f t="shared" si="269"/>
        <v>0</v>
      </c>
      <c r="S603" s="367">
        <f t="shared" si="269"/>
        <v>0</v>
      </c>
      <c r="T603" s="367">
        <f t="shared" si="269"/>
        <v>0</v>
      </c>
      <c r="U603" s="367">
        <f t="shared" si="269"/>
        <v>0</v>
      </c>
      <c r="V603" s="367">
        <f t="shared" si="269"/>
        <v>0</v>
      </c>
      <c r="W603" s="367">
        <f t="shared" si="269"/>
        <v>0</v>
      </c>
      <c r="X603" s="367">
        <f t="shared" si="269"/>
        <v>0</v>
      </c>
      <c r="Y603" s="367">
        <f t="shared" si="269"/>
        <v>0</v>
      </c>
      <c r="Z603" s="367">
        <f t="shared" si="269"/>
        <v>0</v>
      </c>
      <c r="AA603" s="367">
        <f t="shared" si="269"/>
        <v>0</v>
      </c>
      <c r="AB603" s="367">
        <f t="shared" si="269"/>
        <v>0</v>
      </c>
      <c r="AC603" s="367">
        <f t="shared" si="269"/>
        <v>0</v>
      </c>
      <c r="AD603" s="367">
        <f t="shared" si="269"/>
        <v>0</v>
      </c>
      <c r="AE603" s="367">
        <f t="shared" si="269"/>
        <v>0</v>
      </c>
      <c r="AF603" s="365">
        <f t="shared" si="261"/>
        <v>0.99999999999999989</v>
      </c>
      <c r="AG603" s="333" t="str">
        <f t="shared" si="262"/>
        <v>ok</v>
      </c>
    </row>
    <row r="604" spans="1:33">
      <c r="A604" s="318" t="s">
        <v>1002</v>
      </c>
      <c r="D604" s="165" t="s">
        <v>87</v>
      </c>
      <c r="F604" s="360">
        <v>1</v>
      </c>
      <c r="H604" s="367">
        <f>H341/$F$341</f>
        <v>1.1380691614991032E-2</v>
      </c>
      <c r="I604" s="367">
        <f t="shared" ref="I604:AE604" si="270">I341/$F$341</f>
        <v>1.0728324749616434E-2</v>
      </c>
      <c r="J604" s="367">
        <f t="shared" si="270"/>
        <v>1.1018063579761091E-2</v>
      </c>
      <c r="K604" s="367">
        <f t="shared" si="270"/>
        <v>0.96687292005563141</v>
      </c>
      <c r="L604" s="367">
        <f t="shared" si="270"/>
        <v>0</v>
      </c>
      <c r="M604" s="367">
        <f t="shared" si="270"/>
        <v>0</v>
      </c>
      <c r="N604" s="367">
        <f t="shared" si="270"/>
        <v>0</v>
      </c>
      <c r="O604" s="367">
        <f t="shared" si="270"/>
        <v>0</v>
      </c>
      <c r="P604" s="367">
        <f t="shared" si="270"/>
        <v>0</v>
      </c>
      <c r="Q604" s="367">
        <f t="shared" si="270"/>
        <v>0</v>
      </c>
      <c r="R604" s="367">
        <f t="shared" si="270"/>
        <v>0</v>
      </c>
      <c r="S604" s="367">
        <f t="shared" si="270"/>
        <v>0</v>
      </c>
      <c r="T604" s="367">
        <f t="shared" si="270"/>
        <v>0</v>
      </c>
      <c r="U604" s="367">
        <f t="shared" si="270"/>
        <v>0</v>
      </c>
      <c r="V604" s="367">
        <f t="shared" si="270"/>
        <v>0</v>
      </c>
      <c r="W604" s="367">
        <f t="shared" si="270"/>
        <v>0</v>
      </c>
      <c r="X604" s="367">
        <f t="shared" si="270"/>
        <v>0</v>
      </c>
      <c r="Y604" s="367">
        <f t="shared" si="270"/>
        <v>0</v>
      </c>
      <c r="Z604" s="367">
        <f t="shared" si="270"/>
        <v>0</v>
      </c>
      <c r="AA604" s="367">
        <f t="shared" si="270"/>
        <v>0</v>
      </c>
      <c r="AB604" s="367">
        <f t="shared" si="270"/>
        <v>0</v>
      </c>
      <c r="AC604" s="367">
        <f t="shared" si="270"/>
        <v>0</v>
      </c>
      <c r="AD604" s="367">
        <f t="shared" si="270"/>
        <v>0</v>
      </c>
      <c r="AE604" s="367">
        <f t="shared" si="270"/>
        <v>0</v>
      </c>
      <c r="AF604" s="365">
        <f t="shared" si="261"/>
        <v>1</v>
      </c>
      <c r="AG604" s="333" t="str">
        <f t="shared" si="262"/>
        <v>ok</v>
      </c>
    </row>
    <row r="605" spans="1:33">
      <c r="A605" s="318" t="s">
        <v>1003</v>
      </c>
      <c r="D605" s="165" t="s">
        <v>685</v>
      </c>
      <c r="F605" s="360">
        <v>1</v>
      </c>
      <c r="H605" s="367">
        <f>H353/$F$353</f>
        <v>0.34354647720544701</v>
      </c>
      <c r="I605" s="367">
        <f t="shared" ref="I605:AE605" si="271">I353/$F$353</f>
        <v>0.32385361968615634</v>
      </c>
      <c r="J605" s="367">
        <f t="shared" si="271"/>
        <v>0.33259990310839649</v>
      </c>
      <c r="K605" s="367">
        <f t="shared" si="271"/>
        <v>0</v>
      </c>
      <c r="L605" s="367">
        <f t="shared" si="271"/>
        <v>0</v>
      </c>
      <c r="M605" s="367">
        <f t="shared" si="271"/>
        <v>0</v>
      </c>
      <c r="N605" s="367">
        <f t="shared" si="271"/>
        <v>0</v>
      </c>
      <c r="O605" s="367">
        <f t="shared" si="271"/>
        <v>0</v>
      </c>
      <c r="P605" s="367">
        <f t="shared" si="271"/>
        <v>0</v>
      </c>
      <c r="Q605" s="367">
        <f t="shared" si="271"/>
        <v>0</v>
      </c>
      <c r="R605" s="367">
        <f t="shared" si="271"/>
        <v>0</v>
      </c>
      <c r="S605" s="367">
        <f t="shared" si="271"/>
        <v>0</v>
      </c>
      <c r="T605" s="367">
        <f t="shared" si="271"/>
        <v>0</v>
      </c>
      <c r="U605" s="367">
        <f t="shared" si="271"/>
        <v>0</v>
      </c>
      <c r="V605" s="367">
        <f t="shared" si="271"/>
        <v>0</v>
      </c>
      <c r="W605" s="367">
        <f t="shared" si="271"/>
        <v>0</v>
      </c>
      <c r="X605" s="367">
        <f t="shared" si="271"/>
        <v>0</v>
      </c>
      <c r="Y605" s="367">
        <f t="shared" si="271"/>
        <v>0</v>
      </c>
      <c r="Z605" s="367">
        <f t="shared" si="271"/>
        <v>0</v>
      </c>
      <c r="AA605" s="367">
        <f t="shared" si="271"/>
        <v>0</v>
      </c>
      <c r="AB605" s="367">
        <f t="shared" si="271"/>
        <v>0</v>
      </c>
      <c r="AC605" s="367">
        <f t="shared" si="271"/>
        <v>0</v>
      </c>
      <c r="AD605" s="367">
        <f t="shared" si="271"/>
        <v>0</v>
      </c>
      <c r="AE605" s="367">
        <f t="shared" si="271"/>
        <v>0</v>
      </c>
      <c r="AF605" s="365">
        <f t="shared" si="261"/>
        <v>0.99999999999999989</v>
      </c>
      <c r="AG605" s="333" t="str">
        <f t="shared" si="262"/>
        <v>ok</v>
      </c>
    </row>
    <row r="606" spans="1:33">
      <c r="A606" s="318" t="s">
        <v>1004</v>
      </c>
      <c r="D606" s="165" t="s">
        <v>686</v>
      </c>
      <c r="F606" s="360">
        <v>1</v>
      </c>
      <c r="H606" s="367">
        <f>H362/$F$362</f>
        <v>0.11488502954400345</v>
      </c>
      <c r="I606" s="367">
        <f t="shared" ref="I606:AE606" si="272">I362/$F$362</f>
        <v>0.10829956100328957</v>
      </c>
      <c r="J606" s="367">
        <f t="shared" si="272"/>
        <v>0.11122439678544604</v>
      </c>
      <c r="K606" s="367">
        <f t="shared" si="272"/>
        <v>0.66559101266726084</v>
      </c>
      <c r="L606" s="367">
        <f t="shared" si="272"/>
        <v>0</v>
      </c>
      <c r="M606" s="367">
        <f t="shared" si="272"/>
        <v>0</v>
      </c>
      <c r="N606" s="367">
        <f t="shared" si="272"/>
        <v>0</v>
      </c>
      <c r="O606" s="367">
        <f t="shared" si="272"/>
        <v>0</v>
      </c>
      <c r="P606" s="367">
        <f t="shared" si="272"/>
        <v>0</v>
      </c>
      <c r="Q606" s="367">
        <f t="shared" si="272"/>
        <v>0</v>
      </c>
      <c r="R606" s="367">
        <f t="shared" si="272"/>
        <v>0</v>
      </c>
      <c r="S606" s="367">
        <f t="shared" si="272"/>
        <v>0</v>
      </c>
      <c r="T606" s="367">
        <f t="shared" si="272"/>
        <v>0</v>
      </c>
      <c r="U606" s="367">
        <f t="shared" si="272"/>
        <v>0</v>
      </c>
      <c r="V606" s="367">
        <f t="shared" si="272"/>
        <v>0</v>
      </c>
      <c r="W606" s="367">
        <f t="shared" si="272"/>
        <v>0</v>
      </c>
      <c r="X606" s="367">
        <f t="shared" si="272"/>
        <v>0</v>
      </c>
      <c r="Y606" s="367">
        <f t="shared" si="272"/>
        <v>0</v>
      </c>
      <c r="Z606" s="367">
        <f t="shared" si="272"/>
        <v>0</v>
      </c>
      <c r="AA606" s="367">
        <f t="shared" si="272"/>
        <v>0</v>
      </c>
      <c r="AB606" s="367">
        <f t="shared" si="272"/>
        <v>0</v>
      </c>
      <c r="AC606" s="367">
        <f t="shared" si="272"/>
        <v>0</v>
      </c>
      <c r="AD606" s="367">
        <f t="shared" si="272"/>
        <v>0</v>
      </c>
      <c r="AE606" s="367">
        <f t="shared" si="272"/>
        <v>0</v>
      </c>
      <c r="AF606" s="365">
        <f t="shared" si="261"/>
        <v>0.99999999999999989</v>
      </c>
      <c r="AG606" s="333" t="str">
        <f t="shared" si="262"/>
        <v>ok</v>
      </c>
    </row>
    <row r="607" spans="1:33">
      <c r="A607" s="318" t="s">
        <v>1005</v>
      </c>
      <c r="D607" s="165" t="s">
        <v>687</v>
      </c>
      <c r="F607" s="360">
        <v>1</v>
      </c>
      <c r="H607" s="367">
        <f>H375/$F$375</f>
        <v>0.3435464772054469</v>
      </c>
      <c r="I607" s="367">
        <f t="shared" ref="I607:AE607" si="273">I375/$F$375</f>
        <v>0.32385361968615634</v>
      </c>
      <c r="J607" s="367">
        <f t="shared" si="273"/>
        <v>0.3325999031083966</v>
      </c>
      <c r="K607" s="367">
        <f t="shared" si="273"/>
        <v>0</v>
      </c>
      <c r="L607" s="367">
        <f t="shared" si="273"/>
        <v>0</v>
      </c>
      <c r="M607" s="367">
        <f t="shared" si="273"/>
        <v>0</v>
      </c>
      <c r="N607" s="367">
        <f t="shared" si="273"/>
        <v>0</v>
      </c>
      <c r="O607" s="367">
        <f t="shared" si="273"/>
        <v>0</v>
      </c>
      <c r="P607" s="367">
        <f t="shared" si="273"/>
        <v>0</v>
      </c>
      <c r="Q607" s="367">
        <f t="shared" si="273"/>
        <v>0</v>
      </c>
      <c r="R607" s="367">
        <f t="shared" si="273"/>
        <v>0</v>
      </c>
      <c r="S607" s="367">
        <f t="shared" si="273"/>
        <v>0</v>
      </c>
      <c r="T607" s="367">
        <f t="shared" si="273"/>
        <v>0</v>
      </c>
      <c r="U607" s="367">
        <f t="shared" si="273"/>
        <v>0</v>
      </c>
      <c r="V607" s="367">
        <f t="shared" si="273"/>
        <v>0</v>
      </c>
      <c r="W607" s="367">
        <f t="shared" si="273"/>
        <v>0</v>
      </c>
      <c r="X607" s="367">
        <f t="shared" si="273"/>
        <v>0</v>
      </c>
      <c r="Y607" s="367">
        <f t="shared" si="273"/>
        <v>0</v>
      </c>
      <c r="Z607" s="367">
        <f t="shared" si="273"/>
        <v>0</v>
      </c>
      <c r="AA607" s="367">
        <f t="shared" si="273"/>
        <v>0</v>
      </c>
      <c r="AB607" s="367">
        <f t="shared" si="273"/>
        <v>0</v>
      </c>
      <c r="AC607" s="367">
        <f t="shared" si="273"/>
        <v>0</v>
      </c>
      <c r="AD607" s="367">
        <f t="shared" si="273"/>
        <v>0</v>
      </c>
      <c r="AE607" s="367">
        <f t="shared" si="273"/>
        <v>0</v>
      </c>
      <c r="AF607" s="365">
        <f t="shared" si="261"/>
        <v>0.99999999999999978</v>
      </c>
      <c r="AG607" s="333" t="str">
        <f t="shared" si="262"/>
        <v>ok</v>
      </c>
    </row>
    <row r="608" spans="1:33">
      <c r="A608" s="318" t="s">
        <v>104</v>
      </c>
      <c r="D608" s="165" t="s">
        <v>699</v>
      </c>
      <c r="F608" s="360">
        <v>1</v>
      </c>
      <c r="H608" s="368">
        <f>H412/$F$412</f>
        <v>0</v>
      </c>
      <c r="I608" s="368">
        <f t="shared" ref="I608:AE608" si="274">I412/$F$412</f>
        <v>0</v>
      </c>
      <c r="J608" s="368">
        <f t="shared" si="274"/>
        <v>0</v>
      </c>
      <c r="K608" s="368">
        <f t="shared" si="274"/>
        <v>0</v>
      </c>
      <c r="L608" s="368">
        <f t="shared" si="274"/>
        <v>0</v>
      </c>
      <c r="M608" s="368">
        <f t="shared" si="274"/>
        <v>0</v>
      </c>
      <c r="N608" s="368">
        <f t="shared" si="274"/>
        <v>0.34354647720544701</v>
      </c>
      <c r="O608" s="368">
        <f t="shared" si="274"/>
        <v>0.32385361968615645</v>
      </c>
      <c r="P608" s="368">
        <f t="shared" si="274"/>
        <v>0.3325999031083966</v>
      </c>
      <c r="Q608" s="368">
        <f t="shared" si="274"/>
        <v>0</v>
      </c>
      <c r="R608" s="368">
        <f t="shared" si="274"/>
        <v>0</v>
      </c>
      <c r="S608" s="368">
        <f t="shared" si="274"/>
        <v>0</v>
      </c>
      <c r="T608" s="368">
        <f t="shared" si="274"/>
        <v>0</v>
      </c>
      <c r="U608" s="368">
        <f t="shared" si="274"/>
        <v>0</v>
      </c>
      <c r="V608" s="368">
        <f t="shared" si="274"/>
        <v>0</v>
      </c>
      <c r="W608" s="368">
        <f t="shared" si="274"/>
        <v>0</v>
      </c>
      <c r="X608" s="368">
        <f t="shared" si="274"/>
        <v>0</v>
      </c>
      <c r="Y608" s="368">
        <f t="shared" si="274"/>
        <v>0</v>
      </c>
      <c r="Z608" s="368">
        <f t="shared" si="274"/>
        <v>0</v>
      </c>
      <c r="AA608" s="368">
        <f t="shared" si="274"/>
        <v>0</v>
      </c>
      <c r="AB608" s="368">
        <f t="shared" si="274"/>
        <v>0</v>
      </c>
      <c r="AC608" s="368">
        <f t="shared" si="274"/>
        <v>0</v>
      </c>
      <c r="AD608" s="368">
        <f t="shared" si="274"/>
        <v>0</v>
      </c>
      <c r="AE608" s="368">
        <f t="shared" si="274"/>
        <v>0</v>
      </c>
      <c r="AF608" s="365">
        <f t="shared" si="261"/>
        <v>1</v>
      </c>
      <c r="AG608" s="333" t="str">
        <f t="shared" si="262"/>
        <v>ok</v>
      </c>
    </row>
    <row r="609" spans="1:33">
      <c r="A609" s="318" t="s">
        <v>107</v>
      </c>
      <c r="D609" s="165" t="s">
        <v>64</v>
      </c>
      <c r="F609" s="360">
        <v>1</v>
      </c>
      <c r="H609" s="367">
        <f>H427/$F$427</f>
        <v>0</v>
      </c>
      <c r="I609" s="367">
        <f t="shared" ref="I609:AE609" si="275">I427/$F$427</f>
        <v>0</v>
      </c>
      <c r="J609" s="367">
        <f t="shared" si="275"/>
        <v>0</v>
      </c>
      <c r="K609" s="367">
        <f t="shared" si="275"/>
        <v>0</v>
      </c>
      <c r="L609" s="367">
        <f t="shared" si="275"/>
        <v>0</v>
      </c>
      <c r="M609" s="367">
        <f t="shared" si="275"/>
        <v>0</v>
      </c>
      <c r="N609" s="367">
        <f t="shared" si="275"/>
        <v>0</v>
      </c>
      <c r="O609" s="367">
        <f t="shared" si="275"/>
        <v>0</v>
      </c>
      <c r="P609" s="367">
        <f t="shared" si="275"/>
        <v>0</v>
      </c>
      <c r="Q609" s="367">
        <f t="shared" si="275"/>
        <v>0</v>
      </c>
      <c r="R609" s="367">
        <f t="shared" si="275"/>
        <v>0.13784553042445705</v>
      </c>
      <c r="S609" s="367">
        <f t="shared" si="275"/>
        <v>0</v>
      </c>
      <c r="T609" s="367">
        <f t="shared" si="275"/>
        <v>0.13940961522230716</v>
      </c>
      <c r="U609" s="367">
        <f t="shared" si="275"/>
        <v>0.1875605126288061</v>
      </c>
      <c r="V609" s="367">
        <f t="shared" si="275"/>
        <v>4.6469871740769046E-2</v>
      </c>
      <c r="W609" s="367">
        <f t="shared" si="275"/>
        <v>6.2520170876268696E-2</v>
      </c>
      <c r="X609" s="367">
        <f t="shared" si="275"/>
        <v>1.310260713786005E-2</v>
      </c>
      <c r="Y609" s="367">
        <f t="shared" si="275"/>
        <v>1.0420924527956916E-2</v>
      </c>
      <c r="Z609" s="367">
        <f t="shared" si="275"/>
        <v>4.7713290485774757E-3</v>
      </c>
      <c r="AA609" s="367">
        <f t="shared" si="275"/>
        <v>0.38375766142036111</v>
      </c>
      <c r="AB609" s="367">
        <f t="shared" si="275"/>
        <v>1.4141776972636452E-2</v>
      </c>
      <c r="AC609" s="367">
        <f t="shared" si="275"/>
        <v>0</v>
      </c>
      <c r="AD609" s="367">
        <f t="shared" si="275"/>
        <v>0</v>
      </c>
      <c r="AE609" s="367">
        <f t="shared" si="275"/>
        <v>0</v>
      </c>
      <c r="AF609" s="365">
        <f t="shared" si="261"/>
        <v>1</v>
      </c>
      <c r="AG609" s="333" t="str">
        <f t="shared" si="262"/>
        <v>ok</v>
      </c>
    </row>
    <row r="610" spans="1:33">
      <c r="A610" s="318" t="s">
        <v>109</v>
      </c>
      <c r="D610" s="165" t="s">
        <v>73</v>
      </c>
      <c r="F610" s="360">
        <v>1</v>
      </c>
      <c r="H610" s="367">
        <f>H446/$F$446</f>
        <v>0</v>
      </c>
      <c r="I610" s="367">
        <f t="shared" ref="I610:AE610" si="276">I446/$F$446</f>
        <v>0</v>
      </c>
      <c r="J610" s="367">
        <f t="shared" si="276"/>
        <v>0</v>
      </c>
      <c r="K610" s="367">
        <f t="shared" si="276"/>
        <v>0</v>
      </c>
      <c r="L610" s="367">
        <f t="shared" si="276"/>
        <v>0</v>
      </c>
      <c r="M610" s="367">
        <f t="shared" si="276"/>
        <v>0</v>
      </c>
      <c r="N610" s="367">
        <f t="shared" si="276"/>
        <v>0</v>
      </c>
      <c r="O610" s="367">
        <f t="shared" si="276"/>
        <v>0</v>
      </c>
      <c r="P610" s="367">
        <f t="shared" si="276"/>
        <v>0</v>
      </c>
      <c r="Q610" s="367">
        <f t="shared" si="276"/>
        <v>0</v>
      </c>
      <c r="R610" s="367">
        <f t="shared" si="276"/>
        <v>7.4443336536564195E-2</v>
      </c>
      <c r="S610" s="367">
        <f t="shared" si="276"/>
        <v>0</v>
      </c>
      <c r="T610" s="367">
        <f t="shared" si="276"/>
        <v>0.27672826024955116</v>
      </c>
      <c r="U610" s="367">
        <f t="shared" si="276"/>
        <v>0.38306215697878737</v>
      </c>
      <c r="V610" s="367">
        <f t="shared" si="276"/>
        <v>9.2242753416517068E-2</v>
      </c>
      <c r="W610" s="367">
        <f t="shared" si="276"/>
        <v>0.12768738565959584</v>
      </c>
      <c r="X610" s="367">
        <f t="shared" si="276"/>
        <v>2.2422066980555804E-2</v>
      </c>
      <c r="Y610" s="367">
        <f t="shared" si="276"/>
        <v>1.783299043516377E-2</v>
      </c>
      <c r="Z610" s="367">
        <f t="shared" si="276"/>
        <v>5.4907995549362916E-4</v>
      </c>
      <c r="AA610" s="367">
        <f t="shared" si="276"/>
        <v>7.3990517164673807E-4</v>
      </c>
      <c r="AB610" s="367">
        <f t="shared" si="276"/>
        <v>4.2920646161243537E-3</v>
      </c>
      <c r="AC610" s="367">
        <f t="shared" si="276"/>
        <v>0</v>
      </c>
      <c r="AD610" s="367">
        <f t="shared" si="276"/>
        <v>0</v>
      </c>
      <c r="AE610" s="367">
        <f t="shared" si="276"/>
        <v>0</v>
      </c>
      <c r="AF610" s="365">
        <f t="shared" si="261"/>
        <v>0.99999999999999989</v>
      </c>
      <c r="AG610" s="333" t="str">
        <f t="shared" si="262"/>
        <v>ok</v>
      </c>
    </row>
    <row r="611" spans="1:33">
      <c r="A611" s="318" t="s">
        <v>910</v>
      </c>
      <c r="D611" s="165" t="s">
        <v>697</v>
      </c>
      <c r="F611" s="360">
        <v>1</v>
      </c>
      <c r="H611" s="367">
        <f>H478/$F$478</f>
        <v>0.13415828048067177</v>
      </c>
      <c r="I611" s="367">
        <f t="shared" ref="I611:AE611" si="277">I478/$F$478</f>
        <v>0.12646802580529357</v>
      </c>
      <c r="J611" s="367">
        <f t="shared" si="277"/>
        <v>0.12988353556126364</v>
      </c>
      <c r="K611" s="367">
        <f t="shared" si="277"/>
        <v>0.26303253636146923</v>
      </c>
      <c r="L611" s="367">
        <f t="shared" si="277"/>
        <v>0</v>
      </c>
      <c r="M611" s="367">
        <f t="shared" si="277"/>
        <v>0</v>
      </c>
      <c r="N611" s="367">
        <f t="shared" si="277"/>
        <v>2.0648859607464959E-2</v>
      </c>
      <c r="O611" s="367">
        <f t="shared" si="277"/>
        <v>1.9465220486803953E-2</v>
      </c>
      <c r="P611" s="367">
        <f t="shared" si="277"/>
        <v>1.9990915816128878E-2</v>
      </c>
      <c r="Q611" s="367">
        <f t="shared" si="277"/>
        <v>0</v>
      </c>
      <c r="R611" s="367">
        <f t="shared" si="277"/>
        <v>2.4442706413152215E-2</v>
      </c>
      <c r="S611" s="367">
        <f t="shared" si="277"/>
        <v>0</v>
      </c>
      <c r="T611" s="367">
        <f t="shared" si="277"/>
        <v>3.5870960948390353E-2</v>
      </c>
      <c r="U611" s="367">
        <f t="shared" si="277"/>
        <v>4.8855800849672747E-2</v>
      </c>
      <c r="V611" s="367">
        <f t="shared" si="277"/>
        <v>1.1956986982796784E-2</v>
      </c>
      <c r="W611" s="367">
        <f t="shared" si="277"/>
        <v>1.6285266949890919E-2</v>
      </c>
      <c r="X611" s="367">
        <f t="shared" si="277"/>
        <v>3.1728413639158948E-3</v>
      </c>
      <c r="Y611" s="367">
        <f t="shared" si="277"/>
        <v>2.5234627005650653E-3</v>
      </c>
      <c r="Z611" s="367">
        <f t="shared" si="277"/>
        <v>7.338062516812861E-4</v>
      </c>
      <c r="AA611" s="367">
        <f t="shared" si="277"/>
        <v>5.6616289459506565E-2</v>
      </c>
      <c r="AB611" s="367">
        <f t="shared" si="277"/>
        <v>2.3224374655073945E-3</v>
      </c>
      <c r="AC611" s="367">
        <f t="shared" si="277"/>
        <v>6.9861055704043398E-2</v>
      </c>
      <c r="AD611" s="367">
        <f t="shared" si="277"/>
        <v>1.3711010791781405E-2</v>
      </c>
      <c r="AE611" s="367">
        <f t="shared" si="277"/>
        <v>0</v>
      </c>
      <c r="AF611" s="365">
        <f t="shared" si="261"/>
        <v>1.0000000000000004</v>
      </c>
      <c r="AG611" s="333" t="str">
        <f t="shared" si="262"/>
        <v>ok</v>
      </c>
    </row>
    <row r="612" spans="1:33">
      <c r="A612" s="318" t="s">
        <v>1061</v>
      </c>
      <c r="D612" s="165" t="s">
        <v>1062</v>
      </c>
      <c r="F612" s="360">
        <v>1</v>
      </c>
      <c r="H612" s="367">
        <f>H52/$F$52</f>
        <v>0.22673272824351232</v>
      </c>
      <c r="I612" s="367">
        <f t="shared" ref="I612:AE612" si="278">I52/$F$52</f>
        <v>0.21373589780420799</v>
      </c>
      <c r="J612" s="367">
        <f t="shared" si="278"/>
        <v>0.21950824254907816</v>
      </c>
      <c r="K612" s="367">
        <f t="shared" si="278"/>
        <v>0</v>
      </c>
      <c r="L612" s="367">
        <f t="shared" si="278"/>
        <v>0</v>
      </c>
      <c r="M612" s="367">
        <f t="shared" si="278"/>
        <v>0</v>
      </c>
      <c r="N612" s="367">
        <f t="shared" si="278"/>
        <v>2.4334876249826658E-2</v>
      </c>
      <c r="O612" s="367">
        <f t="shared" si="278"/>
        <v>2.2939946356684945E-2</v>
      </c>
      <c r="P612" s="367">
        <f t="shared" si="278"/>
        <v>2.3559483271915323E-2</v>
      </c>
      <c r="Q612" s="367">
        <f t="shared" si="278"/>
        <v>0</v>
      </c>
      <c r="R612" s="367">
        <f t="shared" si="278"/>
        <v>2.9596601086477846E-2</v>
      </c>
      <c r="S612" s="367">
        <f t="shared" si="278"/>
        <v>0</v>
      </c>
      <c r="T612" s="367">
        <f t="shared" si="278"/>
        <v>4.5572706246606851E-2</v>
      </c>
      <c r="U612" s="367">
        <f t="shared" si="278"/>
        <v>7.4606491647583997E-2</v>
      </c>
      <c r="V612" s="367">
        <f t="shared" si="278"/>
        <v>1.5190902082202282E-2</v>
      </c>
      <c r="W612" s="367">
        <f t="shared" si="278"/>
        <v>2.4868830549194667E-2</v>
      </c>
      <c r="X612" s="367">
        <f t="shared" si="278"/>
        <v>2.127719219630321E-2</v>
      </c>
      <c r="Y612" s="367">
        <f t="shared" si="278"/>
        <v>1.6922434727041868E-2</v>
      </c>
      <c r="Z612" s="367">
        <f t="shared" si="278"/>
        <v>7.7481133434157187E-3</v>
      </c>
      <c r="AA612" s="367">
        <f t="shared" si="278"/>
        <v>1.0440863987002539E-2</v>
      </c>
      <c r="AB612" s="367">
        <f t="shared" si="278"/>
        <v>2.2964689658945551E-2</v>
      </c>
      <c r="AC612" s="367">
        <f t="shared" si="278"/>
        <v>0</v>
      </c>
      <c r="AD612" s="367">
        <f t="shared" si="278"/>
        <v>0</v>
      </c>
      <c r="AE612" s="367">
        <f t="shared" si="278"/>
        <v>0</v>
      </c>
      <c r="AF612" s="365">
        <f t="shared" si="261"/>
        <v>1</v>
      </c>
      <c r="AG612" s="333" t="str">
        <f t="shared" si="262"/>
        <v>ok</v>
      </c>
    </row>
    <row r="613" spans="1:33">
      <c r="A613" s="318" t="s">
        <v>216</v>
      </c>
      <c r="D613" s="165" t="s">
        <v>217</v>
      </c>
      <c r="F613" s="360">
        <v>1</v>
      </c>
      <c r="H613" s="367">
        <f>H29/$F$29</f>
        <v>0.34354647720544695</v>
      </c>
      <c r="I613" s="367">
        <f t="shared" ref="I613:AE613" si="279">I29/$F$29</f>
        <v>0.32385361968615639</v>
      </c>
      <c r="J613" s="367">
        <f t="shared" si="279"/>
        <v>0.33259990310839654</v>
      </c>
      <c r="K613" s="367">
        <f t="shared" si="279"/>
        <v>0</v>
      </c>
      <c r="L613" s="367">
        <f t="shared" si="279"/>
        <v>0</v>
      </c>
      <c r="M613" s="367">
        <f t="shared" si="279"/>
        <v>0</v>
      </c>
      <c r="N613" s="367">
        <f t="shared" si="279"/>
        <v>0</v>
      </c>
      <c r="O613" s="367">
        <f t="shared" si="279"/>
        <v>0</v>
      </c>
      <c r="P613" s="367">
        <f t="shared" si="279"/>
        <v>0</v>
      </c>
      <c r="Q613" s="367">
        <f t="shared" si="279"/>
        <v>0</v>
      </c>
      <c r="R613" s="367">
        <f t="shared" si="279"/>
        <v>0</v>
      </c>
      <c r="S613" s="367">
        <f t="shared" si="279"/>
        <v>0</v>
      </c>
      <c r="T613" s="367">
        <f t="shared" si="279"/>
        <v>0</v>
      </c>
      <c r="U613" s="367">
        <f t="shared" si="279"/>
        <v>0</v>
      </c>
      <c r="V613" s="367">
        <f t="shared" si="279"/>
        <v>0</v>
      </c>
      <c r="W613" s="367">
        <f t="shared" si="279"/>
        <v>0</v>
      </c>
      <c r="X613" s="367">
        <f t="shared" si="279"/>
        <v>0</v>
      </c>
      <c r="Y613" s="367">
        <f t="shared" si="279"/>
        <v>0</v>
      </c>
      <c r="Z613" s="367">
        <f t="shared" si="279"/>
        <v>0</v>
      </c>
      <c r="AA613" s="367">
        <f t="shared" si="279"/>
        <v>0</v>
      </c>
      <c r="AB613" s="367">
        <f t="shared" si="279"/>
        <v>0</v>
      </c>
      <c r="AC613" s="367">
        <f t="shared" si="279"/>
        <v>0</v>
      </c>
      <c r="AD613" s="367">
        <f t="shared" si="279"/>
        <v>0</v>
      </c>
      <c r="AE613" s="367">
        <f t="shared" si="279"/>
        <v>0</v>
      </c>
      <c r="AF613" s="365">
        <f t="shared" si="261"/>
        <v>1</v>
      </c>
      <c r="AG613" s="333" t="str">
        <f t="shared" si="262"/>
        <v>ok</v>
      </c>
    </row>
    <row r="614" spans="1:33">
      <c r="A614" s="318" t="s">
        <v>1040</v>
      </c>
      <c r="D614" s="165" t="s">
        <v>1041</v>
      </c>
      <c r="F614" s="360">
        <v>1</v>
      </c>
      <c r="H614" s="367">
        <f>H15/$F$15</f>
        <v>0.22673272824351232</v>
      </c>
      <c r="I614" s="367">
        <f t="shared" ref="I614:AE614" si="280">I15/$F$15</f>
        <v>0.21373589780420799</v>
      </c>
      <c r="J614" s="367">
        <f t="shared" si="280"/>
        <v>0.21950824254907816</v>
      </c>
      <c r="K614" s="367">
        <f t="shared" si="280"/>
        <v>0</v>
      </c>
      <c r="L614" s="367">
        <f t="shared" si="280"/>
        <v>0</v>
      </c>
      <c r="M614" s="367">
        <f t="shared" si="280"/>
        <v>0</v>
      </c>
      <c r="N614" s="367">
        <f t="shared" si="280"/>
        <v>2.4334876249826658E-2</v>
      </c>
      <c r="O614" s="367">
        <f t="shared" si="280"/>
        <v>2.2939946356684945E-2</v>
      </c>
      <c r="P614" s="367">
        <f t="shared" si="280"/>
        <v>2.3559483271915323E-2</v>
      </c>
      <c r="Q614" s="367">
        <f t="shared" si="280"/>
        <v>0</v>
      </c>
      <c r="R614" s="367">
        <f t="shared" si="280"/>
        <v>2.9596601086477842E-2</v>
      </c>
      <c r="S614" s="367">
        <f t="shared" si="280"/>
        <v>0</v>
      </c>
      <c r="T614" s="367">
        <f t="shared" si="280"/>
        <v>4.5572706246606851E-2</v>
      </c>
      <c r="U614" s="367">
        <f t="shared" si="280"/>
        <v>7.4606491647583997E-2</v>
      </c>
      <c r="V614" s="367">
        <f t="shared" si="280"/>
        <v>1.5190902082202284E-2</v>
      </c>
      <c r="W614" s="367">
        <f t="shared" si="280"/>
        <v>2.4868830549194667E-2</v>
      </c>
      <c r="X614" s="367">
        <f t="shared" si="280"/>
        <v>2.127719219630321E-2</v>
      </c>
      <c r="Y614" s="367">
        <f t="shared" si="280"/>
        <v>1.6922434727041868E-2</v>
      </c>
      <c r="Z614" s="367">
        <f t="shared" si="280"/>
        <v>7.7481133434157195E-3</v>
      </c>
      <c r="AA614" s="367">
        <f t="shared" si="280"/>
        <v>1.0440863987002539E-2</v>
      </c>
      <c r="AB614" s="367">
        <f t="shared" si="280"/>
        <v>2.2964689658945551E-2</v>
      </c>
      <c r="AC614" s="367">
        <f t="shared" si="280"/>
        <v>0</v>
      </c>
      <c r="AD614" s="367">
        <f t="shared" si="280"/>
        <v>0</v>
      </c>
      <c r="AE614" s="367">
        <f t="shared" si="280"/>
        <v>0</v>
      </c>
      <c r="AF614" s="365">
        <f t="shared" si="261"/>
        <v>1</v>
      </c>
      <c r="AG614" s="333" t="str">
        <f t="shared" si="262"/>
        <v>ok</v>
      </c>
    </row>
  </sheetData>
  <autoFilter ref="C2:D614"/>
  <mergeCells count="5">
    <mergeCell ref="V3:W3"/>
    <mergeCell ref="X3:Y3"/>
    <mergeCell ref="H3:J3"/>
    <mergeCell ref="N3:P3"/>
    <mergeCell ref="S3:U3"/>
  </mergeCells>
  <phoneticPr fontId="0" type="noConversion"/>
  <pageMargins left="0.5" right="0.25" top="1.44" bottom="0.5" header="0.81" footer="0.2"/>
  <pageSetup scale="52" fitToWidth="2" pageOrder="overThenDown" orientation="landscape" horizontalDpi="300" verticalDpi="300" r:id="rId1"/>
  <headerFooter alignWithMargins="0">
    <oddHeader>&amp;C&amp;"Times New Roman,Bold"&amp;14LOUISVILLE GAS AND ELECTRIC COMPANY
Electric Cost of Service Study
Functional Assignment and Classification
Twelve Months Ended  March 31, 2012</oddHeader>
    <oddFooter>&amp;R&amp;"times new romad,Bold"&amp;12Conroy Exhibit C2
Page &amp;P of  &amp;N</oddFooter>
  </headerFooter>
  <rowBreaks count="15" manualBreakCount="15">
    <brk id="49" min="5" max="30" man="1"/>
    <brk id="73" min="5" max="30" man="1"/>
    <brk id="123" max="16383" man="1"/>
    <brk id="178" max="16383" man="1"/>
    <brk id="223" max="16383" man="1"/>
    <brk id="261" min="5" max="30" man="1"/>
    <brk id="289" min="5" max="30" man="1"/>
    <brk id="320" max="16383" man="1"/>
    <brk id="364" min="5" max="30" man="1"/>
    <brk id="397" min="5" max="30" man="1"/>
    <brk id="431" min="5" max="30" man="1"/>
    <brk id="482" max="16383" man="1"/>
    <brk id="509" max="16383" man="1"/>
    <brk id="556" min="5" max="30" man="1"/>
    <brk id="594" min="5" max="30" man="1"/>
  </rowBreaks>
  <colBreaks count="2" manualBreakCount="2">
    <brk id="16" min="5" max="668" man="1"/>
    <brk id="23" min="5" max="6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14.44140625" hidden="1" customWidth="1"/>
    <col min="4" max="4" width="22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1508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134" t="s">
        <v>1304</v>
      </c>
      <c r="K9" s="133"/>
      <c r="L9" s="227"/>
    </row>
    <row r="10" spans="1:14">
      <c r="A10" s="136"/>
      <c r="B10" s="137"/>
      <c r="C10" s="138"/>
      <c r="D10" s="222"/>
      <c r="E10" s="133"/>
      <c r="F10" s="133"/>
      <c r="G10" s="133"/>
      <c r="H10" s="133"/>
      <c r="I10" s="133"/>
      <c r="J10" s="133"/>
      <c r="K10" s="138"/>
      <c r="L10" s="228"/>
    </row>
    <row r="11" spans="1:14">
      <c r="A11" s="136"/>
      <c r="B11" s="137"/>
      <c r="C11" s="138"/>
      <c r="D11" s="222"/>
      <c r="E11" s="138"/>
      <c r="F11" s="138"/>
      <c r="G11" s="138"/>
      <c r="H11" s="138"/>
      <c r="I11" s="138"/>
      <c r="J11" s="138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31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141" t="s">
        <v>1309</v>
      </c>
      <c r="K12" s="142" t="s">
        <v>1026</v>
      </c>
      <c r="L12" s="142" t="s">
        <v>1310</v>
      </c>
    </row>
    <row r="13" spans="1:14">
      <c r="A13" s="143"/>
      <c r="B13" s="144"/>
      <c r="C13" s="145"/>
      <c r="D13" s="223"/>
      <c r="E13" s="275"/>
      <c r="F13" s="275"/>
      <c r="G13" s="275"/>
      <c r="H13" s="275"/>
      <c r="I13" s="275"/>
      <c r="J13" s="275"/>
      <c r="K13" s="227"/>
      <c r="L13" s="139"/>
    </row>
    <row r="14" spans="1:14">
      <c r="A14" s="148" t="s">
        <v>1311</v>
      </c>
      <c r="B14" s="149" t="s">
        <v>1069</v>
      </c>
      <c r="C14" s="150"/>
      <c r="D14" s="243">
        <f>'Allocation ProForma'!L170</f>
        <v>73518291.243939444</v>
      </c>
      <c r="E14" s="244">
        <f>'Allocation ProForma'!L119+'Allocation ProForma'!L120+'Allocation ProForma'!L121</f>
        <v>55868829.451082632</v>
      </c>
      <c r="F14" s="244">
        <f>'Allocation ProForma'!L122</f>
        <v>2874938.00763204</v>
      </c>
      <c r="G14" s="244">
        <f>'Allocation ProForma'!L131</f>
        <v>5731013.5076317657</v>
      </c>
      <c r="H14" s="244">
        <f>'Allocation ProForma'!L141+'Allocation ProForma'!L143+'Allocation ProForma'!L148+'Allocation ProForma'!L137</f>
        <v>8822531.0074752923</v>
      </c>
      <c r="I14" s="244">
        <f>'Allocation ProForma'!L142+'Allocation ProForma'!L144+'Allocation ProForma'!L149+'Allocation ProForma'!L153+'Allocation ProForma'!L156+'Allocation ProForma'!L159</f>
        <v>202735.6476496692</v>
      </c>
      <c r="J14" s="244">
        <f>'Allocation ProForma'!L162+'Allocation ProForma'!L165</f>
        <v>18243.622468051013</v>
      </c>
      <c r="K14" s="293">
        <f>SUM(E14:J14)</f>
        <v>73518291.243939459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245">
        <f>'Allocation ProForma'!L818+'Allocation ProForma'!L819+'Allocation ProForma'!L820</f>
        <v>-1171436.5243947166</v>
      </c>
      <c r="E15" s="185">
        <f t="shared" ref="E15:J15" si="0">(E14/$D$14)*$D$15</f>
        <v>-890210.94324703305</v>
      </c>
      <c r="F15" s="185">
        <f t="shared" si="0"/>
        <v>-45809.10859769713</v>
      </c>
      <c r="G15" s="185">
        <f t="shared" si="0"/>
        <v>-91317.663006657065</v>
      </c>
      <c r="H15" s="185">
        <f t="shared" si="0"/>
        <v>-140577.73766080904</v>
      </c>
      <c r="I15" s="185">
        <f t="shared" si="0"/>
        <v>-3230.3789769218592</v>
      </c>
      <c r="J15" s="185">
        <f t="shared" si="0"/>
        <v>-290.69290559857512</v>
      </c>
      <c r="K15" s="293">
        <f>SUM(E15:J15)</f>
        <v>-1171436.5243947166</v>
      </c>
      <c r="L15" s="151" t="str">
        <f>IF(ABS(K15-D15)&lt;0.01,"ok","err")</f>
        <v>ok</v>
      </c>
    </row>
    <row r="16" spans="1:14">
      <c r="A16" s="152" t="s">
        <v>1314</v>
      </c>
      <c r="B16" s="149" t="s">
        <v>1315</v>
      </c>
      <c r="C16" s="150"/>
      <c r="D16" s="249">
        <f>D14+D15</f>
        <v>72346854.719544724</v>
      </c>
      <c r="E16" s="183">
        <f t="shared" ref="E16:K16" si="1">E14+E15</f>
        <v>54978618.507835597</v>
      </c>
      <c r="F16" s="183">
        <f t="shared" si="1"/>
        <v>2829128.8990343427</v>
      </c>
      <c r="G16" s="183">
        <f t="shared" si="1"/>
        <v>5639695.8446251089</v>
      </c>
      <c r="H16" s="183">
        <f t="shared" si="1"/>
        <v>8681953.2698144838</v>
      </c>
      <c r="I16" s="183">
        <f t="shared" si="1"/>
        <v>199505.26867274733</v>
      </c>
      <c r="J16" s="183">
        <f t="shared" si="1"/>
        <v>17952.929562452438</v>
      </c>
      <c r="K16" s="293">
        <f t="shared" si="1"/>
        <v>72346854.719544739</v>
      </c>
      <c r="L16" s="151" t="str">
        <f>IF(ABS(K16-D16)&lt;0.01,"ok","err")</f>
        <v>ok</v>
      </c>
    </row>
    <row r="17" spans="1:12">
      <c r="A17" s="152"/>
      <c r="B17" s="153"/>
      <c r="C17" s="154"/>
      <c r="D17" s="246"/>
      <c r="E17" s="186"/>
      <c r="F17" s="186"/>
      <c r="G17" s="186"/>
      <c r="H17" s="186"/>
      <c r="I17" s="186"/>
      <c r="J17" s="186"/>
      <c r="K17" s="293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ProForma'!L993</f>
        <v>9.3843650439766793E-2</v>
      </c>
      <c r="E18" s="248">
        <f t="shared" ref="E18:J18" si="2">D18</f>
        <v>9.3843650439766793E-2</v>
      </c>
      <c r="F18" s="248">
        <f t="shared" si="2"/>
        <v>9.3843650439766793E-2</v>
      </c>
      <c r="G18" s="248">
        <f t="shared" si="2"/>
        <v>9.3843650439766793E-2</v>
      </c>
      <c r="H18" s="248">
        <f t="shared" si="2"/>
        <v>9.3843650439766793E-2</v>
      </c>
      <c r="I18" s="248">
        <f t="shared" si="2"/>
        <v>9.3843650439766793E-2</v>
      </c>
      <c r="J18" s="248">
        <f t="shared" si="2"/>
        <v>9.3843650439766793E-2</v>
      </c>
      <c r="K18" s="293"/>
      <c r="L18" s="151"/>
    </row>
    <row r="19" spans="1:12">
      <c r="A19" s="156"/>
      <c r="B19" s="149"/>
      <c r="C19" s="154"/>
      <c r="D19" s="246"/>
      <c r="E19" s="186"/>
      <c r="F19" s="186"/>
      <c r="G19" s="186"/>
      <c r="H19" s="186"/>
      <c r="I19" s="186"/>
      <c r="J19" s="186"/>
      <c r="K19" s="293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6789292.9447175479</v>
      </c>
      <c r="E20" s="183">
        <f t="shared" ref="E20:J20" si="3">E18*E16</f>
        <v>5159394.2569106165</v>
      </c>
      <c r="F20" s="183">
        <f t="shared" si="3"/>
        <v>265495.78345002112</v>
      </c>
      <c r="G20" s="183">
        <f t="shared" si="3"/>
        <v>529249.6454296041</v>
      </c>
      <c r="H20" s="183">
        <f t="shared" si="3"/>
        <v>814746.18778686074</v>
      </c>
      <c r="I20" s="183">
        <f t="shared" si="3"/>
        <v>18722.302694217058</v>
      </c>
      <c r="J20" s="183">
        <f t="shared" si="3"/>
        <v>1684.768446228542</v>
      </c>
      <c r="K20" s="293">
        <f>SUM(E20:J20)</f>
        <v>6789292.9447175479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186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ProForma'!L715</f>
        <v>1359047.7518076538</v>
      </c>
      <c r="E22" s="183">
        <f t="shared" ref="E22:J22" si="4">(E14/$D$14)*$D$22</f>
        <v>1032782.5331206719</v>
      </c>
      <c r="F22" s="183">
        <f t="shared" si="4"/>
        <v>53145.658988378513</v>
      </c>
      <c r="G22" s="183">
        <f t="shared" si="4"/>
        <v>105942.62858045301</v>
      </c>
      <c r="H22" s="183">
        <f t="shared" si="4"/>
        <v>163091.94253683146</v>
      </c>
      <c r="I22" s="183">
        <f t="shared" si="4"/>
        <v>3747.7398003624708</v>
      </c>
      <c r="J22" s="183">
        <f t="shared" si="4"/>
        <v>337.24878095662007</v>
      </c>
      <c r="K22" s="293">
        <f>SUM(E22:J22)</f>
        <v>1359047.751807654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186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5430245.1929098945</v>
      </c>
      <c r="E24" s="183">
        <f t="shared" ref="E24:J24" si="5">E20-E22</f>
        <v>4126611.7237899448</v>
      </c>
      <c r="F24" s="183">
        <f t="shared" si="5"/>
        <v>212350.12446164261</v>
      </c>
      <c r="G24" s="183">
        <f t="shared" si="5"/>
        <v>423307.01684915111</v>
      </c>
      <c r="H24" s="183">
        <f t="shared" si="5"/>
        <v>651654.24525002926</v>
      </c>
      <c r="I24" s="183">
        <f t="shared" si="5"/>
        <v>14974.562893854587</v>
      </c>
      <c r="J24" s="183">
        <f t="shared" si="5"/>
        <v>1347.5196652719219</v>
      </c>
      <c r="K24" s="293">
        <f>SUM(E24:J24)</f>
        <v>5430245.1929098945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186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ProForma'!L766+'Allocation ProForma'!L984</f>
        <v>2237361.7668819567</v>
      </c>
      <c r="E26" s="183">
        <f t="shared" ref="E26:J26" si="6">$D$26*(E24/$K$24)</f>
        <v>1700240.5912774166</v>
      </c>
      <c r="F26" s="183">
        <f t="shared" si="6"/>
        <v>87492.191012559255</v>
      </c>
      <c r="G26" s="183">
        <f t="shared" si="6"/>
        <v>174410.34456192414</v>
      </c>
      <c r="H26" s="183">
        <f t="shared" si="6"/>
        <v>268493.63919190638</v>
      </c>
      <c r="I26" s="183">
        <f t="shared" si="6"/>
        <v>6169.797735509992</v>
      </c>
      <c r="J26" s="183">
        <f t="shared" si="6"/>
        <v>555.20310264026728</v>
      </c>
      <c r="K26" s="293">
        <f>SUM(E26:J26)</f>
        <v>2237361.7668819567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186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ProForma'!L685</f>
        <v>33505511.516874291</v>
      </c>
      <c r="E28" s="183">
        <f>'Allocation ProForma'!L174+'Allocation ProForma'!L175+'Allocation ProForma'!L176</f>
        <v>5717210.6840848206</v>
      </c>
      <c r="F28" s="183">
        <f>'Allocation ProForma'!L177</f>
        <v>25489822.917815801</v>
      </c>
      <c r="G28" s="183">
        <f>'Allocation ProForma'!L186</f>
        <v>1033007.5200806169</v>
      </c>
      <c r="H28" s="183">
        <f>'Allocation ProForma'!L192+'Allocation ProForma'!L196+'Allocation ProForma'!L198+'Allocation ProForma'!L203</f>
        <v>962761.43476305658</v>
      </c>
      <c r="I28" s="183">
        <f>'Allocation ProForma'!L197+'Allocation ProForma'!L199+'Allocation ProForma'!L204+'Allocation ProForma'!L208+'Allocation ProForma'!L211</f>
        <v>47318.429118693603</v>
      </c>
      <c r="J28" s="183">
        <f>'Allocation ProForma'!L217+'Allocation ProForma'!L220</f>
        <v>255390.53101129894</v>
      </c>
      <c r="K28" s="293">
        <f t="shared" ref="K28:K33" si="7">SUM(E28:J28)</f>
        <v>33505511.516874287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ProForma'!L686</f>
        <v>4948009.9062614674</v>
      </c>
      <c r="E29" s="183">
        <f>'Allocation ProForma'!L290</f>
        <v>4230533.6416559163</v>
      </c>
      <c r="F29" s="183">
        <v>0</v>
      </c>
      <c r="G29" s="183">
        <f>'Allocation ProForma'!L296</f>
        <v>295841.09877954132</v>
      </c>
      <c r="H29" s="183">
        <f>'Allocation ProForma'!L302+'Allocation ProForma'!L306+'Allocation ProForma'!L308+'Allocation ProForma'!L313</f>
        <v>412124.36235101603</v>
      </c>
      <c r="I29" s="183">
        <f>'Allocation ProForma'!L307+'Allocation ProForma'!L309+'Allocation ProForma'!L314+'Allocation ProForma'!L318+'Allocation ProForma'!L321</f>
        <v>9510.8034749938215</v>
      </c>
      <c r="J29" s="183">
        <v>0</v>
      </c>
      <c r="K29" s="293">
        <f t="shared" si="7"/>
        <v>4948009.9062614674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ProForma'!L687+'Allocation ProForma'!L688+'Allocation ProForma'!L691+'Allocation ProForma'!L692+'Allocation ProForma'!L693</f>
        <v>645796.06550656294</v>
      </c>
      <c r="E30" s="183">
        <f>'Allocation ProForma'!L401+'Allocation ProForma'!L456+'Allocation ProForma'!L345+'Allocation ProForma'!L511+'Allocation ProForma'!L566</f>
        <v>498054.4967119483</v>
      </c>
      <c r="F30" s="183">
        <f>'Allocation ProForma'!L342+'Allocation ProForma'!L343+'Allocation ProForma'!L344+'Allocation ProForma'!L398+'Allocation ProForma'!L399+'Allocation ProForma'!L400+'Allocation ProForma'!L453+'Allocation ProForma'!L454+'Allocation ProForma'!L455+'Allocation ProForma'!L508+'Allocation ProForma'!L509+'Allocation ProForma'!L510+'Allocation ProForma'!L563+'Allocation ProForma'!L564+'Allocation ProForma'!L565</f>
        <v>0</v>
      </c>
      <c r="G30" s="183">
        <f>'Allocation ProForma'!L351+'Allocation ProForma'!L407+'Allocation ProForma'!L462+'Allocation ProForma'!L517+'Allocation ProForma'!L572</f>
        <v>64440.287840601566</v>
      </c>
      <c r="H30" s="183">
        <f>'Allocation ProForma'!L357+'Allocation ProForma'!L361+'Allocation ProForma'!L363+'Allocation ProForma'!L368+'Allocation ProForma'!L413+'Allocation ProForma'!L417+'Allocation ProForma'!L419+'Allocation ProForma'!L424+'Allocation ProForma'!L468+'Allocation ProForma'!L472+'Allocation ProForma'!L474+'Allocation ProForma'!L479+'Allocation ProForma'!L523+'Allocation ProForma'!L527+'Allocation ProForma'!L529+'Allocation ProForma'!L534+'Allocation ProForma'!L578+'Allocation ProForma'!L582+'Allocation ProForma'!L584+'Allocation ProForma'!L589</f>
        <v>81422.258100649269</v>
      </c>
      <c r="I30" s="183">
        <f>'Allocation ProForma'!L362+'Allocation ProForma'!L364+'Allocation ProForma'!L369+'Allocation ProForma'!L373+'Allocation ProForma'!L377+'Allocation ProForma'!L418+'Allocation ProForma'!L420+'Allocation ProForma'!L425+'Allocation ProForma'!L429+'Allocation ProForma'!L432+'Allocation ProForma'!L473+'Allocation ProForma'!L475+'Allocation ProForma'!L480+'Allocation ProForma'!L484+'Allocation ProForma'!L487+'Allocation ProForma'!L528+'Allocation ProForma'!L530+'Allocation ProForma'!L535+'Allocation ProForma'!L539+'Allocation ProForma'!L542+'Allocation ProForma'!L583+'Allocation ProForma'!L585+'Allocation ProForma'!L590+'Allocation ProForma'!L594+'Allocation ProForma'!L597</f>
        <v>1879.0228533636937</v>
      </c>
      <c r="J30" s="183">
        <v>0</v>
      </c>
      <c r="K30" s="293">
        <f t="shared" si="7"/>
        <v>645796.06550656271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ProForma'!L689+'Allocation ProForma'!L690</f>
        <v>240363.54170337121</v>
      </c>
      <c r="E31" s="183">
        <f t="shared" ref="E31:J31" si="8">$D$31*(E14/$K$14)</f>
        <v>182659.70944735268</v>
      </c>
      <c r="F31" s="183">
        <f t="shared" si="8"/>
        <v>9399.4333926937743</v>
      </c>
      <c r="G31" s="183">
        <f t="shared" si="8"/>
        <v>18737.196974199112</v>
      </c>
      <c r="H31" s="183">
        <f t="shared" si="8"/>
        <v>28844.723726075281</v>
      </c>
      <c r="I31" s="183">
        <f t="shared" si="8"/>
        <v>662.83175892799818</v>
      </c>
      <c r="J31" s="183">
        <f t="shared" si="8"/>
        <v>59.646404122340499</v>
      </c>
      <c r="K31" s="293">
        <f t="shared" si="7"/>
        <v>240363.54170337121</v>
      </c>
      <c r="L31" s="151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249">
        <f>'Allocation ProForma'!L696</f>
        <v>50831.982793697265</v>
      </c>
      <c r="E32" s="183">
        <f>D32</f>
        <v>50831.982793697265</v>
      </c>
      <c r="F32" s="183"/>
      <c r="G32" s="183"/>
      <c r="H32" s="183"/>
      <c r="I32" s="183"/>
      <c r="J32" s="183"/>
      <c r="K32" s="293">
        <f t="shared" si="7"/>
        <v>50831.982793697265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245">
        <f>'Allocation ProForma'!L772</f>
        <v>-32158.645568836939</v>
      </c>
      <c r="E33" s="183">
        <f>D33</f>
        <v>-32158.645568836939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-32158.645568836939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245">
        <f>'Allocation ProForma'!L771+'Allocation ProForma'!L774+'Allocation ProForma'!L775</f>
        <v>-2140161.6389082759</v>
      </c>
      <c r="E34" s="183">
        <v>0</v>
      </c>
      <c r="F34" s="183">
        <f>D34</f>
        <v>-2140161.6389082759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-2140161.6389082759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245">
        <f>'Allocation ProForma'!L782+'Allocation ProForma'!L787</f>
        <v>-120021.55580395539</v>
      </c>
      <c r="E35" s="183">
        <v>0</v>
      </c>
      <c r="F35" s="183">
        <v>0</v>
      </c>
      <c r="G35" s="183">
        <f>D35</f>
        <v>-120021.55580395539</v>
      </c>
      <c r="H35" s="183">
        <v>0</v>
      </c>
      <c r="I35" s="183">
        <v>0</v>
      </c>
      <c r="J35" s="183">
        <v>0</v>
      </c>
      <c r="K35" s="293">
        <f t="shared" si="10"/>
        <v>-120021.55580395539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245">
        <f>'Allocation ProForma'!L776+'Allocation ProForma'!L784</f>
        <v>-246981.81807315105</v>
      </c>
      <c r="E36" s="183">
        <v>0</v>
      </c>
      <c r="F36" s="183">
        <v>0</v>
      </c>
      <c r="G36" s="183">
        <v>0</v>
      </c>
      <c r="H36" s="183">
        <f>(H14/($I$14+$H$14)*$D$36)</f>
        <v>-241433.83586297225</v>
      </c>
      <c r="I36" s="183">
        <f>(I14/($I$14+$H$14)*$D$36)</f>
        <v>-5547.9822101787822</v>
      </c>
      <c r="J36" s="183">
        <v>0</v>
      </c>
      <c r="K36" s="293">
        <f t="shared" si="10"/>
        <v>-246981.81807315102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245">
        <f>'Allocation ProForma'!L777+'Allocation ProForma'!L778+'Allocation ProForma'!L779+'Allocation ProForma'!L780+'Allocation ProForma'!L781+'Allocation ProForma'!L785+'Allocation ProForma'!L786+'Allocation ProForma'!L792+'Allocation ProForma'!L793+'Allocation ProForma'!L796+'Allocation ProForma'!L797+'Allocation ProForma'!L798+'Allocation ProForma'!L799+'Allocation ProForma'!L800+'Allocation ProForma'!L801+'Allocation ProForma'!L802+'Allocation ProForma'!L804+'Allocation ProForma'!L805</f>
        <v>1076860.9566857407</v>
      </c>
      <c r="E37" s="183">
        <f t="shared" ref="E37:J37" si="11">(E14/($D$14)*$D$37)</f>
        <v>818340.03638604598</v>
      </c>
      <c r="F37" s="183">
        <f t="shared" si="11"/>
        <v>42110.72429633014</v>
      </c>
      <c r="G37" s="183">
        <f t="shared" si="11"/>
        <v>83945.159553963371</v>
      </c>
      <c r="H37" s="183">
        <f t="shared" si="11"/>
        <v>129228.2372229734</v>
      </c>
      <c r="I37" s="183">
        <f t="shared" si="11"/>
        <v>2969.5753232067032</v>
      </c>
      <c r="J37" s="183">
        <f t="shared" si="11"/>
        <v>267.22390322120572</v>
      </c>
      <c r="K37" s="293">
        <f t="shared" si="10"/>
        <v>1076860.9566857407</v>
      </c>
      <c r="L37" s="151" t="str">
        <f t="shared" si="9"/>
        <v>ok</v>
      </c>
    </row>
    <row r="38" spans="1:12">
      <c r="A38" s="152"/>
      <c r="B38" s="149"/>
      <c r="D38" s="249"/>
      <c r="E38" s="183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ProForma'!L806</f>
        <v>-1462462.7016684781</v>
      </c>
      <c r="E39" s="183">
        <f>SUM(E33:E37)</f>
        <v>786181.39081720903</v>
      </c>
      <c r="F39" s="183">
        <f>SUM(F34:F37)</f>
        <v>-2098050.9146119459</v>
      </c>
      <c r="G39" s="183">
        <f>SUM(G33:G37)</f>
        <v>-36076.396249992016</v>
      </c>
      <c r="H39" s="183">
        <f>SUM(H33:H37)</f>
        <v>-112205.59863999885</v>
      </c>
      <c r="I39" s="183">
        <f>SUM(I33:I37)</f>
        <v>-2578.4068869720791</v>
      </c>
      <c r="J39" s="183">
        <f>SUM(J33:J37)</f>
        <v>267.22390322120572</v>
      </c>
      <c r="K39" s="293">
        <f t="shared" si="10"/>
        <v>-1462462.7016684783</v>
      </c>
      <c r="L39" s="151" t="str">
        <f t="shared" si="9"/>
        <v>ok</v>
      </c>
    </row>
    <row r="40" spans="1:12">
      <c r="A40" s="156"/>
      <c r="B40" s="149"/>
      <c r="C40" s="154"/>
      <c r="D40" s="182"/>
      <c r="E40" s="186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ProForma'!L975</f>
        <v>46954705.023070417</v>
      </c>
      <c r="D41" s="249">
        <f>SUM(D28:D32)+D22+D26+D39+D24</f>
        <v>46954705.023070417</v>
      </c>
      <c r="E41" s="183">
        <f t="shared" ref="E41:J41" si="12">SUM(E28:E32)+E22+E26+E39+E24</f>
        <v>18325106.753698975</v>
      </c>
      <c r="F41" s="183">
        <f t="shared" si="12"/>
        <v>23754159.411059126</v>
      </c>
      <c r="G41" s="183">
        <f t="shared" si="12"/>
        <v>2079609.6974164951</v>
      </c>
      <c r="H41" s="183">
        <f t="shared" si="12"/>
        <v>2456187.0072795656</v>
      </c>
      <c r="I41" s="183">
        <f t="shared" si="12"/>
        <v>81684.780748734076</v>
      </c>
      <c r="J41" s="183">
        <f t="shared" si="12"/>
        <v>257957.37286751127</v>
      </c>
      <c r="K41" s="293">
        <f>SUM(E41:J41)</f>
        <v>46954705.023070402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186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ProForma'!L673+'Allocation ProForma'!L674+'Allocation ProForma'!L675)</f>
        <v>141323.73114879106</v>
      </c>
      <c r="E43" s="183">
        <v>0</v>
      </c>
      <c r="F43" s="183">
        <f>D43</f>
        <v>141323.73114879106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141323.73114879106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ProForma'!L671+'Allocation ProForma'!L672+'Allocation ProForma'!L676+'Allocation ProForma'!L677+'Allocation ProForma'!L678+'Allocation ProForma'!L679)</f>
        <v>-6800761.566165817</v>
      </c>
      <c r="E44" s="183">
        <f t="shared" ref="E44:J44" si="13">(E14/($D$14)*$D$44)</f>
        <v>-5168109.6180117931</v>
      </c>
      <c r="F44" s="183">
        <f t="shared" si="13"/>
        <v>-265944.26470739109</v>
      </c>
      <c r="G44" s="183">
        <f t="shared" si="13"/>
        <v>-530143.66545267357</v>
      </c>
      <c r="H44" s="183">
        <f t="shared" si="13"/>
        <v>-816122.47478467214</v>
      </c>
      <c r="I44" s="183">
        <f t="shared" si="13"/>
        <v>-18753.928815521333</v>
      </c>
      <c r="J44" s="183">
        <f t="shared" si="13"/>
        <v>-1687.6143937661009</v>
      </c>
      <c r="K44" s="293">
        <f>SUM(E44:J44)</f>
        <v>-6800761.566165817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-6659437.8350170255</v>
      </c>
      <c r="E45" s="183">
        <f t="shared" si="14"/>
        <v>-5168109.6180117931</v>
      </c>
      <c r="F45" s="183">
        <f t="shared" si="14"/>
        <v>-124620.53355860003</v>
      </c>
      <c r="G45" s="183">
        <f t="shared" si="14"/>
        <v>-530143.66545267357</v>
      </c>
      <c r="H45" s="183">
        <f t="shared" si="14"/>
        <v>-816122.47478467214</v>
      </c>
      <c r="I45" s="183">
        <f t="shared" si="14"/>
        <v>-18753.928815521333</v>
      </c>
      <c r="J45" s="183">
        <f t="shared" si="14"/>
        <v>-1687.6143937661009</v>
      </c>
      <c r="K45" s="293">
        <f>SUM(E45:J45)</f>
        <v>-6659437.8350170264</v>
      </c>
      <c r="L45" s="151" t="str">
        <f>IF(ABS(K45-D45)&lt;0.01,"ok","err")</f>
        <v>ok</v>
      </c>
    </row>
    <row r="46" spans="1:12">
      <c r="A46" s="156"/>
      <c r="B46" s="149"/>
      <c r="D46" s="246"/>
      <c r="E46" s="186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ProForma'!L975-SUM('Allocation ProForma'!L671:L679)</f>
        <v>40295267.188053392</v>
      </c>
      <c r="D47" s="249">
        <f t="shared" ref="D47:J47" si="15">D41+D45</f>
        <v>40295267.188053392</v>
      </c>
      <c r="E47" s="183">
        <f t="shared" si="15"/>
        <v>13156997.135687182</v>
      </c>
      <c r="F47" s="183">
        <f t="shared" si="15"/>
        <v>23629538.877500527</v>
      </c>
      <c r="G47" s="183">
        <f t="shared" si="15"/>
        <v>1549466.0319638215</v>
      </c>
      <c r="H47" s="183">
        <f t="shared" si="15"/>
        <v>1640064.5324948933</v>
      </c>
      <c r="I47" s="183">
        <f t="shared" si="15"/>
        <v>62930.851933212747</v>
      </c>
      <c r="J47" s="183">
        <f t="shared" si="15"/>
        <v>256269.75847374517</v>
      </c>
      <c r="K47" s="293">
        <f>SUM(E47:J47)</f>
        <v>40295267.188053384</v>
      </c>
      <c r="L47" s="151" t="str">
        <f>IF(ABS(K47-D47)&lt;0.01,"ok","err")</f>
        <v>ok</v>
      </c>
    </row>
    <row r="48" spans="1:12">
      <c r="A48" s="156"/>
      <c r="B48" s="149"/>
      <c r="C48" s="154"/>
      <c r="D48" s="182"/>
      <c r="E48" s="186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54">
        <f>883463+313570.025</f>
        <v>1197033.0249999999</v>
      </c>
      <c r="F49" s="254">
        <f>'Allocation ProForma'!$L$1060</f>
        <v>592721353</v>
      </c>
      <c r="G49" s="254">
        <f>E49</f>
        <v>1197033.0249999999</v>
      </c>
      <c r="H49" s="254">
        <f>E49</f>
        <v>1197033.0249999999</v>
      </c>
      <c r="I49" s="254">
        <f>'Allocation ProForma'!$L$1075*12</f>
        <v>1884</v>
      </c>
      <c r="J49" s="254">
        <f>'Allocation ProForma'!$L$1075*12</f>
        <v>1884</v>
      </c>
      <c r="K49" s="228"/>
      <c r="L49" s="155"/>
    </row>
    <row r="50" spans="1:12" ht="14.4" thickBot="1">
      <c r="A50" s="156"/>
      <c r="B50" s="149"/>
      <c r="C50" s="154"/>
      <c r="D50" s="246"/>
      <c r="E50" s="186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61">
        <f t="shared" ref="E51:J51" si="16">E47/E49</f>
        <v>10.991340139247356</v>
      </c>
      <c r="F51" s="261">
        <f t="shared" si="16"/>
        <v>3.9866184604117894E-2</v>
      </c>
      <c r="G51" s="261">
        <f t="shared" si="16"/>
        <v>1.294422125040219</v>
      </c>
      <c r="H51" s="261">
        <f t="shared" si="16"/>
        <v>1.3701080072497527</v>
      </c>
      <c r="I51" s="262">
        <f>I47/I49</f>
        <v>33.402787650325237</v>
      </c>
      <c r="J51" s="262">
        <f t="shared" si="16"/>
        <v>136.02428793723203</v>
      </c>
      <c r="K51" s="224">
        <f>I51+J51</f>
        <v>169.42707558755728</v>
      </c>
      <c r="L51" s="164"/>
    </row>
    <row r="53" spans="1:12">
      <c r="J53" s="165" t="s">
        <v>1357</v>
      </c>
      <c r="K53" s="225">
        <f>I51+J51</f>
        <v>169.42707558755728</v>
      </c>
    </row>
    <row r="54" spans="1:12">
      <c r="J54" s="165" t="s">
        <v>1358</v>
      </c>
      <c r="K54" s="242">
        <f>F51</f>
        <v>3.9866184604117894E-2</v>
      </c>
    </row>
    <row r="55" spans="1:12">
      <c r="J55" s="165" t="s">
        <v>1498</v>
      </c>
      <c r="K55" s="3">
        <f>E51+G51+H51</f>
        <v>13.655870271537328</v>
      </c>
    </row>
    <row r="57" spans="1:12">
      <c r="J57" s="165" t="s">
        <v>170</v>
      </c>
      <c r="K57" s="15">
        <f>(I47+J47)/J49</f>
        <v>169.42707558755728</v>
      </c>
    </row>
    <row r="58" spans="1:12" ht="14.4" thickBot="1">
      <c r="J58" s="165" t="s">
        <v>1387</v>
      </c>
      <c r="K58" s="233">
        <f>((J47+I47)*D18)/J49</f>
        <v>15.899655256470671</v>
      </c>
    </row>
    <row r="59" spans="1:12" ht="14.4" thickBot="1">
      <c r="K59" s="181">
        <f>SUM(K57:K58)</f>
        <v>185.32673084402796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14.44140625" hidden="1" customWidth="1"/>
    <col min="4" max="4" width="28.33203125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1362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222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222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31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272"/>
      <c r="C13" s="273"/>
      <c r="D13" s="274"/>
      <c r="E13" s="275"/>
      <c r="F13" s="275"/>
      <c r="G13" s="275"/>
      <c r="H13" s="275"/>
      <c r="I13" s="275"/>
      <c r="J13" s="275"/>
      <c r="K13" s="227"/>
      <c r="L13" s="228"/>
    </row>
    <row r="14" spans="1:14">
      <c r="A14" s="148" t="s">
        <v>1311</v>
      </c>
      <c r="B14" s="149" t="s">
        <v>1069</v>
      </c>
      <c r="C14" s="150"/>
      <c r="D14" s="263">
        <f>'Allocation ProForma'!M170</f>
        <v>0</v>
      </c>
      <c r="E14" s="244">
        <f>'Allocation ProForma'!M119+'Allocation ProForma'!M120+'Allocation ProForma'!M121</f>
        <v>0</v>
      </c>
      <c r="F14" s="244">
        <f>'Allocation ProForma'!M122</f>
        <v>0</v>
      </c>
      <c r="G14" s="244">
        <f>'Allocation ProForma'!M131</f>
        <v>0</v>
      </c>
      <c r="H14" s="244">
        <f>'Allocation ProForma'!M141+'Allocation ProForma'!M143+'Allocation ProForma'!M148+'Allocation ProForma'!M137</f>
        <v>0</v>
      </c>
      <c r="I14" s="244">
        <f>'Allocation ProForma'!M142+'Allocation ProForma'!M144+'Allocation ProForma'!M149+'Allocation ProForma'!M153+'Allocation ProForma'!M156+'Allocation ProForma'!M159</f>
        <v>0</v>
      </c>
      <c r="J14" s="244">
        <f>'Allocation ProForma'!M162+'Allocation ProForma'!M165</f>
        <v>0</v>
      </c>
      <c r="K14" s="293">
        <f>SUM(E14:J14)</f>
        <v>0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185">
        <f>'Allocation ProForma'!M818+'Allocation ProForma'!M819+'Allocation ProForma'!M820</f>
        <v>0</v>
      </c>
      <c r="E15" s="185" t="e">
        <f t="shared" ref="E15:J15" si="0">(E14/$D$14)*$D$15</f>
        <v>#DIV/0!</v>
      </c>
      <c r="F15" s="185" t="e">
        <f t="shared" si="0"/>
        <v>#DIV/0!</v>
      </c>
      <c r="G15" s="185" t="e">
        <f t="shared" si="0"/>
        <v>#DIV/0!</v>
      </c>
      <c r="H15" s="185" t="e">
        <f t="shared" si="0"/>
        <v>#DIV/0!</v>
      </c>
      <c r="I15" s="185" t="e">
        <f t="shared" si="0"/>
        <v>#DIV/0!</v>
      </c>
      <c r="J15" s="185" t="e">
        <f t="shared" si="0"/>
        <v>#DIV/0!</v>
      </c>
      <c r="K15" s="293" t="e">
        <f>SUM(E15:J15)</f>
        <v>#DIV/0!</v>
      </c>
      <c r="L15" s="151" t="e">
        <f>IF(ABS(K15-D15)&lt;0.01,"ok","err")</f>
        <v>#DIV/0!</v>
      </c>
    </row>
    <row r="16" spans="1:14">
      <c r="A16" s="152" t="s">
        <v>1314</v>
      </c>
      <c r="B16" s="149" t="s">
        <v>1315</v>
      </c>
      <c r="C16" s="150"/>
      <c r="D16" s="249">
        <f>D14+D15</f>
        <v>0</v>
      </c>
      <c r="E16" s="183" t="e">
        <f t="shared" ref="E16:K16" si="1">E14+E15</f>
        <v>#DIV/0!</v>
      </c>
      <c r="F16" s="183" t="e">
        <f t="shared" si="1"/>
        <v>#DIV/0!</v>
      </c>
      <c r="G16" s="183" t="e">
        <f t="shared" si="1"/>
        <v>#DIV/0!</v>
      </c>
      <c r="H16" s="183" t="e">
        <f t="shared" si="1"/>
        <v>#DIV/0!</v>
      </c>
      <c r="I16" s="183" t="e">
        <f t="shared" si="1"/>
        <v>#DIV/0!</v>
      </c>
      <c r="J16" s="183" t="e">
        <f t="shared" si="1"/>
        <v>#DIV/0!</v>
      </c>
      <c r="K16" s="293" t="e">
        <f t="shared" si="1"/>
        <v>#DIV/0!</v>
      </c>
      <c r="L16" s="151" t="e">
        <f>IF(ABS(K16-D16)&lt;0.01,"ok","err")</f>
        <v>#DIV/0!</v>
      </c>
    </row>
    <row r="17" spans="1:12">
      <c r="A17" s="152"/>
      <c r="B17" s="153"/>
      <c r="C17" s="154"/>
      <c r="D17" s="246"/>
      <c r="E17" s="186"/>
      <c r="F17" s="186"/>
      <c r="G17" s="186"/>
      <c r="H17" s="186"/>
      <c r="I17" s="186"/>
      <c r="J17" s="186"/>
      <c r="K17" s="293"/>
      <c r="L17" s="155"/>
    </row>
    <row r="18" spans="1:12">
      <c r="A18" s="152" t="s">
        <v>1316</v>
      </c>
      <c r="B18" s="149" t="s">
        <v>1226</v>
      </c>
      <c r="C18" s="150"/>
      <c r="D18" s="247" t="e">
        <f>'Allocation ProForma'!M993</f>
        <v>#DIV/0!</v>
      </c>
      <c r="E18" s="248" t="e">
        <f t="shared" ref="E18:J18" si="2">D18</f>
        <v>#DIV/0!</v>
      </c>
      <c r="F18" s="248" t="e">
        <f t="shared" si="2"/>
        <v>#DIV/0!</v>
      </c>
      <c r="G18" s="248" t="e">
        <f t="shared" si="2"/>
        <v>#DIV/0!</v>
      </c>
      <c r="H18" s="248" t="e">
        <f t="shared" si="2"/>
        <v>#DIV/0!</v>
      </c>
      <c r="I18" s="248" t="e">
        <f t="shared" si="2"/>
        <v>#DIV/0!</v>
      </c>
      <c r="J18" s="248" t="e">
        <f t="shared" si="2"/>
        <v>#DIV/0!</v>
      </c>
      <c r="K18" s="293"/>
      <c r="L18" s="151"/>
    </row>
    <row r="19" spans="1:12">
      <c r="A19" s="156"/>
      <c r="B19" s="149"/>
      <c r="C19" s="154"/>
      <c r="D19" s="246"/>
      <c r="E19" s="186"/>
      <c r="F19" s="186"/>
      <c r="G19" s="186"/>
      <c r="H19" s="186"/>
      <c r="I19" s="186"/>
      <c r="J19" s="186"/>
      <c r="K19" s="293"/>
      <c r="L19" s="155"/>
    </row>
    <row r="20" spans="1:12">
      <c r="A20" s="152" t="s">
        <v>1317</v>
      </c>
      <c r="B20" s="149" t="s">
        <v>1318</v>
      </c>
      <c r="C20" s="150"/>
      <c r="D20" s="249" t="e">
        <f>D18*D16</f>
        <v>#DIV/0!</v>
      </c>
      <c r="E20" s="183" t="e">
        <f t="shared" ref="E20:J20" si="3">E18*E16</f>
        <v>#DIV/0!</v>
      </c>
      <c r="F20" s="183" t="e">
        <f t="shared" si="3"/>
        <v>#DIV/0!</v>
      </c>
      <c r="G20" s="183" t="e">
        <f t="shared" si="3"/>
        <v>#DIV/0!</v>
      </c>
      <c r="H20" s="183" t="e">
        <f t="shared" si="3"/>
        <v>#DIV/0!</v>
      </c>
      <c r="I20" s="183" t="e">
        <f t="shared" si="3"/>
        <v>#DIV/0!</v>
      </c>
      <c r="J20" s="183" t="e">
        <f t="shared" si="3"/>
        <v>#DIV/0!</v>
      </c>
      <c r="K20" s="293" t="e">
        <f>SUM(E20:J20)</f>
        <v>#DIV/0!</v>
      </c>
      <c r="L20" s="151" t="e">
        <f>IF(ABS(K20-D20)&lt;0.01,"ok","err")</f>
        <v>#DIV/0!</v>
      </c>
    </row>
    <row r="21" spans="1:12">
      <c r="A21" s="156"/>
      <c r="B21" s="149"/>
      <c r="C21" s="154"/>
      <c r="D21" s="246"/>
      <c r="E21" s="186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ProForma'!M715</f>
        <v>0</v>
      </c>
      <c r="E22" s="183" t="e">
        <f t="shared" ref="E22:J22" si="4">(E14/$D$14)*$D$22</f>
        <v>#DIV/0!</v>
      </c>
      <c r="F22" s="183" t="e">
        <f t="shared" si="4"/>
        <v>#DIV/0!</v>
      </c>
      <c r="G22" s="183" t="e">
        <f t="shared" si="4"/>
        <v>#DIV/0!</v>
      </c>
      <c r="H22" s="183" t="e">
        <f t="shared" si="4"/>
        <v>#DIV/0!</v>
      </c>
      <c r="I22" s="183" t="e">
        <f t="shared" si="4"/>
        <v>#DIV/0!</v>
      </c>
      <c r="J22" s="183" t="e">
        <f t="shared" si="4"/>
        <v>#DIV/0!</v>
      </c>
      <c r="K22" s="293" t="e">
        <f>SUM(E22:J22)</f>
        <v>#DIV/0!</v>
      </c>
      <c r="L22" s="151" t="e">
        <f>IF(ABS(K22-D22)&lt;0.01,"ok","err")</f>
        <v>#DIV/0!</v>
      </c>
    </row>
    <row r="23" spans="1:12">
      <c r="A23" s="156"/>
      <c r="B23" s="149"/>
      <c r="C23" s="154"/>
      <c r="D23" s="246"/>
      <c r="E23" s="186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 t="e">
        <f>D20-D22</f>
        <v>#DIV/0!</v>
      </c>
      <c r="E24" s="183" t="e">
        <f t="shared" ref="E24:J24" si="5">E20-E22</f>
        <v>#DIV/0!</v>
      </c>
      <c r="F24" s="183" t="e">
        <f t="shared" si="5"/>
        <v>#DIV/0!</v>
      </c>
      <c r="G24" s="183" t="e">
        <f t="shared" si="5"/>
        <v>#DIV/0!</v>
      </c>
      <c r="H24" s="183" t="e">
        <f t="shared" si="5"/>
        <v>#DIV/0!</v>
      </c>
      <c r="I24" s="183" t="e">
        <f t="shared" si="5"/>
        <v>#DIV/0!</v>
      </c>
      <c r="J24" s="183" t="e">
        <f t="shared" si="5"/>
        <v>#DIV/0!</v>
      </c>
      <c r="K24" s="293" t="e">
        <f>SUM(E24:J24)</f>
        <v>#DIV/0!</v>
      </c>
      <c r="L24" s="151" t="e">
        <f>IF(ABS(K24-D24)&lt;0.01,"ok","err")</f>
        <v>#DIV/0!</v>
      </c>
    </row>
    <row r="25" spans="1:12">
      <c r="A25" s="156"/>
      <c r="B25" s="149"/>
      <c r="C25" s="154"/>
      <c r="D25" s="246"/>
      <c r="E25" s="186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ProForma'!M766+'Allocation ProForma'!M984</f>
        <v>0</v>
      </c>
      <c r="E26" s="183" t="e">
        <f t="shared" ref="E26:J26" si="6">$D$26*(E24/$K$24)</f>
        <v>#DIV/0!</v>
      </c>
      <c r="F26" s="183" t="e">
        <f t="shared" si="6"/>
        <v>#DIV/0!</v>
      </c>
      <c r="G26" s="183" t="e">
        <f t="shared" si="6"/>
        <v>#DIV/0!</v>
      </c>
      <c r="H26" s="183" t="e">
        <f t="shared" si="6"/>
        <v>#DIV/0!</v>
      </c>
      <c r="I26" s="183" t="e">
        <f t="shared" si="6"/>
        <v>#DIV/0!</v>
      </c>
      <c r="J26" s="183" t="e">
        <f t="shared" si="6"/>
        <v>#DIV/0!</v>
      </c>
      <c r="K26" s="293" t="e">
        <f>SUM(E26:J26)</f>
        <v>#DIV/0!</v>
      </c>
      <c r="L26" s="151" t="e">
        <f>IF(ABS(K26-D26)&lt;0.01,"ok","err")</f>
        <v>#DIV/0!</v>
      </c>
    </row>
    <row r="27" spans="1:12">
      <c r="A27" s="156"/>
      <c r="B27" s="149"/>
      <c r="C27" s="154"/>
      <c r="D27" s="246"/>
      <c r="E27" s="186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ProForma'!M685</f>
        <v>0</v>
      </c>
      <c r="E28" s="183">
        <f>'Allocation ProForma'!M174+'Allocation ProForma'!M175+'Allocation ProForma'!M176</f>
        <v>0</v>
      </c>
      <c r="F28" s="183">
        <f>'Allocation ProForma'!M177</f>
        <v>0</v>
      </c>
      <c r="G28" s="183">
        <f>'Allocation ProForma'!M186</f>
        <v>0</v>
      </c>
      <c r="H28" s="183">
        <f>'Allocation ProForma'!M192+'Allocation ProForma'!M196+'Allocation ProForma'!M198+'Allocation ProForma'!M203</f>
        <v>0</v>
      </c>
      <c r="I28" s="183">
        <f>'Allocation ProForma'!M197+'Allocation ProForma'!M199+'Allocation ProForma'!M204+'Allocation ProForma'!M208+'Allocation ProForma'!M211</f>
        <v>0</v>
      </c>
      <c r="J28" s="183">
        <f>'Allocation ProForma'!M217+'Allocation ProForma'!M220</f>
        <v>0</v>
      </c>
      <c r="K28" s="293">
        <f t="shared" ref="K28:K33" si="7">SUM(E28:J28)</f>
        <v>0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ProForma'!M686</f>
        <v>0</v>
      </c>
      <c r="E29" s="183">
        <f>'Allocation ProForma'!M290</f>
        <v>0</v>
      </c>
      <c r="F29" s="183">
        <v>0</v>
      </c>
      <c r="G29" s="183">
        <f>'Allocation ProForma'!M296</f>
        <v>0</v>
      </c>
      <c r="H29" s="183">
        <f>'Allocation ProForma'!M302+'Allocation ProForma'!M306+'Allocation ProForma'!M308+'Allocation ProForma'!M313</f>
        <v>0</v>
      </c>
      <c r="I29" s="183">
        <f>'Allocation ProForma'!M307+'Allocation ProForma'!M309+'Allocation ProForma'!M314+'Allocation ProForma'!M318+'Allocation ProForma'!M321</f>
        <v>0</v>
      </c>
      <c r="J29" s="183">
        <v>0</v>
      </c>
      <c r="K29" s="293">
        <f t="shared" si="7"/>
        <v>0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ProForma'!M687+'Allocation ProForma'!M688+'Allocation ProForma'!M691+'Allocation ProForma'!M692+'Allocation ProForma'!M693</f>
        <v>0</v>
      </c>
      <c r="E30" s="183">
        <f>'Allocation ProForma'!M401+'Allocation ProForma'!M456+'Allocation ProForma'!M345+'Allocation ProForma'!M511+'Allocation ProForma'!M566</f>
        <v>0</v>
      </c>
      <c r="F30" s="183">
        <f>'Allocation ProForma'!M342+'Allocation ProForma'!M343+'Allocation ProForma'!M344+'Allocation ProForma'!M398+'Allocation ProForma'!M399+'Allocation ProForma'!M400+'Allocation ProForma'!M453+'Allocation ProForma'!M454+'Allocation ProForma'!M455+'Allocation ProForma'!M508+'Allocation ProForma'!M509+'Allocation ProForma'!M510+'Allocation ProForma'!M563+'Allocation ProForma'!M564+'Allocation ProForma'!M565</f>
        <v>0</v>
      </c>
      <c r="G30" s="183">
        <f>'Allocation ProForma'!M351+'Allocation ProForma'!M407+'Allocation ProForma'!M462+'Allocation ProForma'!M517+'Allocation ProForma'!M572</f>
        <v>0</v>
      </c>
      <c r="H30" s="183">
        <f>'Allocation ProForma'!M357+'Allocation ProForma'!M361+'Allocation ProForma'!M363+'Allocation ProForma'!M368+'Allocation ProForma'!M413+'Allocation ProForma'!M417+'Allocation ProForma'!M419+'Allocation ProForma'!M424+'Allocation ProForma'!M468+'Allocation ProForma'!M472+'Allocation ProForma'!M474+'Allocation ProForma'!M479+'Allocation ProForma'!M523+'Allocation ProForma'!M527+'Allocation ProForma'!M529+'Allocation ProForma'!M534+'Allocation ProForma'!M578+'Allocation ProForma'!M582+'Allocation ProForma'!M584+'Allocation ProForma'!M589</f>
        <v>0</v>
      </c>
      <c r="I30" s="183">
        <f>'Allocation ProForma'!M362+'Allocation ProForma'!M364+'Allocation ProForma'!M369+'Allocation ProForma'!M373+'Allocation ProForma'!M377+'Allocation ProForma'!M418+'Allocation ProForma'!M420+'Allocation ProForma'!M425+'Allocation ProForma'!M429+'Allocation ProForma'!M432+'Allocation ProForma'!M473+'Allocation ProForma'!M475+'Allocation ProForma'!M480+'Allocation ProForma'!M484+'Allocation ProForma'!M487+'Allocation ProForma'!M528+'Allocation ProForma'!M530+'Allocation ProForma'!M535+'Allocation ProForma'!M539+'Allocation ProForma'!M542+'Allocation ProForma'!M583+'Allocation ProForma'!M585+'Allocation ProForma'!M590+'Allocation ProForma'!M594+'Allocation ProForma'!M597</f>
        <v>0</v>
      </c>
      <c r="J30" s="183">
        <v>0</v>
      </c>
      <c r="K30" s="293">
        <f t="shared" si="7"/>
        <v>0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ProForma'!M689+'Allocation ProForma'!M690</f>
        <v>0</v>
      </c>
      <c r="E31" s="183" t="e">
        <f t="shared" ref="E31:J31" si="8">$D$31*(E14/$K$14)</f>
        <v>#DIV/0!</v>
      </c>
      <c r="F31" s="183" t="e">
        <f t="shared" si="8"/>
        <v>#DIV/0!</v>
      </c>
      <c r="G31" s="183" t="e">
        <f t="shared" si="8"/>
        <v>#DIV/0!</v>
      </c>
      <c r="H31" s="183" t="e">
        <f t="shared" si="8"/>
        <v>#DIV/0!</v>
      </c>
      <c r="I31" s="183" t="e">
        <f t="shared" si="8"/>
        <v>#DIV/0!</v>
      </c>
      <c r="J31" s="183" t="e">
        <f t="shared" si="8"/>
        <v>#DIV/0!</v>
      </c>
      <c r="K31" s="293" t="e">
        <f t="shared" si="7"/>
        <v>#DIV/0!</v>
      </c>
      <c r="L31" s="151" t="e">
        <f>IF(ABS(K31-D31)&lt;0.01,"ok","err")</f>
        <v>#DIV/0!</v>
      </c>
    </row>
    <row r="32" spans="1:12">
      <c r="A32" s="152" t="s">
        <v>1330</v>
      </c>
      <c r="B32" s="157" t="s">
        <v>1329</v>
      </c>
      <c r="C32" s="150"/>
      <c r="D32" s="249">
        <f>'Allocation ProForma'!M696+'Allocation ProForma'!M695</f>
        <v>0</v>
      </c>
      <c r="E32" s="183">
        <f>D32</f>
        <v>0</v>
      </c>
      <c r="F32" s="183"/>
      <c r="G32" s="183"/>
      <c r="H32" s="183"/>
      <c r="I32" s="183"/>
      <c r="J32" s="183"/>
      <c r="K32" s="293">
        <f t="shared" si="7"/>
        <v>0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185">
        <f>'Allocation ProForma'!M772</f>
        <v>0</v>
      </c>
      <c r="E33" s="183">
        <f>D33</f>
        <v>0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0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185">
        <f>'Allocation ProForma'!M771+'Allocation ProForma'!M774+'Allocation ProForma'!M775</f>
        <v>0</v>
      </c>
      <c r="E34" s="183">
        <v>0</v>
      </c>
      <c r="F34" s="183">
        <f>D34</f>
        <v>0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0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185">
        <f>'Allocation ProForma'!M782+'Allocation ProForma'!M787</f>
        <v>0</v>
      </c>
      <c r="E35" s="183">
        <v>0</v>
      </c>
      <c r="F35" s="183">
        <v>0</v>
      </c>
      <c r="G35" s="183">
        <f>D35</f>
        <v>0</v>
      </c>
      <c r="H35" s="183">
        <v>0</v>
      </c>
      <c r="I35" s="183">
        <v>0</v>
      </c>
      <c r="J35" s="183">
        <v>0</v>
      </c>
      <c r="K35" s="293">
        <f t="shared" si="10"/>
        <v>0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185">
        <f>'Allocation ProForma'!M776+'Allocation ProForma'!M784</f>
        <v>0</v>
      </c>
      <c r="E36" s="183">
        <v>0</v>
      </c>
      <c r="F36" s="183">
        <v>0</v>
      </c>
      <c r="G36" s="183">
        <v>0</v>
      </c>
      <c r="H36" s="183" t="e">
        <f>(H14/($I$14+$H$14)*$D$36)</f>
        <v>#DIV/0!</v>
      </c>
      <c r="I36" s="183" t="e">
        <f>(I14/($I$14+$H$14)*$D$36)</f>
        <v>#DIV/0!</v>
      </c>
      <c r="J36" s="183">
        <v>0</v>
      </c>
      <c r="K36" s="293" t="e">
        <f t="shared" si="10"/>
        <v>#DIV/0!</v>
      </c>
      <c r="L36" s="151" t="e">
        <f t="shared" si="9"/>
        <v>#DIV/0!</v>
      </c>
    </row>
    <row r="37" spans="1:12">
      <c r="A37" s="158" t="s">
        <v>1340</v>
      </c>
      <c r="B37" s="149" t="s">
        <v>1339</v>
      </c>
      <c r="C37" s="150"/>
      <c r="D37" s="185">
        <f>'Allocation ProForma'!M777+'Allocation ProForma'!M778+'Allocation ProForma'!M779+'Allocation ProForma'!M780+'Allocation ProForma'!M781+'Allocation ProForma'!M785+'Allocation ProForma'!M786+'Allocation ProForma'!M792+'Allocation ProForma'!M793+'Allocation ProForma'!M796+'Allocation ProForma'!M797+'Allocation ProForma'!M798+'Allocation ProForma'!M799+'Allocation ProForma'!M800+'Allocation ProForma'!M801+'Allocation ProForma'!M802+'Allocation ProForma'!M804+'Allocation ProForma'!M805</f>
        <v>0</v>
      </c>
      <c r="E37" s="183" t="e">
        <f t="shared" ref="E37:J37" si="11">(E14/($D$14)*$D$37)</f>
        <v>#DIV/0!</v>
      </c>
      <c r="F37" s="183" t="e">
        <f t="shared" si="11"/>
        <v>#DIV/0!</v>
      </c>
      <c r="G37" s="183" t="e">
        <f t="shared" si="11"/>
        <v>#DIV/0!</v>
      </c>
      <c r="H37" s="183" t="e">
        <f t="shared" si="11"/>
        <v>#DIV/0!</v>
      </c>
      <c r="I37" s="183" t="e">
        <f t="shared" si="11"/>
        <v>#DIV/0!</v>
      </c>
      <c r="J37" s="183" t="e">
        <f t="shared" si="11"/>
        <v>#DIV/0!</v>
      </c>
      <c r="K37" s="293" t="e">
        <f t="shared" si="10"/>
        <v>#DIV/0!</v>
      </c>
      <c r="L37" s="151" t="e">
        <f t="shared" si="9"/>
        <v>#DIV/0!</v>
      </c>
    </row>
    <row r="38" spans="1:12">
      <c r="A38" s="152"/>
      <c r="B38" s="149"/>
      <c r="D38" s="249"/>
      <c r="E38" s="183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ProForma'!M806</f>
        <v>0</v>
      </c>
      <c r="E39" s="183" t="e">
        <f>SUM(E33:E37)</f>
        <v>#DIV/0!</v>
      </c>
      <c r="F39" s="183" t="e">
        <f>SUM(F34:F37)</f>
        <v>#DIV/0!</v>
      </c>
      <c r="G39" s="183" t="e">
        <f>SUM(G33:G37)</f>
        <v>#DIV/0!</v>
      </c>
      <c r="H39" s="183" t="e">
        <f>SUM(H33:H37)</f>
        <v>#DIV/0!</v>
      </c>
      <c r="I39" s="183" t="e">
        <f>SUM(I33:I37)</f>
        <v>#DIV/0!</v>
      </c>
      <c r="J39" s="183" t="e">
        <f>SUM(J33:J37)</f>
        <v>#DIV/0!</v>
      </c>
      <c r="K39" s="293" t="e">
        <f t="shared" si="10"/>
        <v>#DIV/0!</v>
      </c>
      <c r="L39" s="151" t="e">
        <f t="shared" si="9"/>
        <v>#DIV/0!</v>
      </c>
    </row>
    <row r="40" spans="1:12">
      <c r="A40" s="156"/>
      <c r="B40" s="149"/>
      <c r="C40" s="154"/>
      <c r="D40" s="182"/>
      <c r="E40" s="186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ProForma'!M975</f>
        <v>0</v>
      </c>
      <c r="D41" s="249" t="e">
        <f>SUM(D28:D32)+D22+D26+D39+D24</f>
        <v>#DIV/0!</v>
      </c>
      <c r="E41" s="183" t="e">
        <f t="shared" ref="E41:J41" si="12">SUM(E28:E32)+E22+E26+E39+E24</f>
        <v>#DIV/0!</v>
      </c>
      <c r="F41" s="183" t="e">
        <f t="shared" si="12"/>
        <v>#DIV/0!</v>
      </c>
      <c r="G41" s="183" t="e">
        <f t="shared" si="12"/>
        <v>#DIV/0!</v>
      </c>
      <c r="H41" s="183" t="e">
        <f t="shared" si="12"/>
        <v>#DIV/0!</v>
      </c>
      <c r="I41" s="183" t="e">
        <f t="shared" si="12"/>
        <v>#DIV/0!</v>
      </c>
      <c r="J41" s="183" t="e">
        <f t="shared" si="12"/>
        <v>#DIV/0!</v>
      </c>
      <c r="K41" s="293" t="e">
        <f>SUM(E41:J41)</f>
        <v>#DIV/0!</v>
      </c>
      <c r="L41" s="151" t="e">
        <f>IF(ABS(K41-D41)&lt;0.01,"ok","err")</f>
        <v>#DIV/0!</v>
      </c>
    </row>
    <row r="42" spans="1:12">
      <c r="A42" s="156"/>
      <c r="B42" s="149"/>
      <c r="C42" s="154"/>
      <c r="D42" s="250"/>
      <c r="E42" s="186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ProForma'!M673+'Allocation ProForma'!M674+'Allocation ProForma'!M675)</f>
        <v>0</v>
      </c>
      <c r="E43" s="183">
        <v>0</v>
      </c>
      <c r="F43" s="183">
        <f>D43</f>
        <v>0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0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ProForma'!M671+'Allocation ProForma'!M672+'Allocation ProForma'!M676+'Allocation ProForma'!M677+'Allocation ProForma'!M678+'Allocation ProForma'!M679)</f>
        <v>0</v>
      </c>
      <c r="E44" s="183" t="e">
        <f t="shared" ref="E44:J44" si="13">(E14/($D$14)*$D$44)</f>
        <v>#DIV/0!</v>
      </c>
      <c r="F44" s="183" t="e">
        <f t="shared" si="13"/>
        <v>#DIV/0!</v>
      </c>
      <c r="G44" s="183" t="e">
        <f t="shared" si="13"/>
        <v>#DIV/0!</v>
      </c>
      <c r="H44" s="183" t="e">
        <f t="shared" si="13"/>
        <v>#DIV/0!</v>
      </c>
      <c r="I44" s="183" t="e">
        <f t="shared" si="13"/>
        <v>#DIV/0!</v>
      </c>
      <c r="J44" s="183" t="e">
        <f t="shared" si="13"/>
        <v>#DIV/0!</v>
      </c>
      <c r="K44" s="293" t="e">
        <f>SUM(E44:J44)</f>
        <v>#DIV/0!</v>
      </c>
      <c r="L44" s="151" t="e">
        <f>IF(ABS(K44-D44)&lt;0.01,"ok","err")</f>
        <v>#DIV/0!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0</v>
      </c>
      <c r="E45" s="183" t="e">
        <f t="shared" si="14"/>
        <v>#DIV/0!</v>
      </c>
      <c r="F45" s="183" t="e">
        <f t="shared" si="14"/>
        <v>#DIV/0!</v>
      </c>
      <c r="G45" s="183" t="e">
        <f t="shared" si="14"/>
        <v>#DIV/0!</v>
      </c>
      <c r="H45" s="183" t="e">
        <f t="shared" si="14"/>
        <v>#DIV/0!</v>
      </c>
      <c r="I45" s="183" t="e">
        <f t="shared" si="14"/>
        <v>#DIV/0!</v>
      </c>
      <c r="J45" s="183" t="e">
        <f t="shared" si="14"/>
        <v>#DIV/0!</v>
      </c>
      <c r="K45" s="293" t="e">
        <f>SUM(E45:J45)</f>
        <v>#DIV/0!</v>
      </c>
      <c r="L45" s="151" t="e">
        <f>IF(ABS(K45-D45)&lt;0.01,"ok","err")</f>
        <v>#DIV/0!</v>
      </c>
    </row>
    <row r="46" spans="1:12">
      <c r="A46" s="156"/>
      <c r="B46" s="149"/>
      <c r="D46" s="246"/>
      <c r="E46" s="186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ProForma'!M975-SUM('Allocation ProForma'!M671:M679)</f>
        <v>0</v>
      </c>
      <c r="D47" s="249" t="e">
        <f t="shared" ref="D47:J47" si="15">D41+D45</f>
        <v>#DIV/0!</v>
      </c>
      <c r="E47" s="183" t="e">
        <f t="shared" si="15"/>
        <v>#DIV/0!</v>
      </c>
      <c r="F47" s="183" t="e">
        <f t="shared" si="15"/>
        <v>#DIV/0!</v>
      </c>
      <c r="G47" s="183" t="e">
        <f t="shared" si="15"/>
        <v>#DIV/0!</v>
      </c>
      <c r="H47" s="183" t="e">
        <f t="shared" si="15"/>
        <v>#DIV/0!</v>
      </c>
      <c r="I47" s="183" t="e">
        <f t="shared" si="15"/>
        <v>#DIV/0!</v>
      </c>
      <c r="J47" s="183" t="e">
        <f t="shared" si="15"/>
        <v>#DIV/0!</v>
      </c>
      <c r="K47" s="293" t="e">
        <f>SUM(E47:J47)</f>
        <v>#DIV/0!</v>
      </c>
      <c r="L47" s="151" t="e">
        <f>IF(ABS(K47-D47)&lt;0.01,"ok","err")</f>
        <v>#DIV/0!</v>
      </c>
    </row>
    <row r="48" spans="1:12">
      <c r="A48" s="156"/>
      <c r="B48" s="149"/>
      <c r="C48" s="154"/>
      <c r="D48" s="182"/>
      <c r="E48" s="186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54">
        <v>3560885.4622251261</v>
      </c>
      <c r="F49" s="254">
        <f>'Allocation ProForma'!$M$1060</f>
        <v>0</v>
      </c>
      <c r="G49" s="254">
        <f>E49</f>
        <v>3560885.4622251261</v>
      </c>
      <c r="H49" s="254">
        <f>E49</f>
        <v>3560885.4622251261</v>
      </c>
      <c r="I49" s="254">
        <f>'Allocation ProForma'!$M$1075*12</f>
        <v>0</v>
      </c>
      <c r="J49" s="254">
        <f>'Allocation ProForma'!$M$1075*12</f>
        <v>0</v>
      </c>
      <c r="K49" s="228"/>
      <c r="L49" s="155"/>
    </row>
    <row r="50" spans="1:12" ht="14.4" thickBot="1">
      <c r="A50" s="156"/>
      <c r="B50" s="149"/>
      <c r="C50" s="154"/>
      <c r="D50" s="246"/>
      <c r="E50" s="186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61" t="e">
        <f t="shared" ref="E51:J51" si="16">E47/E49</f>
        <v>#DIV/0!</v>
      </c>
      <c r="F51" s="261" t="e">
        <f t="shared" si="16"/>
        <v>#DIV/0!</v>
      </c>
      <c r="G51" s="261" t="e">
        <f t="shared" si="16"/>
        <v>#DIV/0!</v>
      </c>
      <c r="H51" s="261" t="e">
        <f t="shared" si="16"/>
        <v>#DIV/0!</v>
      </c>
      <c r="I51" s="262" t="e">
        <f>I47/I49</f>
        <v>#DIV/0!</v>
      </c>
      <c r="J51" s="262" t="e">
        <f t="shared" si="16"/>
        <v>#DIV/0!</v>
      </c>
      <c r="K51" s="224" t="e">
        <f>I51+J51</f>
        <v>#DIV/0!</v>
      </c>
      <c r="L51" s="164"/>
    </row>
    <row r="53" spans="1:12">
      <c r="J53" s="165" t="s">
        <v>1357</v>
      </c>
      <c r="K53" s="225" t="e">
        <f>I51+J51</f>
        <v>#DIV/0!</v>
      </c>
    </row>
    <row r="54" spans="1:12">
      <c r="D54" s="271"/>
      <c r="J54" s="165" t="s">
        <v>1358</v>
      </c>
      <c r="K54" s="241" t="e">
        <f>F51</f>
        <v>#DIV/0!</v>
      </c>
    </row>
    <row r="55" spans="1:12">
      <c r="J55" s="165" t="s">
        <v>1498</v>
      </c>
      <c r="K55" s="3" t="e">
        <f>E51+G51+H51</f>
        <v>#DIV/0!</v>
      </c>
    </row>
    <row r="57" spans="1:12">
      <c r="J57" s="165" t="s">
        <v>170</v>
      </c>
      <c r="K57" s="15" t="e">
        <f>(I47+J47)/J49</f>
        <v>#DIV/0!</v>
      </c>
    </row>
    <row r="58" spans="1:12" ht="14.4" thickBot="1">
      <c r="J58" s="165" t="s">
        <v>1387</v>
      </c>
      <c r="K58" s="233" t="e">
        <f>((J47+I47)*D18)/J49</f>
        <v>#DIV/0!</v>
      </c>
    </row>
    <row r="59" spans="1:12" ht="14.4" thickBot="1">
      <c r="K59" s="181" t="e">
        <f>SUM(K57:K58)</f>
        <v>#DIV/0!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13" hidden="1" customWidth="1"/>
    <col min="4" max="4" width="22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1363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135"/>
    </row>
    <row r="10" spans="1:14">
      <c r="A10" s="136"/>
      <c r="B10" s="137"/>
      <c r="C10" s="138"/>
      <c r="D10" s="222"/>
      <c r="E10" s="133"/>
      <c r="F10" s="133"/>
      <c r="G10" s="133"/>
      <c r="H10" s="133"/>
      <c r="I10" s="133"/>
      <c r="J10" s="131"/>
      <c r="K10" s="138"/>
      <c r="L10" s="139"/>
    </row>
    <row r="11" spans="1:14">
      <c r="A11" s="136"/>
      <c r="B11" s="137"/>
      <c r="C11" s="138"/>
      <c r="D11" s="222"/>
      <c r="E11" s="138"/>
      <c r="F11" s="138"/>
      <c r="G11" s="138"/>
      <c r="H11" s="138"/>
      <c r="I11" s="138"/>
      <c r="J11" s="136"/>
      <c r="K11" s="138"/>
      <c r="L11" s="139"/>
    </row>
    <row r="12" spans="1:14" ht="14.4" thickBot="1">
      <c r="A12" s="140"/>
      <c r="B12" s="229" t="s">
        <v>1029</v>
      </c>
      <c r="C12" s="230" t="s">
        <v>1305</v>
      </c>
      <c r="D12" s="231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144"/>
      <c r="C13" s="145"/>
      <c r="D13" s="223"/>
      <c r="E13" s="275"/>
      <c r="F13" s="275"/>
      <c r="G13" s="275"/>
      <c r="H13" s="275"/>
      <c r="I13" s="275"/>
      <c r="J13" s="275"/>
      <c r="K13" s="227"/>
      <c r="L13" s="139"/>
    </row>
    <row r="14" spans="1:14">
      <c r="A14" s="148" t="s">
        <v>1311</v>
      </c>
      <c r="B14" s="149" t="s">
        <v>1069</v>
      </c>
      <c r="C14" s="150"/>
      <c r="D14" s="263">
        <f>'Allocation ProForma'!N170</f>
        <v>0</v>
      </c>
      <c r="E14" s="244">
        <f>'Allocation ProForma'!N119+'Allocation ProForma'!N120+'Allocation ProForma'!N121</f>
        <v>0</v>
      </c>
      <c r="F14" s="244">
        <f>'Allocation ProForma'!N122</f>
        <v>0</v>
      </c>
      <c r="G14" s="244">
        <f>'Allocation ProForma'!N131</f>
        <v>0</v>
      </c>
      <c r="H14" s="244">
        <f>'Allocation ProForma'!N141+'Allocation ProForma'!N143+'Allocation ProForma'!N148+'Allocation ProForma'!N137</f>
        <v>0</v>
      </c>
      <c r="I14" s="244">
        <f>'Allocation ProForma'!N142+'Allocation ProForma'!N144+'Allocation ProForma'!N149+'Allocation ProForma'!N153+'Allocation ProForma'!N156+'Allocation ProForma'!N159</f>
        <v>0</v>
      </c>
      <c r="J14" s="244">
        <f>'Allocation ProForma'!N162+'Allocation ProForma'!N165</f>
        <v>0</v>
      </c>
      <c r="K14" s="292">
        <f>SUM(E14:J14)</f>
        <v>0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185">
        <f>'Allocation ProForma'!N818+'Allocation ProForma'!N819+'Allocation ProForma'!N820</f>
        <v>0</v>
      </c>
      <c r="E15" s="103" t="e">
        <f t="shared" ref="E15:J15" si="0">(E14/$D$14)*$D$15</f>
        <v>#DIV/0!</v>
      </c>
      <c r="F15" s="103" t="e">
        <f t="shared" si="0"/>
        <v>#DIV/0!</v>
      </c>
      <c r="G15" s="103" t="e">
        <f t="shared" si="0"/>
        <v>#DIV/0!</v>
      </c>
      <c r="H15" s="103" t="e">
        <f t="shared" si="0"/>
        <v>#DIV/0!</v>
      </c>
      <c r="I15" s="103" t="e">
        <f t="shared" si="0"/>
        <v>#DIV/0!</v>
      </c>
      <c r="J15" s="103" t="e">
        <f t="shared" si="0"/>
        <v>#DIV/0!</v>
      </c>
      <c r="K15" s="292" t="e">
        <f>SUM(E15:J15)</f>
        <v>#DIV/0!</v>
      </c>
      <c r="L15" s="151" t="e">
        <f>IF(ABS(K15-D15)&lt;0.01,"ok","err")</f>
        <v>#DIV/0!</v>
      </c>
    </row>
    <row r="16" spans="1:14">
      <c r="A16" s="152" t="s">
        <v>1314</v>
      </c>
      <c r="B16" s="149" t="s">
        <v>1315</v>
      </c>
      <c r="C16" s="150"/>
      <c r="D16" s="249">
        <f>D14+D15</f>
        <v>0</v>
      </c>
      <c r="E16" s="258" t="e">
        <f t="shared" ref="E16:K16" si="1">E14+E15</f>
        <v>#DIV/0!</v>
      </c>
      <c r="F16" s="258" t="e">
        <f t="shared" si="1"/>
        <v>#DIV/0!</v>
      </c>
      <c r="G16" s="258" t="e">
        <f t="shared" si="1"/>
        <v>#DIV/0!</v>
      </c>
      <c r="H16" s="258" t="e">
        <f t="shared" si="1"/>
        <v>#DIV/0!</v>
      </c>
      <c r="I16" s="258" t="e">
        <f t="shared" si="1"/>
        <v>#DIV/0!</v>
      </c>
      <c r="J16" s="258" t="e">
        <f t="shared" si="1"/>
        <v>#DIV/0!</v>
      </c>
      <c r="K16" s="292" t="e">
        <f t="shared" si="1"/>
        <v>#DIV/0!</v>
      </c>
      <c r="L16" s="151" t="e">
        <f>IF(ABS(K16-D16)&lt;0.01,"ok","err")</f>
        <v>#DIV/0!</v>
      </c>
    </row>
    <row r="17" spans="1:12">
      <c r="A17" s="152"/>
      <c r="B17" s="153"/>
      <c r="C17" s="154"/>
      <c r="D17" s="246"/>
      <c r="E17" s="186"/>
      <c r="F17" s="186"/>
      <c r="G17" s="186"/>
      <c r="H17" s="186"/>
      <c r="I17" s="186"/>
      <c r="J17" s="186"/>
      <c r="K17" s="292"/>
      <c r="L17" s="155"/>
    </row>
    <row r="18" spans="1:12">
      <c r="A18" s="152" t="s">
        <v>1316</v>
      </c>
      <c r="B18" s="149" t="s">
        <v>1226</v>
      </c>
      <c r="C18" s="150"/>
      <c r="D18" s="247" t="e">
        <f>'Allocation ProForma'!N993</f>
        <v>#DIV/0!</v>
      </c>
      <c r="E18" s="248" t="e">
        <f t="shared" ref="E18:J18" si="2">D18</f>
        <v>#DIV/0!</v>
      </c>
      <c r="F18" s="248" t="e">
        <f t="shared" si="2"/>
        <v>#DIV/0!</v>
      </c>
      <c r="G18" s="248" t="e">
        <f t="shared" si="2"/>
        <v>#DIV/0!</v>
      </c>
      <c r="H18" s="248" t="e">
        <f t="shared" si="2"/>
        <v>#DIV/0!</v>
      </c>
      <c r="I18" s="248" t="e">
        <f t="shared" si="2"/>
        <v>#DIV/0!</v>
      </c>
      <c r="J18" s="248" t="e">
        <f t="shared" si="2"/>
        <v>#DIV/0!</v>
      </c>
      <c r="K18" s="292"/>
      <c r="L18" s="151"/>
    </row>
    <row r="19" spans="1:12">
      <c r="A19" s="156"/>
      <c r="B19" s="149"/>
      <c r="C19" s="154"/>
      <c r="D19" s="246"/>
      <c r="E19" s="186"/>
      <c r="F19" s="186"/>
      <c r="G19" s="186"/>
      <c r="H19" s="186"/>
      <c r="I19" s="186"/>
      <c r="J19" s="186"/>
      <c r="K19" s="292"/>
      <c r="L19" s="155"/>
    </row>
    <row r="20" spans="1:12">
      <c r="A20" s="152" t="s">
        <v>1317</v>
      </c>
      <c r="B20" s="149" t="s">
        <v>1318</v>
      </c>
      <c r="C20" s="150"/>
      <c r="D20" s="249" t="e">
        <f>D18*D16</f>
        <v>#DIV/0!</v>
      </c>
      <c r="E20" s="258" t="e">
        <f t="shared" ref="E20:J20" si="3">E18*E16</f>
        <v>#DIV/0!</v>
      </c>
      <c r="F20" s="258" t="e">
        <f t="shared" si="3"/>
        <v>#DIV/0!</v>
      </c>
      <c r="G20" s="258" t="e">
        <f t="shared" si="3"/>
        <v>#DIV/0!</v>
      </c>
      <c r="H20" s="258" t="e">
        <f t="shared" si="3"/>
        <v>#DIV/0!</v>
      </c>
      <c r="I20" s="258" t="e">
        <f t="shared" si="3"/>
        <v>#DIV/0!</v>
      </c>
      <c r="J20" s="258" t="e">
        <f t="shared" si="3"/>
        <v>#DIV/0!</v>
      </c>
      <c r="K20" s="292" t="e">
        <f>SUM(E20:J20)</f>
        <v>#DIV/0!</v>
      </c>
      <c r="L20" s="151" t="e">
        <f>IF(ABS(K20-D20)&lt;0.01,"ok","err")</f>
        <v>#DIV/0!</v>
      </c>
    </row>
    <row r="21" spans="1:12">
      <c r="A21" s="156"/>
      <c r="B21" s="149"/>
      <c r="C21" s="154"/>
      <c r="D21" s="246"/>
      <c r="E21" s="186"/>
      <c r="F21" s="186"/>
      <c r="G21" s="186"/>
      <c r="H21" s="186"/>
      <c r="I21" s="186"/>
      <c r="J21" s="186"/>
      <c r="K21" s="292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ProForma'!N715</f>
        <v>0</v>
      </c>
      <c r="E22" s="258" t="e">
        <f t="shared" ref="E22:J22" si="4">(E14/$D$14)*$D$22</f>
        <v>#DIV/0!</v>
      </c>
      <c r="F22" s="258" t="e">
        <f t="shared" si="4"/>
        <v>#DIV/0!</v>
      </c>
      <c r="G22" s="258" t="e">
        <f t="shared" si="4"/>
        <v>#DIV/0!</v>
      </c>
      <c r="H22" s="258" t="e">
        <f t="shared" si="4"/>
        <v>#DIV/0!</v>
      </c>
      <c r="I22" s="258" t="e">
        <f t="shared" si="4"/>
        <v>#DIV/0!</v>
      </c>
      <c r="J22" s="258" t="e">
        <f t="shared" si="4"/>
        <v>#DIV/0!</v>
      </c>
      <c r="K22" s="292" t="e">
        <f>SUM(E22:J22)</f>
        <v>#DIV/0!</v>
      </c>
      <c r="L22" s="151" t="e">
        <f>IF(ABS(K22-D22)&lt;0.01,"ok","err")</f>
        <v>#DIV/0!</v>
      </c>
    </row>
    <row r="23" spans="1:12">
      <c r="A23" s="156"/>
      <c r="B23" s="149"/>
      <c r="C23" s="154"/>
      <c r="D23" s="246"/>
      <c r="E23" s="186"/>
      <c r="F23" s="186"/>
      <c r="G23" s="186"/>
      <c r="H23" s="186"/>
      <c r="I23" s="186"/>
      <c r="J23" s="186"/>
      <c r="K23" s="292"/>
      <c r="L23" s="155"/>
    </row>
    <row r="24" spans="1:12">
      <c r="A24" s="152" t="s">
        <v>1320</v>
      </c>
      <c r="B24" s="149" t="s">
        <v>1321</v>
      </c>
      <c r="C24" s="150"/>
      <c r="D24" s="249" t="e">
        <f>D20-D22</f>
        <v>#DIV/0!</v>
      </c>
      <c r="E24" s="258" t="e">
        <f t="shared" ref="E24:J24" si="5">E20-E22</f>
        <v>#DIV/0!</v>
      </c>
      <c r="F24" s="258" t="e">
        <f t="shared" si="5"/>
        <v>#DIV/0!</v>
      </c>
      <c r="G24" s="258" t="e">
        <f t="shared" si="5"/>
        <v>#DIV/0!</v>
      </c>
      <c r="H24" s="258" t="e">
        <f t="shared" si="5"/>
        <v>#DIV/0!</v>
      </c>
      <c r="I24" s="258" t="e">
        <f t="shared" si="5"/>
        <v>#DIV/0!</v>
      </c>
      <c r="J24" s="258" t="e">
        <f t="shared" si="5"/>
        <v>#DIV/0!</v>
      </c>
      <c r="K24" s="292" t="e">
        <f>SUM(E24:J24)</f>
        <v>#DIV/0!</v>
      </c>
      <c r="L24" s="151" t="e">
        <f>IF(ABS(K24-D24)&lt;0.01,"ok","err")</f>
        <v>#DIV/0!</v>
      </c>
    </row>
    <row r="25" spans="1:12">
      <c r="A25" s="156"/>
      <c r="B25" s="149"/>
      <c r="C25" s="154"/>
      <c r="D25" s="246"/>
      <c r="E25" s="186"/>
      <c r="F25" s="186"/>
      <c r="G25" s="186"/>
      <c r="H25" s="186"/>
      <c r="I25" s="186"/>
      <c r="J25" s="186"/>
      <c r="K25" s="292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ProForma'!N766+'Allocation ProForma'!N984</f>
        <v>0</v>
      </c>
      <c r="E26" s="258" t="e">
        <f t="shared" ref="E26:J26" si="6">$D$26*(E24/$K$24)</f>
        <v>#DIV/0!</v>
      </c>
      <c r="F26" s="258" t="e">
        <f t="shared" si="6"/>
        <v>#DIV/0!</v>
      </c>
      <c r="G26" s="258" t="e">
        <f t="shared" si="6"/>
        <v>#DIV/0!</v>
      </c>
      <c r="H26" s="258" t="e">
        <f t="shared" si="6"/>
        <v>#DIV/0!</v>
      </c>
      <c r="I26" s="258" t="e">
        <f t="shared" si="6"/>
        <v>#DIV/0!</v>
      </c>
      <c r="J26" s="258" t="e">
        <f t="shared" si="6"/>
        <v>#DIV/0!</v>
      </c>
      <c r="K26" s="292" t="e">
        <f>SUM(E26:J26)</f>
        <v>#DIV/0!</v>
      </c>
      <c r="L26" s="151" t="e">
        <f>IF(ABS(K26-D26)&lt;0.01,"ok","err")</f>
        <v>#DIV/0!</v>
      </c>
    </row>
    <row r="27" spans="1:12">
      <c r="A27" s="156"/>
      <c r="B27" s="149"/>
      <c r="C27" s="154"/>
      <c r="D27" s="246"/>
      <c r="E27" s="186"/>
      <c r="F27" s="186"/>
      <c r="G27" s="186"/>
      <c r="H27" s="186"/>
      <c r="I27" s="186"/>
      <c r="J27" s="186"/>
      <c r="K27" s="292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ProForma'!N685</f>
        <v>0</v>
      </c>
      <c r="E28" s="258">
        <f>'Allocation ProForma'!N174+'Allocation ProForma'!N175+'Allocation ProForma'!N176</f>
        <v>0</v>
      </c>
      <c r="F28" s="258">
        <f>'Allocation ProForma'!N177</f>
        <v>0</v>
      </c>
      <c r="G28" s="258">
        <f>'Allocation ProForma'!N186</f>
        <v>0</v>
      </c>
      <c r="H28" s="258">
        <f>'Allocation ProForma'!N192+'Allocation ProForma'!N196+'Allocation ProForma'!N198+'Allocation ProForma'!N203</f>
        <v>0</v>
      </c>
      <c r="I28" s="258">
        <f>'Allocation ProForma'!N197+'Allocation ProForma'!N199+'Allocation ProForma'!N204+'Allocation ProForma'!N208+'Allocation ProForma'!N211</f>
        <v>0</v>
      </c>
      <c r="J28" s="258">
        <f>'Allocation ProForma'!N217+'Allocation ProForma'!N220</f>
        <v>0</v>
      </c>
      <c r="K28" s="292">
        <f t="shared" ref="K28:K33" si="7">SUM(E28:J28)</f>
        <v>0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ProForma'!N686</f>
        <v>0</v>
      </c>
      <c r="E29" s="258">
        <f>'Allocation ProForma'!N290</f>
        <v>0</v>
      </c>
      <c r="F29" s="258">
        <v>0</v>
      </c>
      <c r="G29" s="258">
        <f>'Allocation ProForma'!N296</f>
        <v>0</v>
      </c>
      <c r="H29" s="258">
        <f>'Allocation ProForma'!N302+'Allocation ProForma'!N306+'Allocation ProForma'!N308+'Allocation ProForma'!N313</f>
        <v>0</v>
      </c>
      <c r="I29" s="258">
        <f>'Allocation ProForma'!N307+'Allocation ProForma'!N309+'Allocation ProForma'!N314+'Allocation ProForma'!N318+'Allocation ProForma'!N321</f>
        <v>0</v>
      </c>
      <c r="J29" s="258">
        <v>0</v>
      </c>
      <c r="K29" s="292">
        <f t="shared" si="7"/>
        <v>0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ProForma'!N687+'Allocation ProForma'!N688+'Allocation ProForma'!N691+'Allocation ProForma'!N692+'Allocation ProForma'!N693</f>
        <v>0</v>
      </c>
      <c r="E30" s="258">
        <f>'Allocation ProForma'!N401+'Allocation ProForma'!N456+'Allocation ProForma'!N345+'Allocation ProForma'!N511+'Allocation ProForma'!N566</f>
        <v>0</v>
      </c>
      <c r="F30" s="258">
        <f>'Allocation ProForma'!N342+'Allocation ProForma'!N343+'Allocation ProForma'!N344+'Allocation ProForma'!N398+'Allocation ProForma'!N399+'Allocation ProForma'!N400+'Allocation ProForma'!N453+'Allocation ProForma'!N454+'Allocation ProForma'!N455+'Allocation ProForma'!N508+'Allocation ProForma'!N509+'Allocation ProForma'!N510+'Allocation ProForma'!N563+'Allocation ProForma'!N564+'Allocation ProForma'!N565</f>
        <v>0</v>
      </c>
      <c r="G30" s="258">
        <f>'Allocation ProForma'!N351+'Allocation ProForma'!N407+'Allocation ProForma'!N462+'Allocation ProForma'!N517+'Allocation ProForma'!N572</f>
        <v>0</v>
      </c>
      <c r="H30" s="258">
        <f>'Allocation ProForma'!N357+'Allocation ProForma'!N361+'Allocation ProForma'!N363+'Allocation ProForma'!N368+'Allocation ProForma'!N413+'Allocation ProForma'!N417+'Allocation ProForma'!N419+'Allocation ProForma'!N424+'Allocation ProForma'!N468+'Allocation ProForma'!N472+'Allocation ProForma'!N474+'Allocation ProForma'!N479+'Allocation ProForma'!N523+'Allocation ProForma'!N527+'Allocation ProForma'!N529+'Allocation ProForma'!N534+'Allocation ProForma'!N578+'Allocation ProForma'!N582+'Allocation ProForma'!N584+'Allocation ProForma'!N589</f>
        <v>0</v>
      </c>
      <c r="I30" s="258">
        <f>'Allocation ProForma'!N362+'Allocation ProForma'!N364+'Allocation ProForma'!N369+'Allocation ProForma'!N373+'Allocation ProForma'!N377+'Allocation ProForma'!N418+'Allocation ProForma'!N420+'Allocation ProForma'!N425+'Allocation ProForma'!N429+'Allocation ProForma'!N432+'Allocation ProForma'!N473+'Allocation ProForma'!N475+'Allocation ProForma'!N480+'Allocation ProForma'!N484+'Allocation ProForma'!N487+'Allocation ProForma'!N528+'Allocation ProForma'!N530+'Allocation ProForma'!N535+'Allocation ProForma'!N539+'Allocation ProForma'!N542+'Allocation ProForma'!N583+'Allocation ProForma'!N585+'Allocation ProForma'!N590+'Allocation ProForma'!N594+'Allocation ProForma'!N597</f>
        <v>0</v>
      </c>
      <c r="J30" s="258">
        <v>0</v>
      </c>
      <c r="K30" s="292">
        <f t="shared" si="7"/>
        <v>0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ProForma'!N689+'Allocation ProForma'!N690</f>
        <v>0</v>
      </c>
      <c r="E31" s="258" t="e">
        <f t="shared" ref="E31:J31" si="8">$D$31*(E14/$K$14)</f>
        <v>#DIV/0!</v>
      </c>
      <c r="F31" s="258" t="e">
        <f t="shared" si="8"/>
        <v>#DIV/0!</v>
      </c>
      <c r="G31" s="258" t="e">
        <f t="shared" si="8"/>
        <v>#DIV/0!</v>
      </c>
      <c r="H31" s="258" t="e">
        <f t="shared" si="8"/>
        <v>#DIV/0!</v>
      </c>
      <c r="I31" s="258" t="e">
        <f t="shared" si="8"/>
        <v>#DIV/0!</v>
      </c>
      <c r="J31" s="258" t="e">
        <f t="shared" si="8"/>
        <v>#DIV/0!</v>
      </c>
      <c r="K31" s="292" t="e">
        <f t="shared" si="7"/>
        <v>#DIV/0!</v>
      </c>
      <c r="L31" s="151" t="e">
        <f>IF(ABS(K31-D31)&lt;0.01,"ok","err")</f>
        <v>#DIV/0!</v>
      </c>
    </row>
    <row r="32" spans="1:12">
      <c r="A32" s="152" t="s">
        <v>1330</v>
      </c>
      <c r="B32" s="157" t="s">
        <v>1329</v>
      </c>
      <c r="C32" s="150"/>
      <c r="D32" s="249">
        <f>'Allocation ProForma'!N696</f>
        <v>0</v>
      </c>
      <c r="E32" s="258">
        <f>D32</f>
        <v>0</v>
      </c>
      <c r="F32" s="258"/>
      <c r="G32" s="258"/>
      <c r="H32" s="258"/>
      <c r="I32" s="258"/>
      <c r="J32" s="258"/>
      <c r="K32" s="292">
        <f t="shared" si="7"/>
        <v>0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185">
        <f>'Allocation ProForma'!N772</f>
        <v>0</v>
      </c>
      <c r="E33" s="258">
        <f>D33</f>
        <v>0</v>
      </c>
      <c r="F33" s="258">
        <v>0</v>
      </c>
      <c r="G33" s="258">
        <v>0</v>
      </c>
      <c r="H33" s="258">
        <v>0</v>
      </c>
      <c r="I33" s="258">
        <v>0</v>
      </c>
      <c r="J33" s="258">
        <v>0</v>
      </c>
      <c r="K33" s="292">
        <f t="shared" si="7"/>
        <v>0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185">
        <f>'Allocation ProForma'!N771+'Allocation ProForma'!N774+'Allocation ProForma'!N775</f>
        <v>0</v>
      </c>
      <c r="E34" s="258">
        <v>0</v>
      </c>
      <c r="F34" s="258">
        <f>D34</f>
        <v>0</v>
      </c>
      <c r="G34" s="258">
        <v>0</v>
      </c>
      <c r="H34" s="258">
        <v>0</v>
      </c>
      <c r="I34" s="258">
        <v>0</v>
      </c>
      <c r="J34" s="258">
        <v>0</v>
      </c>
      <c r="K34" s="292">
        <f t="shared" ref="K34:K39" si="10">SUM(E34:J34)</f>
        <v>0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185">
        <f>'Allocation ProForma'!N782+'Allocation ProForma'!N787</f>
        <v>0</v>
      </c>
      <c r="E35" s="258">
        <v>0</v>
      </c>
      <c r="F35" s="258">
        <v>0</v>
      </c>
      <c r="G35" s="258">
        <f>D35</f>
        <v>0</v>
      </c>
      <c r="H35" s="258">
        <v>0</v>
      </c>
      <c r="I35" s="258">
        <v>0</v>
      </c>
      <c r="J35" s="258">
        <v>0</v>
      </c>
      <c r="K35" s="292">
        <f t="shared" si="10"/>
        <v>0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185">
        <f>'Allocation ProForma'!N776+'Allocation ProForma'!N784</f>
        <v>0</v>
      </c>
      <c r="E36" s="258">
        <v>0</v>
      </c>
      <c r="F36" s="258">
        <v>0</v>
      </c>
      <c r="G36" s="258">
        <v>0</v>
      </c>
      <c r="H36" s="258" t="e">
        <f>(H14/($I$14+$H$14)*$D$36)</f>
        <v>#DIV/0!</v>
      </c>
      <c r="I36" s="258" t="e">
        <f>(I14/($I$14+$H$14)*$D$36)</f>
        <v>#DIV/0!</v>
      </c>
      <c r="J36" s="258">
        <v>0</v>
      </c>
      <c r="K36" s="292" t="e">
        <f t="shared" si="10"/>
        <v>#DIV/0!</v>
      </c>
      <c r="L36" s="151" t="e">
        <f t="shared" si="9"/>
        <v>#DIV/0!</v>
      </c>
    </row>
    <row r="37" spans="1:12">
      <c r="A37" s="158" t="s">
        <v>1340</v>
      </c>
      <c r="B37" s="149" t="s">
        <v>1339</v>
      </c>
      <c r="C37" s="150"/>
      <c r="D37" s="185">
        <f>'Allocation ProForma'!N777+'Allocation ProForma'!N778+'Allocation ProForma'!N779+'Allocation ProForma'!N780+'Allocation ProForma'!N781+'Allocation ProForma'!N785+'Allocation ProForma'!N786+'Allocation ProForma'!N792+'Allocation ProForma'!N793+'Allocation ProForma'!N796+'Allocation ProForma'!N797+'Allocation ProForma'!N798+'Allocation ProForma'!N799+'Allocation ProForma'!N800+'Allocation ProForma'!N801+'Allocation ProForma'!N802+'Allocation ProForma'!N804+'Allocation ProForma'!N805</f>
        <v>0</v>
      </c>
      <c r="E37" s="258" t="e">
        <f t="shared" ref="E37:J37" si="11">(E14/($D$14)*$D$37)</f>
        <v>#DIV/0!</v>
      </c>
      <c r="F37" s="258" t="e">
        <f t="shared" si="11"/>
        <v>#DIV/0!</v>
      </c>
      <c r="G37" s="258" t="e">
        <f t="shared" si="11"/>
        <v>#DIV/0!</v>
      </c>
      <c r="H37" s="258" t="e">
        <f t="shared" si="11"/>
        <v>#DIV/0!</v>
      </c>
      <c r="I37" s="258" t="e">
        <f t="shared" si="11"/>
        <v>#DIV/0!</v>
      </c>
      <c r="J37" s="258" t="e">
        <f t="shared" si="11"/>
        <v>#DIV/0!</v>
      </c>
      <c r="K37" s="292" t="e">
        <f t="shared" si="10"/>
        <v>#DIV/0!</v>
      </c>
      <c r="L37" s="151" t="e">
        <f t="shared" si="9"/>
        <v>#DIV/0!</v>
      </c>
    </row>
    <row r="38" spans="1:12">
      <c r="A38" s="152"/>
      <c r="B38" s="149"/>
      <c r="D38" s="249"/>
      <c r="E38" s="258"/>
      <c r="F38" s="258"/>
      <c r="G38" s="258"/>
      <c r="H38" s="258"/>
      <c r="I38" s="258"/>
      <c r="J38" s="258"/>
      <c r="K38" s="292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ProForma'!N806</f>
        <v>0</v>
      </c>
      <c r="E39" s="258" t="e">
        <f>SUM(E33:E37)</f>
        <v>#DIV/0!</v>
      </c>
      <c r="F39" s="258" t="e">
        <f>SUM(F34:F37)</f>
        <v>#DIV/0!</v>
      </c>
      <c r="G39" s="258" t="e">
        <f>SUM(G33:G37)</f>
        <v>#DIV/0!</v>
      </c>
      <c r="H39" s="258" t="e">
        <f>SUM(H33:H37)</f>
        <v>#DIV/0!</v>
      </c>
      <c r="I39" s="258" t="e">
        <f>SUM(I33:I37)</f>
        <v>#DIV/0!</v>
      </c>
      <c r="J39" s="258" t="e">
        <f>SUM(J33:J37)</f>
        <v>#DIV/0!</v>
      </c>
      <c r="K39" s="292" t="e">
        <f t="shared" si="10"/>
        <v>#DIV/0!</v>
      </c>
      <c r="L39" s="151" t="e">
        <f t="shared" si="9"/>
        <v>#DIV/0!</v>
      </c>
    </row>
    <row r="40" spans="1:12">
      <c r="A40" s="156"/>
      <c r="B40" s="149"/>
      <c r="C40" s="154"/>
      <c r="D40" s="182"/>
      <c r="E40" s="186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ProForma'!N975</f>
        <v>0</v>
      </c>
      <c r="D41" s="249" t="e">
        <f>SUM(D28:D32)+D22+D26+D39+D24</f>
        <v>#DIV/0!</v>
      </c>
      <c r="E41" s="258" t="e">
        <f t="shared" ref="E41:J41" si="12">SUM(E28:E32)+E22+E26+E39+E24</f>
        <v>#DIV/0!</v>
      </c>
      <c r="F41" s="258" t="e">
        <f t="shared" si="12"/>
        <v>#DIV/0!</v>
      </c>
      <c r="G41" s="258" t="e">
        <f t="shared" si="12"/>
        <v>#DIV/0!</v>
      </c>
      <c r="H41" s="258" t="e">
        <f t="shared" si="12"/>
        <v>#DIV/0!</v>
      </c>
      <c r="I41" s="258" t="e">
        <f t="shared" si="12"/>
        <v>#DIV/0!</v>
      </c>
      <c r="J41" s="258" t="e">
        <f t="shared" si="12"/>
        <v>#DIV/0!</v>
      </c>
      <c r="K41" s="292" t="e">
        <f>SUM(E41:J41)</f>
        <v>#DIV/0!</v>
      </c>
      <c r="L41" s="151" t="e">
        <f>IF(ABS(K41-D41)&lt;0.01,"ok","err")</f>
        <v>#DIV/0!</v>
      </c>
    </row>
    <row r="42" spans="1:12">
      <c r="A42" s="156"/>
      <c r="B42" s="149"/>
      <c r="C42" s="154"/>
      <c r="D42" s="250"/>
      <c r="E42" s="186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ProForma'!N673+'Allocation ProForma'!N674+'Allocation ProForma'!N675)</f>
        <v>0</v>
      </c>
      <c r="E43" s="258">
        <v>0</v>
      </c>
      <c r="F43" s="258">
        <f>D43</f>
        <v>0</v>
      </c>
      <c r="G43" s="258">
        <v>0</v>
      </c>
      <c r="H43" s="258">
        <v>0</v>
      </c>
      <c r="I43" s="258">
        <v>0</v>
      </c>
      <c r="J43" s="258">
        <v>0</v>
      </c>
      <c r="K43" s="292">
        <f>SUM(E43:J43)</f>
        <v>0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ProForma'!N671+'Allocation ProForma'!N672+'Allocation ProForma'!N676+'Allocation ProForma'!N677+'Allocation ProForma'!N678+'Allocation ProForma'!N679)</f>
        <v>0</v>
      </c>
      <c r="E44" s="258" t="e">
        <f t="shared" ref="E44:J44" si="13">(E14/($D$14)*$D$44)</f>
        <v>#DIV/0!</v>
      </c>
      <c r="F44" s="258" t="e">
        <f t="shared" si="13"/>
        <v>#DIV/0!</v>
      </c>
      <c r="G44" s="258" t="e">
        <f t="shared" si="13"/>
        <v>#DIV/0!</v>
      </c>
      <c r="H44" s="258" t="e">
        <f t="shared" si="13"/>
        <v>#DIV/0!</v>
      </c>
      <c r="I44" s="258" t="e">
        <f t="shared" si="13"/>
        <v>#DIV/0!</v>
      </c>
      <c r="J44" s="258" t="e">
        <f t="shared" si="13"/>
        <v>#DIV/0!</v>
      </c>
      <c r="K44" s="292" t="e">
        <f>SUM(E44:J44)</f>
        <v>#DIV/0!</v>
      </c>
      <c r="L44" s="151" t="e">
        <f>IF(ABS(K44-D44)&lt;0.01,"ok","err")</f>
        <v>#DIV/0!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0</v>
      </c>
      <c r="E45" s="258" t="e">
        <f t="shared" si="14"/>
        <v>#DIV/0!</v>
      </c>
      <c r="F45" s="258" t="e">
        <f t="shared" si="14"/>
        <v>#DIV/0!</v>
      </c>
      <c r="G45" s="258" t="e">
        <f t="shared" si="14"/>
        <v>#DIV/0!</v>
      </c>
      <c r="H45" s="258" t="e">
        <f t="shared" si="14"/>
        <v>#DIV/0!</v>
      </c>
      <c r="I45" s="258" t="e">
        <f t="shared" si="14"/>
        <v>#DIV/0!</v>
      </c>
      <c r="J45" s="258" t="e">
        <f t="shared" si="14"/>
        <v>#DIV/0!</v>
      </c>
      <c r="K45" s="292" t="e">
        <f>SUM(E45:J45)</f>
        <v>#DIV/0!</v>
      </c>
      <c r="L45" s="151" t="e">
        <f>IF(ABS(K45-D45)&lt;0.01,"ok","err")</f>
        <v>#DIV/0!</v>
      </c>
    </row>
    <row r="46" spans="1:12">
      <c r="A46" s="156"/>
      <c r="B46" s="149"/>
      <c r="D46" s="246"/>
      <c r="E46" s="186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ProForma'!N975-SUM('Allocation ProForma'!N671:N679)</f>
        <v>0</v>
      </c>
      <c r="D47" s="249" t="e">
        <f t="shared" ref="D47:J47" si="15">D41+D45</f>
        <v>#DIV/0!</v>
      </c>
      <c r="E47" s="258" t="e">
        <f t="shared" si="15"/>
        <v>#DIV/0!</v>
      </c>
      <c r="F47" s="258" t="e">
        <f t="shared" si="15"/>
        <v>#DIV/0!</v>
      </c>
      <c r="G47" s="258" t="e">
        <f t="shared" si="15"/>
        <v>#DIV/0!</v>
      </c>
      <c r="H47" s="258" t="e">
        <f t="shared" si="15"/>
        <v>#DIV/0!</v>
      </c>
      <c r="I47" s="258" t="e">
        <f t="shared" si="15"/>
        <v>#DIV/0!</v>
      </c>
      <c r="J47" s="258" t="e">
        <f t="shared" si="15"/>
        <v>#DIV/0!</v>
      </c>
      <c r="K47" s="292" t="e">
        <f>SUM(E47:J47)</f>
        <v>#DIV/0!</v>
      </c>
      <c r="L47" s="151" t="e">
        <f>IF(ABS(K47-D47)&lt;0.01,"ok","err")</f>
        <v>#DIV/0!</v>
      </c>
    </row>
    <row r="48" spans="1:12">
      <c r="A48" s="156"/>
      <c r="B48" s="149"/>
      <c r="C48" s="154"/>
      <c r="D48" s="182"/>
      <c r="E48" s="186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54">
        <v>313570.02499999997</v>
      </c>
      <c r="F49" s="254">
        <f>'Allocation ProForma'!$N$1060</f>
        <v>0</v>
      </c>
      <c r="G49" s="254">
        <f>E49</f>
        <v>313570.02499999997</v>
      </c>
      <c r="H49" s="254">
        <f>E49</f>
        <v>313570.02499999997</v>
      </c>
      <c r="I49" s="254">
        <f>'Allocation ProForma'!$N$1075*12</f>
        <v>0</v>
      </c>
      <c r="J49" s="254">
        <f>'Allocation ProForma'!$N$1075*12</f>
        <v>0</v>
      </c>
      <c r="K49" s="228"/>
      <c r="L49" s="155"/>
    </row>
    <row r="50" spans="1:12" ht="14.4" thickBot="1">
      <c r="A50" s="156"/>
      <c r="B50" s="149"/>
      <c r="C50" s="154"/>
      <c r="D50" s="246"/>
      <c r="E50" s="186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61" t="e">
        <f t="shared" ref="E51:J51" si="16">E47/E49</f>
        <v>#DIV/0!</v>
      </c>
      <c r="F51" s="261" t="e">
        <f t="shared" si="16"/>
        <v>#DIV/0!</v>
      </c>
      <c r="G51" s="261" t="e">
        <f t="shared" si="16"/>
        <v>#DIV/0!</v>
      </c>
      <c r="H51" s="261" t="e">
        <f t="shared" si="16"/>
        <v>#DIV/0!</v>
      </c>
      <c r="I51" s="262" t="e">
        <f>I47/I49</f>
        <v>#DIV/0!</v>
      </c>
      <c r="J51" s="262" t="e">
        <f t="shared" si="16"/>
        <v>#DIV/0!</v>
      </c>
      <c r="K51" s="224" t="e">
        <f>I51+J51</f>
        <v>#DIV/0!</v>
      </c>
      <c r="L51" s="164"/>
    </row>
    <row r="52" spans="1:12">
      <c r="K52" s="225"/>
    </row>
    <row r="53" spans="1:12">
      <c r="J53" s="165" t="s">
        <v>1357</v>
      </c>
      <c r="K53" s="225" t="e">
        <f>I51+J51</f>
        <v>#DIV/0!</v>
      </c>
    </row>
    <row r="54" spans="1:12">
      <c r="J54" s="165" t="s">
        <v>1358</v>
      </c>
      <c r="K54" t="e">
        <f>F51</f>
        <v>#DIV/0!</v>
      </c>
    </row>
    <row r="55" spans="1:12">
      <c r="J55" s="165" t="s">
        <v>1498</v>
      </c>
      <c r="K55" s="3" t="e">
        <f>E51+G51+H51</f>
        <v>#DIV/0!</v>
      </c>
    </row>
    <row r="57" spans="1:12">
      <c r="J57" s="165" t="s">
        <v>170</v>
      </c>
      <c r="K57" s="15" t="e">
        <f>(I47+J47)/J49</f>
        <v>#DIV/0!</v>
      </c>
    </row>
    <row r="58" spans="1:12" ht="14.4" thickBot="1">
      <c r="J58" s="165" t="s">
        <v>1387</v>
      </c>
      <c r="K58" s="233" t="e">
        <f>((J47+I47)*D18)/J49</f>
        <v>#DIV/0!</v>
      </c>
    </row>
    <row r="59" spans="1:12" ht="14.4" thickBot="1">
      <c r="K59" s="181" t="e">
        <f>SUM(K57:K58)</f>
        <v>#DIV/0!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14.44140625" hidden="1" customWidth="1"/>
    <col min="4" max="4" width="28.33203125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1285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222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222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31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272"/>
      <c r="C13" s="273"/>
      <c r="D13" s="274"/>
      <c r="E13" s="275"/>
      <c r="F13" s="275"/>
      <c r="G13" s="275"/>
      <c r="H13" s="275"/>
      <c r="I13" s="275"/>
      <c r="J13" s="275"/>
      <c r="K13" s="227"/>
      <c r="L13" s="228"/>
    </row>
    <row r="14" spans="1:14">
      <c r="A14" s="148" t="s">
        <v>1311</v>
      </c>
      <c r="B14" s="149" t="s">
        <v>1069</v>
      </c>
      <c r="C14" s="150"/>
      <c r="D14" s="263">
        <f>'Allocation ProForma'!P170</f>
        <v>52220129.381343223</v>
      </c>
      <c r="E14" s="244">
        <f>'Allocation ProForma'!P119+'Allocation ProForma'!P120+'Allocation ProForma'!P121</f>
        <v>44953429.47261706</v>
      </c>
      <c r="F14" s="244">
        <f>'Allocation ProForma'!P122</f>
        <v>2440806.7179305842</v>
      </c>
      <c r="G14" s="244">
        <f>'Allocation ProForma'!P131</f>
        <v>4611313.9303824808</v>
      </c>
      <c r="H14" s="244">
        <f>'Allocation ProForma'!P141+'Allocation ProForma'!P143+'Allocation ProForma'!P148+'Allocation ProForma'!P137</f>
        <v>0</v>
      </c>
      <c r="I14" s="244">
        <f>'Allocation ProForma'!P142+'Allocation ProForma'!P144+'Allocation ProForma'!P149+'Allocation ProForma'!P153+'Allocation ProForma'!P156+'Allocation ProForma'!P159</f>
        <v>213301.04482615757</v>
      </c>
      <c r="J14" s="244">
        <f>'Allocation ProForma'!P162+'Allocation ProForma'!P165</f>
        <v>1278.2155869335104</v>
      </c>
      <c r="K14" s="293">
        <f>SUM(E14:J14)</f>
        <v>52220129.381343216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185">
        <f>'Allocation ProForma'!P818+'Allocation ProForma'!P819+'Allocation ProForma'!P820</f>
        <v>-918688.21906614455</v>
      </c>
      <c r="E15" s="185">
        <f t="shared" ref="E15:J15" si="0">(E14/$D$14)*$D$15</f>
        <v>-790848.02263758425</v>
      </c>
      <c r="F15" s="185">
        <f t="shared" si="0"/>
        <v>-42940.153602557999</v>
      </c>
      <c r="G15" s="185">
        <f t="shared" si="0"/>
        <v>-81125.034205133852</v>
      </c>
      <c r="H15" s="185">
        <f t="shared" si="0"/>
        <v>0</v>
      </c>
      <c r="I15" s="185">
        <f t="shared" si="0"/>
        <v>-3752.5214762547198</v>
      </c>
      <c r="J15" s="185">
        <f t="shared" si="0"/>
        <v>-22.487144613664455</v>
      </c>
      <c r="K15" s="293">
        <f>SUM(E15:J15)</f>
        <v>-918688.21906614432</v>
      </c>
      <c r="L15" s="151" t="str">
        <f>IF(ABS(K15-D15)&lt;0.01,"ok","err")</f>
        <v>ok</v>
      </c>
    </row>
    <row r="16" spans="1:14">
      <c r="A16" s="152" t="s">
        <v>1314</v>
      </c>
      <c r="B16" s="149" t="s">
        <v>1315</v>
      </c>
      <c r="C16" s="150"/>
      <c r="D16" s="249">
        <f>D14+D15</f>
        <v>51301441.16227708</v>
      </c>
      <c r="E16" s="183">
        <f t="shared" ref="E16:K16" si="1">E14+E15</f>
        <v>44162581.449979477</v>
      </c>
      <c r="F16" s="183">
        <f t="shared" si="1"/>
        <v>2397866.564328026</v>
      </c>
      <c r="G16" s="183">
        <f t="shared" si="1"/>
        <v>4530188.8961773468</v>
      </c>
      <c r="H16" s="183">
        <f t="shared" si="1"/>
        <v>0</v>
      </c>
      <c r="I16" s="183">
        <f t="shared" si="1"/>
        <v>209548.52334990285</v>
      </c>
      <c r="J16" s="183">
        <f t="shared" si="1"/>
        <v>1255.728442319846</v>
      </c>
      <c r="K16" s="293">
        <f t="shared" si="1"/>
        <v>51301441.162277073</v>
      </c>
      <c r="L16" s="151" t="str">
        <f>IF(ABS(K16-D16)&lt;0.01,"ok","err")</f>
        <v>ok</v>
      </c>
    </row>
    <row r="17" spans="1:12">
      <c r="A17" s="152"/>
      <c r="B17" s="153"/>
      <c r="C17" s="154"/>
      <c r="D17" s="246"/>
      <c r="E17" s="186"/>
      <c r="F17" s="186"/>
      <c r="G17" s="186"/>
      <c r="H17" s="186"/>
      <c r="I17" s="186"/>
      <c r="J17" s="186"/>
      <c r="K17" s="293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ProForma'!P993</f>
        <v>8.8122408840166436E-2</v>
      </c>
      <c r="E18" s="248">
        <f t="shared" ref="E18:J18" si="2">D18</f>
        <v>8.8122408840166436E-2</v>
      </c>
      <c r="F18" s="248">
        <f t="shared" si="2"/>
        <v>8.8122408840166436E-2</v>
      </c>
      <c r="G18" s="248">
        <f t="shared" si="2"/>
        <v>8.8122408840166436E-2</v>
      </c>
      <c r="H18" s="248">
        <f t="shared" si="2"/>
        <v>8.8122408840166436E-2</v>
      </c>
      <c r="I18" s="248">
        <f t="shared" si="2"/>
        <v>8.8122408840166436E-2</v>
      </c>
      <c r="J18" s="248">
        <f t="shared" si="2"/>
        <v>8.8122408840166436E-2</v>
      </c>
      <c r="K18" s="293"/>
      <c r="L18" s="151"/>
    </row>
    <row r="19" spans="1:12">
      <c r="A19" s="156"/>
      <c r="B19" s="149"/>
      <c r="C19" s="154"/>
      <c r="D19" s="246"/>
      <c r="E19" s="186"/>
      <c r="F19" s="186"/>
      <c r="G19" s="186"/>
      <c r="H19" s="186"/>
      <c r="I19" s="186"/>
      <c r="J19" s="186"/>
      <c r="K19" s="293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4520806.5721919239</v>
      </c>
      <c r="E20" s="183">
        <f t="shared" ref="E20:J20" si="3">E18*E16</f>
        <v>3891713.0579722417</v>
      </c>
      <c r="F20" s="183">
        <f t="shared" si="3"/>
        <v>211305.77772587957</v>
      </c>
      <c r="G20" s="183">
        <f t="shared" si="3"/>
        <v>399211.15803212248</v>
      </c>
      <c r="H20" s="183">
        <f t="shared" si="3"/>
        <v>0</v>
      </c>
      <c r="I20" s="183">
        <f t="shared" si="3"/>
        <v>18465.920646493301</v>
      </c>
      <c r="J20" s="183">
        <f t="shared" si="3"/>
        <v>110.65781518633482</v>
      </c>
      <c r="K20" s="293">
        <f>SUM(E20:J20)</f>
        <v>4520806.5721919229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186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ProForma'!P715</f>
        <v>975188.79024457908</v>
      </c>
      <c r="E22" s="183">
        <f t="shared" ref="E22:J22" si="4">(E14/$D$14)*$D$22</f>
        <v>839486.24838927621</v>
      </c>
      <c r="F22" s="183">
        <f t="shared" si="4"/>
        <v>45581.031274310924</v>
      </c>
      <c r="G22" s="183">
        <f t="shared" si="4"/>
        <v>86114.333811173638</v>
      </c>
      <c r="H22" s="183">
        <f t="shared" si="4"/>
        <v>0</v>
      </c>
      <c r="I22" s="183">
        <f t="shared" si="4"/>
        <v>3983.3066353190802</v>
      </c>
      <c r="J22" s="183">
        <f t="shared" si="4"/>
        <v>23.870134499107433</v>
      </c>
      <c r="K22" s="293">
        <f>SUM(E22:J22)</f>
        <v>975188.79024457897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186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3545617.7819473445</v>
      </c>
      <c r="E24" s="183">
        <f t="shared" ref="E24:J24" si="5">E20-E22</f>
        <v>3052226.8095829654</v>
      </c>
      <c r="F24" s="183">
        <f t="shared" si="5"/>
        <v>165724.74645156864</v>
      </c>
      <c r="G24" s="183">
        <f t="shared" si="5"/>
        <v>313096.82422094885</v>
      </c>
      <c r="H24" s="183">
        <f t="shared" si="5"/>
        <v>0</v>
      </c>
      <c r="I24" s="183">
        <f t="shared" si="5"/>
        <v>14482.614011174221</v>
      </c>
      <c r="J24" s="183">
        <f t="shared" si="5"/>
        <v>86.787680687227379</v>
      </c>
      <c r="K24" s="293">
        <f>SUM(E24:J24)</f>
        <v>3545617.7819473445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186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ProForma'!P766+'Allocation ProForma'!P984</f>
        <v>2205408.2179375533</v>
      </c>
      <c r="E26" s="183">
        <f t="shared" ref="E26:J26" si="6">$D$26*(E24/$K$24)</f>
        <v>1898514.307756695</v>
      </c>
      <c r="F26" s="183">
        <f t="shared" si="6"/>
        <v>103082.37949415122</v>
      </c>
      <c r="G26" s="183">
        <f t="shared" si="6"/>
        <v>194749.22329834051</v>
      </c>
      <c r="H26" s="183">
        <f t="shared" si="6"/>
        <v>0</v>
      </c>
      <c r="I26" s="183">
        <f t="shared" si="6"/>
        <v>9008.3246197842764</v>
      </c>
      <c r="J26" s="183">
        <f t="shared" si="6"/>
        <v>53.982768582074428</v>
      </c>
      <c r="K26" s="293">
        <f>SUM(E26:J26)</f>
        <v>2205408.2179375533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186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ProForma'!P685</f>
        <v>27195885.448624581</v>
      </c>
      <c r="E28" s="183">
        <f>'Allocation ProForma'!P174+'Allocation ProForma'!P175+'Allocation ProForma'!P176</f>
        <v>4600207.8402614426</v>
      </c>
      <c r="F28" s="183">
        <f>'Allocation ProForma'!P177</f>
        <v>21640720.896069035</v>
      </c>
      <c r="G28" s="183">
        <f>'Allocation ProForma'!P186</f>
        <v>831183.16877009859</v>
      </c>
      <c r="H28" s="183">
        <f>'Allocation ProForma'!P192+'Allocation ProForma'!P196+'Allocation ProForma'!P198+'Allocation ProForma'!P203</f>
        <v>0</v>
      </c>
      <c r="I28" s="183">
        <f>'Allocation ProForma'!P197+'Allocation ProForma'!P199+'Allocation ProForma'!P204+'Allocation ProForma'!P208+'Allocation ProForma'!P211</f>
        <v>106432.21117138477</v>
      </c>
      <c r="J28" s="183">
        <f>'Allocation ProForma'!P217+'Allocation ProForma'!P220</f>
        <v>17341.332352619065</v>
      </c>
      <c r="K28" s="293">
        <f t="shared" ref="K28:K33" si="7">SUM(E28:J28)</f>
        <v>27195885.448624581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ProForma'!P686</f>
        <v>3651488.3104545465</v>
      </c>
      <c r="E29" s="183">
        <f>'Allocation ProForma'!P290</f>
        <v>3403991.0547656515</v>
      </c>
      <c r="F29" s="183">
        <v>0</v>
      </c>
      <c r="G29" s="183">
        <f>'Allocation ProForma'!P296</f>
        <v>238040.99888529052</v>
      </c>
      <c r="H29" s="183">
        <f>'Allocation ProForma'!P302+'Allocation ProForma'!P306+'Allocation ProForma'!P308+'Allocation ProForma'!P313</f>
        <v>0</v>
      </c>
      <c r="I29" s="183">
        <f>'Allocation ProForma'!P307+'Allocation ProForma'!P309+'Allocation ProForma'!P314+'Allocation ProForma'!P318+'Allocation ProForma'!P321</f>
        <v>9456.2568036042339</v>
      </c>
      <c r="J29" s="183">
        <v>0</v>
      </c>
      <c r="K29" s="293">
        <f t="shared" si="7"/>
        <v>3651488.3104545465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ProForma'!P687+'Allocation ProForma'!P688+'Allocation ProForma'!P691+'Allocation ProForma'!P692+'Allocation ProForma'!P693</f>
        <v>454465.33612748445</v>
      </c>
      <c r="E30" s="183">
        <f>'Allocation ProForma'!P401+'Allocation ProForma'!P456+'Allocation ProForma'!P345+'Allocation ProForma'!P511+'Allocation ProForma'!P566</f>
        <v>400746.85493569978</v>
      </c>
      <c r="F30" s="183">
        <f>'Allocation ProForma'!P342+'Allocation ProForma'!P343+'Allocation ProForma'!P344+'Allocation ProForma'!P398+'Allocation ProForma'!P399+'Allocation ProForma'!P400+'Allocation ProForma'!P453+'Allocation ProForma'!P454+'Allocation ProForma'!P455+'Allocation ProForma'!P508+'Allocation ProForma'!P509+'Allocation ProForma'!P510+'Allocation ProForma'!P563+'Allocation ProForma'!P564+'Allocation ProForma'!P565</f>
        <v>0</v>
      </c>
      <c r="G30" s="183">
        <f>'Allocation ProForma'!P351+'Allocation ProForma'!P407+'Allocation ProForma'!P462+'Allocation ProForma'!P517+'Allocation ProForma'!P572</f>
        <v>51850.234971792313</v>
      </c>
      <c r="H30" s="183">
        <f>'Allocation ProForma'!P357+'Allocation ProForma'!P361+'Allocation ProForma'!P363+'Allocation ProForma'!P368+'Allocation ProForma'!P413+'Allocation ProForma'!P417+'Allocation ProForma'!P419+'Allocation ProForma'!P424+'Allocation ProForma'!P468+'Allocation ProForma'!P472+'Allocation ProForma'!P474+'Allocation ProForma'!P479+'Allocation ProForma'!P523+'Allocation ProForma'!P527+'Allocation ProForma'!P529+'Allocation ProForma'!P534+'Allocation ProForma'!P578+'Allocation ProForma'!P582+'Allocation ProForma'!P584+'Allocation ProForma'!P589</f>
        <v>0</v>
      </c>
      <c r="I30" s="183">
        <f>'Allocation ProForma'!P362+'Allocation ProForma'!P364+'Allocation ProForma'!P369+'Allocation ProForma'!P373+'Allocation ProForma'!P377+'Allocation ProForma'!P418+'Allocation ProForma'!P420+'Allocation ProForma'!P425+'Allocation ProForma'!P429+'Allocation ProForma'!P432+'Allocation ProForma'!P473+'Allocation ProForma'!P475+'Allocation ProForma'!P480+'Allocation ProForma'!P484+'Allocation ProForma'!P487+'Allocation ProForma'!P528+'Allocation ProForma'!P530+'Allocation ProForma'!P535+'Allocation ProForma'!P539+'Allocation ProForma'!P542+'Allocation ProForma'!P583+'Allocation ProForma'!P585+'Allocation ProForma'!P590+'Allocation ProForma'!P594+'Allocation ProForma'!P597</f>
        <v>1868.2462199924501</v>
      </c>
      <c r="J30" s="183">
        <v>0</v>
      </c>
      <c r="K30" s="293">
        <f t="shared" si="7"/>
        <v>454465.33612748457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ProForma'!P689+'Allocation ProForma'!P690</f>
        <v>177381.34713082251</v>
      </c>
      <c r="E31" s="183">
        <f t="shared" ref="E31:J31" si="8">$D$31*(E14/$K$14)</f>
        <v>152697.81925994394</v>
      </c>
      <c r="F31" s="183">
        <f t="shared" si="8"/>
        <v>8290.9328039154716</v>
      </c>
      <c r="G31" s="183">
        <f t="shared" si="8"/>
        <v>15663.712187327648</v>
      </c>
      <c r="H31" s="183">
        <f t="shared" si="8"/>
        <v>0</v>
      </c>
      <c r="I31" s="183">
        <f t="shared" si="8"/>
        <v>724.54103664464287</v>
      </c>
      <c r="J31" s="183">
        <f t="shared" si="8"/>
        <v>4.3418429908158336</v>
      </c>
      <c r="K31" s="293">
        <f t="shared" si="7"/>
        <v>177381.34713082248</v>
      </c>
      <c r="L31" s="151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249">
        <f>'Allocation ProForma'!P696+'Allocation ProForma'!P695</f>
        <v>-937304.22744620219</v>
      </c>
      <c r="E32" s="183">
        <f>D32</f>
        <v>-937304.22744620219</v>
      </c>
      <c r="F32" s="183"/>
      <c r="G32" s="183"/>
      <c r="H32" s="183"/>
      <c r="I32" s="183"/>
      <c r="J32" s="183"/>
      <c r="K32" s="293">
        <f t="shared" si="7"/>
        <v>-937304.22744620219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185">
        <f>'Allocation ProForma'!P772</f>
        <v>-26278.380607212086</v>
      </c>
      <c r="E33" s="183">
        <f>D33</f>
        <v>-26278.380607212086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-26278.380607212086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185">
        <f>'Allocation ProForma'!P771+'Allocation ProForma'!P774+'Allocation ProForma'!P775</f>
        <v>-1834694.120878068</v>
      </c>
      <c r="E34" s="183">
        <v>0</v>
      </c>
      <c r="F34" s="183">
        <f>D34</f>
        <v>-1834694.120878068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-1834694.120878068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185">
        <f>'Allocation ProForma'!P782+'Allocation ProForma'!P787</f>
        <v>-96572.285423501526</v>
      </c>
      <c r="E35" s="183">
        <v>0</v>
      </c>
      <c r="F35" s="183">
        <v>0</v>
      </c>
      <c r="G35" s="183">
        <f>D35</f>
        <v>-96572.285423501526</v>
      </c>
      <c r="H35" s="183">
        <v>0</v>
      </c>
      <c r="I35" s="183">
        <v>0</v>
      </c>
      <c r="J35" s="183">
        <v>0</v>
      </c>
      <c r="K35" s="293">
        <f t="shared" si="10"/>
        <v>-96572.285423501526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185">
        <f>'Allocation ProForma'!P776+'Allocation ProForma'!P784</f>
        <v>0</v>
      </c>
      <c r="E36" s="183">
        <v>0</v>
      </c>
      <c r="F36" s="183">
        <v>0</v>
      </c>
      <c r="G36" s="183">
        <v>0</v>
      </c>
      <c r="H36" s="183">
        <f>(H14/($I$14+$H$14)*$D$36)</f>
        <v>0</v>
      </c>
      <c r="I36" s="183">
        <f>(I14/($I$14+$H$14)*$D$36)</f>
        <v>0</v>
      </c>
      <c r="J36" s="183">
        <v>0</v>
      </c>
      <c r="K36" s="293">
        <f t="shared" si="10"/>
        <v>0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185">
        <f>'Allocation ProForma'!P777+'Allocation ProForma'!P778+'Allocation ProForma'!P779+'Allocation ProForma'!P780+'Allocation ProForma'!P781+'Allocation ProForma'!P785+'Allocation ProForma'!P786+'Allocation ProForma'!P792+'Allocation ProForma'!P793+'Allocation ProForma'!P796+'Allocation ProForma'!P797+'Allocation ProForma'!P798+'Allocation ProForma'!P799+'Allocation ProForma'!P800+'Allocation ProForma'!P801+'Allocation ProForma'!P802+'Allocation ProForma'!P804+'Allocation ProForma'!P805</f>
        <v>-44569.596239852232</v>
      </c>
      <c r="E37" s="183">
        <f t="shared" ref="E37:J37" si="11">(E14/($D$14)*$D$37)</f>
        <v>-38367.507413856198</v>
      </c>
      <c r="F37" s="183">
        <f t="shared" si="11"/>
        <v>-2083.2152506414723</v>
      </c>
      <c r="G37" s="183">
        <f t="shared" si="11"/>
        <v>-3935.7313443536063</v>
      </c>
      <c r="H37" s="183">
        <f t="shared" si="11"/>
        <v>0</v>
      </c>
      <c r="I37" s="183">
        <f t="shared" si="11"/>
        <v>-182.05128095368056</v>
      </c>
      <c r="J37" s="183">
        <f t="shared" si="11"/>
        <v>-1.0909500472717308</v>
      </c>
      <c r="K37" s="293">
        <f t="shared" si="10"/>
        <v>-44569.596239852224</v>
      </c>
      <c r="L37" s="151" t="str">
        <f t="shared" si="9"/>
        <v>ok</v>
      </c>
    </row>
    <row r="38" spans="1:12">
      <c r="A38" s="152"/>
      <c r="B38" s="149"/>
      <c r="D38" s="249"/>
      <c r="E38" s="183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ProForma'!P806</f>
        <v>-2002114.3831486341</v>
      </c>
      <c r="E39" s="183">
        <f>SUM(E33:E37)</f>
        <v>-64645.888021068284</v>
      </c>
      <c r="F39" s="183">
        <f>SUM(F34:F37)</f>
        <v>-1836777.3361287096</v>
      </c>
      <c r="G39" s="183">
        <f>SUM(G33:G37)</f>
        <v>-100508.01676785514</v>
      </c>
      <c r="H39" s="183">
        <f>SUM(H33:H37)</f>
        <v>0</v>
      </c>
      <c r="I39" s="183">
        <f>SUM(I33:I37)</f>
        <v>-182.05128095368056</v>
      </c>
      <c r="J39" s="183">
        <f>SUM(J33:J37)</f>
        <v>-1.0909500472717308</v>
      </c>
      <c r="K39" s="293">
        <f t="shared" si="10"/>
        <v>-2002114.3831486339</v>
      </c>
      <c r="L39" s="151" t="str">
        <f t="shared" si="9"/>
        <v>ok</v>
      </c>
    </row>
    <row r="40" spans="1:12">
      <c r="A40" s="156"/>
      <c r="B40" s="149"/>
      <c r="C40" s="154"/>
      <c r="D40" s="182"/>
      <c r="E40" s="186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ProForma'!P975</f>
        <v>35266016.621872075</v>
      </c>
      <c r="D41" s="249">
        <f>SUM(D28:D32)+D22+D26+D39+D24</f>
        <v>35266016.621872082</v>
      </c>
      <c r="E41" s="183">
        <f t="shared" ref="E41:J41" si="12">SUM(E28:E32)+E22+E26+E39+E24</f>
        <v>13345920.819484401</v>
      </c>
      <c r="F41" s="183">
        <f t="shared" si="12"/>
        <v>20126622.649964273</v>
      </c>
      <c r="G41" s="183">
        <f t="shared" si="12"/>
        <v>1630190.479377117</v>
      </c>
      <c r="H41" s="183">
        <f t="shared" si="12"/>
        <v>0</v>
      </c>
      <c r="I41" s="183">
        <f t="shared" si="12"/>
        <v>145773.44921694999</v>
      </c>
      <c r="J41" s="183">
        <f t="shared" si="12"/>
        <v>17509.223829331015</v>
      </c>
      <c r="K41" s="293">
        <f>SUM(E41:J41)</f>
        <v>35266016.621872067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186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ProForma'!P673+'Allocation ProForma'!P674+'Allocation ProForma'!P675)</f>
        <v>119983.07840908892</v>
      </c>
      <c r="E43" s="183">
        <v>0</v>
      </c>
      <c r="F43" s="183">
        <f>D43</f>
        <v>119983.07840908892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119983.07840908892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ProForma'!P671+'Allocation ProForma'!P672+'Allocation ProForma'!P676+'Allocation ProForma'!P677+'Allocation ProForma'!P678+'Allocation ProForma'!P679)</f>
        <v>-5656262.8828619663</v>
      </c>
      <c r="E44" s="183">
        <f t="shared" ref="E44:J44" si="13">(E14/($D$14)*$D$44)</f>
        <v>-4869164.776029069</v>
      </c>
      <c r="F44" s="183">
        <f t="shared" si="13"/>
        <v>-264377.82913275086</v>
      </c>
      <c r="G44" s="183">
        <f t="shared" si="13"/>
        <v>-499477.9625146889</v>
      </c>
      <c r="H44" s="183">
        <f t="shared" si="13"/>
        <v>0</v>
      </c>
      <c r="I44" s="183">
        <f t="shared" si="13"/>
        <v>-23103.864295612315</v>
      </c>
      <c r="J44" s="183">
        <f t="shared" si="13"/>
        <v>-138.45088984499307</v>
      </c>
      <c r="K44" s="293">
        <f>SUM(E44:J44)</f>
        <v>-5656262.8828619663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-5536279.8044528775</v>
      </c>
      <c r="E45" s="183">
        <f t="shared" si="14"/>
        <v>-4869164.776029069</v>
      </c>
      <c r="F45" s="183">
        <f t="shared" si="14"/>
        <v>-144394.75072366194</v>
      </c>
      <c r="G45" s="183">
        <f t="shared" si="14"/>
        <v>-499477.9625146889</v>
      </c>
      <c r="H45" s="183">
        <f t="shared" si="14"/>
        <v>0</v>
      </c>
      <c r="I45" s="183">
        <f t="shared" si="14"/>
        <v>-23103.864295612315</v>
      </c>
      <c r="J45" s="183">
        <f t="shared" si="14"/>
        <v>-138.45088984499307</v>
      </c>
      <c r="K45" s="293">
        <f>SUM(E45:J45)</f>
        <v>-5536279.8044528775</v>
      </c>
      <c r="L45" s="151" t="str">
        <f>IF(ABS(K45-D45)&lt;0.01,"ok","err")</f>
        <v>ok</v>
      </c>
    </row>
    <row r="46" spans="1:12">
      <c r="A46" s="156"/>
      <c r="B46" s="149"/>
      <c r="D46" s="246"/>
      <c r="E46" s="186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ProForma'!P975-SUM('Allocation ProForma'!P671:P679)</f>
        <v>29729736.817419197</v>
      </c>
      <c r="D47" s="249">
        <f t="shared" ref="D47:J47" si="15">D41+D45</f>
        <v>29729736.817419205</v>
      </c>
      <c r="E47" s="183">
        <f t="shared" si="15"/>
        <v>8476756.0434553325</v>
      </c>
      <c r="F47" s="183">
        <f t="shared" si="15"/>
        <v>19982227.899240609</v>
      </c>
      <c r="G47" s="183">
        <f t="shared" si="15"/>
        <v>1130712.516862428</v>
      </c>
      <c r="H47" s="183">
        <f t="shared" si="15"/>
        <v>0</v>
      </c>
      <c r="I47" s="183">
        <f t="shared" si="15"/>
        <v>122669.58492133766</v>
      </c>
      <c r="J47" s="183">
        <f t="shared" si="15"/>
        <v>17370.772939486022</v>
      </c>
      <c r="K47" s="293">
        <f>SUM(E47:J47)</f>
        <v>29729736.817419194</v>
      </c>
      <c r="L47" s="151" t="str">
        <f>IF(ABS(K47-D47)&lt;0.01,"ok","err")</f>
        <v>ok</v>
      </c>
    </row>
    <row r="48" spans="1:12">
      <c r="A48" s="156"/>
      <c r="B48" s="149"/>
      <c r="C48" s="154"/>
      <c r="D48" s="182"/>
      <c r="E48" s="186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54">
        <v>1268833.7</v>
      </c>
      <c r="F49" s="254">
        <f>'Allocation ProForma'!$P$1060</f>
        <v>523880472</v>
      </c>
      <c r="G49" s="254">
        <f>E49</f>
        <v>1268833.7</v>
      </c>
      <c r="H49" s="254">
        <f>E49</f>
        <v>1268833.7</v>
      </c>
      <c r="I49" s="254">
        <f>'Allocation ProForma'!$P$1075*12</f>
        <v>132</v>
      </c>
      <c r="J49" s="254">
        <f>'Allocation ProForma'!$P$1075*12</f>
        <v>132</v>
      </c>
      <c r="K49" s="228"/>
      <c r="L49" s="155"/>
    </row>
    <row r="50" spans="1:12" ht="14.4" thickBot="1">
      <c r="A50" s="156"/>
      <c r="B50" s="149"/>
      <c r="C50" s="154"/>
      <c r="D50" s="246"/>
      <c r="E50" s="186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61">
        <f t="shared" ref="E51:J51" si="16">E47/E49</f>
        <v>6.6807462975292449</v>
      </c>
      <c r="F51" s="261">
        <f t="shared" si="16"/>
        <v>3.8142723325714285E-2</v>
      </c>
      <c r="G51" s="261">
        <f t="shared" si="16"/>
        <v>0.89114319462229608</v>
      </c>
      <c r="H51" s="261">
        <f t="shared" si="16"/>
        <v>0</v>
      </c>
      <c r="I51" s="262">
        <f>I47/I49</f>
        <v>929.31503728286111</v>
      </c>
      <c r="J51" s="262">
        <f t="shared" si="16"/>
        <v>131.59676469307593</v>
      </c>
      <c r="K51" s="224">
        <f>I51+J51</f>
        <v>1060.9118019759371</v>
      </c>
      <c r="L51" s="164"/>
    </row>
    <row r="53" spans="1:12">
      <c r="J53" s="165" t="s">
        <v>1357</v>
      </c>
      <c r="K53" s="225">
        <f>I51+J51</f>
        <v>1060.9118019759371</v>
      </c>
    </row>
    <row r="54" spans="1:12">
      <c r="D54" s="271"/>
      <c r="J54" s="165" t="s">
        <v>1358</v>
      </c>
      <c r="K54" s="241">
        <f>F51</f>
        <v>3.8142723325714285E-2</v>
      </c>
    </row>
    <row r="55" spans="1:12">
      <c r="J55" s="165" t="s">
        <v>1498</v>
      </c>
      <c r="K55" s="3">
        <f>E51+G51+H51</f>
        <v>7.5718894921515414</v>
      </c>
    </row>
    <row r="57" spans="1:12">
      <c r="J57" s="165" t="s">
        <v>170</v>
      </c>
      <c r="K57" s="15">
        <f>(I47+J47)/J49</f>
        <v>1060.9118019759371</v>
      </c>
    </row>
    <row r="58" spans="1:12" ht="14.4" thickBot="1">
      <c r="J58" s="165" t="s">
        <v>1387</v>
      </c>
      <c r="K58" s="233">
        <f>((J47+I47)*D18)/J49</f>
        <v>93.490103557081227</v>
      </c>
    </row>
    <row r="59" spans="1:12" ht="14.4" thickBot="1">
      <c r="K59" s="181">
        <f>SUM(K57:K58)</f>
        <v>1154.4019055330184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52"/>
  <sheetViews>
    <sheetView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O37" sqref="O37:P37"/>
    </sheetView>
  </sheetViews>
  <sheetFormatPr defaultColWidth="9.109375" defaultRowHeight="13.8"/>
  <cols>
    <col min="1" max="1" width="49.88671875" style="318" bestFit="1" customWidth="1"/>
    <col min="2" max="2" width="17.44140625" style="318" bestFit="1" customWidth="1"/>
    <col min="3" max="17" width="22.6640625" style="318" customWidth="1"/>
    <col min="18" max="18" width="18.44140625" style="318" bestFit="1" customWidth="1"/>
    <col min="19" max="19" width="16.109375" style="318" bestFit="1" customWidth="1"/>
    <col min="20" max="20" width="14.33203125" style="318" bestFit="1" customWidth="1"/>
    <col min="21" max="24" width="12" style="318" bestFit="1" customWidth="1"/>
    <col min="25" max="25" width="9.109375" style="318"/>
    <col min="26" max="26" width="11.88671875" style="318" bestFit="1" customWidth="1"/>
    <col min="27" max="16384" width="9.109375" style="318"/>
  </cols>
  <sheetData>
    <row r="1" spans="1:27">
      <c r="A1" s="375" t="s">
        <v>637</v>
      </c>
      <c r="B1" s="375"/>
    </row>
    <row r="2" spans="1:27">
      <c r="A2" s="318" t="s">
        <v>747</v>
      </c>
    </row>
    <row r="4" spans="1:27">
      <c r="A4" s="348"/>
      <c r="B4" s="378" t="s">
        <v>940</v>
      </c>
      <c r="C4" s="379"/>
      <c r="D4" s="379"/>
      <c r="E4" s="379"/>
      <c r="F4" s="379"/>
      <c r="G4" s="379"/>
      <c r="H4" s="379"/>
      <c r="I4" s="379"/>
      <c r="J4" s="378" t="s">
        <v>191</v>
      </c>
      <c r="K4" s="378"/>
      <c r="L4" s="378" t="s">
        <v>1446</v>
      </c>
      <c r="M4" s="378" t="s">
        <v>1447</v>
      </c>
      <c r="N4" s="378" t="s">
        <v>191</v>
      </c>
      <c r="O4" s="380"/>
      <c r="P4" s="380"/>
      <c r="Q4" s="380"/>
      <c r="R4" s="380"/>
      <c r="S4" s="348"/>
      <c r="T4" s="348"/>
      <c r="U4" s="348"/>
      <c r="X4" s="348"/>
    </row>
    <row r="5" spans="1:27">
      <c r="A5" s="348"/>
      <c r="B5" s="378" t="s">
        <v>941</v>
      </c>
      <c r="C5" s="378" t="s">
        <v>145</v>
      </c>
      <c r="D5" s="378"/>
      <c r="E5" s="378" t="s">
        <v>1474</v>
      </c>
      <c r="F5" s="381" t="s">
        <v>1026</v>
      </c>
      <c r="G5" s="378" t="s">
        <v>1475</v>
      </c>
      <c r="H5" s="378" t="s">
        <v>1281</v>
      </c>
      <c r="I5" s="378" t="s">
        <v>658</v>
      </c>
      <c r="J5" s="378" t="s">
        <v>168</v>
      </c>
      <c r="K5" s="378" t="s">
        <v>198</v>
      </c>
      <c r="L5" s="378" t="s">
        <v>1444</v>
      </c>
      <c r="M5" s="378" t="s">
        <v>1445</v>
      </c>
      <c r="N5" s="378" t="s">
        <v>194</v>
      </c>
      <c r="O5" s="380"/>
      <c r="P5" s="380"/>
      <c r="Q5" s="380"/>
      <c r="R5" s="380"/>
      <c r="S5" s="348"/>
      <c r="T5" s="348"/>
      <c r="U5" s="348"/>
      <c r="X5" s="348"/>
      <c r="Y5" s="348"/>
      <c r="Z5" s="348"/>
      <c r="AA5" s="348"/>
    </row>
    <row r="6" spans="1:27" ht="14.4" thickBot="1">
      <c r="A6" s="382"/>
      <c r="B6" s="373">
        <v>40999</v>
      </c>
      <c r="C6" s="374" t="s">
        <v>146</v>
      </c>
      <c r="D6" s="374" t="s">
        <v>142</v>
      </c>
      <c r="E6" s="374" t="s">
        <v>1476</v>
      </c>
      <c r="F6" s="374" t="s">
        <v>1235</v>
      </c>
      <c r="G6" s="374"/>
      <c r="H6" s="374" t="s">
        <v>1477</v>
      </c>
      <c r="I6" s="374" t="s">
        <v>659</v>
      </c>
      <c r="J6" s="374" t="s">
        <v>1033</v>
      </c>
      <c r="K6" s="374" t="s">
        <v>1033</v>
      </c>
      <c r="L6" s="374" t="s">
        <v>1033</v>
      </c>
      <c r="M6" s="374" t="s">
        <v>1033</v>
      </c>
      <c r="N6" s="374" t="s">
        <v>195</v>
      </c>
      <c r="O6" s="380" t="s">
        <v>1537</v>
      </c>
      <c r="P6" s="380" t="s">
        <v>1538</v>
      </c>
      <c r="Q6" s="380"/>
      <c r="R6" s="380"/>
      <c r="U6" s="340"/>
    </row>
    <row r="7" spans="1:27">
      <c r="A7" s="348"/>
      <c r="B7" s="348"/>
      <c r="C7" s="340"/>
      <c r="D7" s="340"/>
      <c r="E7" s="340"/>
      <c r="F7" s="340"/>
      <c r="G7" s="340"/>
      <c r="H7" s="340"/>
      <c r="I7" s="340"/>
      <c r="J7" s="340"/>
      <c r="K7" s="340"/>
      <c r="M7" s="340"/>
      <c r="O7" s="185"/>
      <c r="P7" s="185"/>
      <c r="Q7" s="185"/>
      <c r="R7" s="185"/>
      <c r="S7" s="340"/>
      <c r="T7" s="340"/>
      <c r="U7" s="361"/>
    </row>
    <row r="8" spans="1:27">
      <c r="A8" s="44" t="s">
        <v>1422</v>
      </c>
      <c r="B8" s="377">
        <f>352518+64+3</f>
        <v>352585</v>
      </c>
      <c r="C8" s="377">
        <v>347769</v>
      </c>
      <c r="D8" s="377">
        <v>4217378380</v>
      </c>
      <c r="E8" s="377">
        <v>-1191004</v>
      </c>
      <c r="F8" s="383">
        <v>364714022</v>
      </c>
      <c r="G8" s="383">
        <v>666626</v>
      </c>
      <c r="H8" s="383">
        <v>-87579</v>
      </c>
      <c r="I8" s="383">
        <v>340800745</v>
      </c>
      <c r="J8" s="377">
        <v>1473392.0754575855</v>
      </c>
      <c r="K8" s="377">
        <f>ROUND(D8/8784,2)</f>
        <v>480120.49</v>
      </c>
      <c r="L8" s="384">
        <v>683862.30825849262</v>
      </c>
      <c r="M8" s="384">
        <v>1298437.8638338819</v>
      </c>
      <c r="N8" s="377">
        <v>2992683.7002905691</v>
      </c>
      <c r="O8" s="376">
        <v>850646.32499999984</v>
      </c>
      <c r="P8" s="376">
        <v>1160754.3599999999</v>
      </c>
      <c r="Q8" s="385"/>
      <c r="R8" s="385"/>
      <c r="S8" s="386"/>
      <c r="T8" s="340"/>
      <c r="U8" s="386"/>
    </row>
    <row r="9" spans="1:27">
      <c r="A9" s="348"/>
      <c r="B9" s="377"/>
      <c r="C9" s="387"/>
      <c r="D9" s="377"/>
      <c r="E9" s="377"/>
      <c r="F9" s="202"/>
      <c r="G9" s="202"/>
      <c r="H9" s="202"/>
      <c r="I9" s="202"/>
      <c r="J9" s="377"/>
      <c r="K9" s="377"/>
      <c r="L9" s="387"/>
      <c r="M9" s="387"/>
      <c r="N9" s="377"/>
      <c r="O9" s="376"/>
      <c r="P9" s="376"/>
      <c r="Q9" s="385"/>
      <c r="R9" s="385"/>
      <c r="S9" s="340"/>
      <c r="T9" s="340"/>
      <c r="U9" s="388"/>
      <c r="Y9" s="389"/>
      <c r="AA9" s="389"/>
    </row>
    <row r="10" spans="1:27">
      <c r="A10" s="44" t="s">
        <v>643</v>
      </c>
      <c r="B10" s="377">
        <v>44326</v>
      </c>
      <c r="C10" s="377">
        <v>43282</v>
      </c>
      <c r="D10" s="377">
        <v>1434062636</v>
      </c>
      <c r="E10" s="377">
        <v>-26247143</v>
      </c>
      <c r="F10" s="377">
        <v>136541859</v>
      </c>
      <c r="G10" s="377">
        <v>13117</v>
      </c>
      <c r="H10" s="377">
        <v>-2148925</v>
      </c>
      <c r="I10" s="377">
        <v>129864133</v>
      </c>
      <c r="J10" s="377">
        <v>420188.09795690543</v>
      </c>
      <c r="K10" s="377">
        <f>ROUND(D10/8784,2)</f>
        <v>163258.5</v>
      </c>
      <c r="L10" s="384">
        <v>270854.86786185158</v>
      </c>
      <c r="M10" s="384">
        <v>350044.97463807208</v>
      </c>
      <c r="N10" s="377">
        <v>578729.37853007542</v>
      </c>
      <c r="O10" s="376">
        <v>252868.19166666668</v>
      </c>
      <c r="P10" s="376">
        <v>320560</v>
      </c>
      <c r="Q10" s="390"/>
      <c r="R10" s="390"/>
      <c r="T10" s="340"/>
      <c r="U10" s="340"/>
    </row>
    <row r="11" spans="1:27">
      <c r="A11" s="348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87"/>
      <c r="M11" s="387"/>
      <c r="N11" s="377"/>
      <c r="O11" s="376"/>
      <c r="P11" s="376"/>
      <c r="Q11" s="376"/>
      <c r="R11" s="376"/>
      <c r="S11" s="340"/>
      <c r="T11" s="340"/>
      <c r="U11" s="361"/>
    </row>
    <row r="12" spans="1:27">
      <c r="A12" s="44" t="s">
        <v>1287</v>
      </c>
      <c r="B12" s="377">
        <f>85</f>
        <v>85</v>
      </c>
      <c r="C12" s="377">
        <f>85</f>
        <v>85</v>
      </c>
      <c r="D12" s="377">
        <v>238816300</v>
      </c>
      <c r="E12" s="377">
        <v>-4331880</v>
      </c>
      <c r="F12" s="377">
        <v>17392664</v>
      </c>
      <c r="G12" s="377">
        <v>0</v>
      </c>
      <c r="H12" s="377">
        <v>-301015</v>
      </c>
      <c r="I12" s="377">
        <v>16602273</v>
      </c>
      <c r="J12" s="377">
        <v>44064.655210082317</v>
      </c>
      <c r="K12" s="377">
        <f>ROUND(D12/8784,2)</f>
        <v>27187.65</v>
      </c>
      <c r="L12" s="384">
        <v>27708.011550396004</v>
      </c>
      <c r="M12" s="384">
        <v>39312.702978542431</v>
      </c>
      <c r="N12" s="377">
        <v>59675.114559802831</v>
      </c>
      <c r="O12" s="376">
        <v>28642.474999999999</v>
      </c>
      <c r="P12" s="376">
        <v>36082.740000000005</v>
      </c>
      <c r="Q12" s="391"/>
      <c r="R12" s="391"/>
      <c r="S12" s="386"/>
      <c r="T12" s="386"/>
      <c r="U12" s="386"/>
    </row>
    <row r="13" spans="1:27">
      <c r="A13" s="348"/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87"/>
      <c r="M13" s="387"/>
      <c r="N13" s="377"/>
      <c r="O13" s="376"/>
      <c r="P13" s="376"/>
      <c r="Q13" s="376"/>
      <c r="R13" s="376"/>
      <c r="S13" s="340"/>
      <c r="T13" s="340"/>
      <c r="U13" s="388"/>
      <c r="Y13" s="389"/>
      <c r="AA13" s="389"/>
    </row>
    <row r="14" spans="1:27">
      <c r="A14" s="44" t="s">
        <v>1288</v>
      </c>
      <c r="B14" s="377">
        <v>2899</v>
      </c>
      <c r="C14" s="377">
        <v>2910</v>
      </c>
      <c r="D14" s="377">
        <v>2332828585</v>
      </c>
      <c r="E14" s="377">
        <v>-18417463</v>
      </c>
      <c r="F14" s="377">
        <v>178058720</v>
      </c>
      <c r="G14" s="377">
        <v>1197</v>
      </c>
      <c r="H14" s="377">
        <v>-1256382</v>
      </c>
      <c r="I14" s="377">
        <v>169757405</v>
      </c>
      <c r="J14" s="377">
        <v>508964.8373625637</v>
      </c>
      <c r="K14" s="377">
        <f>ROUND(D14/8784,2)</f>
        <v>265577.02</v>
      </c>
      <c r="L14" s="384">
        <v>316058.3346335424</v>
      </c>
      <c r="M14" s="384">
        <v>463883.37177441665</v>
      </c>
      <c r="N14" s="377">
        <v>576432.78936982411</v>
      </c>
      <c r="O14" s="376">
        <v>330802.1083333334</v>
      </c>
      <c r="P14" s="376">
        <v>425602.5</v>
      </c>
      <c r="Q14" s="391"/>
      <c r="R14" s="391"/>
      <c r="S14" s="386"/>
      <c r="T14" s="386"/>
      <c r="U14" s="386"/>
    </row>
    <row r="15" spans="1:27">
      <c r="A15" s="348"/>
      <c r="B15" s="377"/>
      <c r="C15" s="377"/>
      <c r="D15" s="377"/>
      <c r="E15" s="377"/>
      <c r="F15" s="377"/>
      <c r="G15" s="377"/>
      <c r="H15" s="377"/>
      <c r="I15" s="377"/>
      <c r="J15" s="387"/>
      <c r="K15" s="387"/>
      <c r="L15" s="387"/>
      <c r="M15" s="387"/>
      <c r="N15" s="384"/>
      <c r="O15" s="390"/>
      <c r="P15" s="390"/>
      <c r="Q15" s="390"/>
      <c r="R15" s="390"/>
    </row>
    <row r="16" spans="1:27">
      <c r="A16" s="44" t="s">
        <v>1289</v>
      </c>
      <c r="B16" s="377">
        <v>31</v>
      </c>
      <c r="C16" s="377">
        <f>31</f>
        <v>31</v>
      </c>
      <c r="D16" s="377">
        <v>368941649</v>
      </c>
      <c r="E16" s="377">
        <v>2589572</v>
      </c>
      <c r="F16" s="377">
        <v>24616134</v>
      </c>
      <c r="G16" s="377">
        <v>0</v>
      </c>
      <c r="H16" s="377">
        <v>170526</v>
      </c>
      <c r="I16" s="377">
        <v>23129727</v>
      </c>
      <c r="J16" s="377">
        <v>70695.254949891721</v>
      </c>
      <c r="K16" s="377">
        <f>ROUND(D16/8784,2)</f>
        <v>42001.55</v>
      </c>
      <c r="L16" s="384">
        <v>41548.04702548885</v>
      </c>
      <c r="M16" s="384">
        <v>65217.728624662239</v>
      </c>
      <c r="N16" s="377">
        <v>96619.563169651534</v>
      </c>
      <c r="O16" s="376">
        <v>46501.791666666657</v>
      </c>
      <c r="P16" s="376">
        <v>59276.08</v>
      </c>
      <c r="Q16" s="390"/>
      <c r="R16" s="390"/>
      <c r="U16" s="340"/>
    </row>
    <row r="17" spans="1:27">
      <c r="A17" s="348"/>
      <c r="B17" s="377"/>
      <c r="C17" s="377"/>
      <c r="D17" s="377"/>
      <c r="E17" s="377"/>
      <c r="F17" s="377"/>
      <c r="G17" s="377"/>
      <c r="H17" s="377"/>
      <c r="I17" s="377"/>
      <c r="J17" s="387"/>
      <c r="K17" s="387"/>
      <c r="L17" s="387"/>
      <c r="M17" s="387"/>
      <c r="N17" s="384"/>
      <c r="O17" s="376"/>
      <c r="P17" s="376"/>
      <c r="Q17" s="376"/>
      <c r="R17" s="376"/>
      <c r="S17" s="340"/>
      <c r="T17" s="340"/>
      <c r="U17" s="361"/>
    </row>
    <row r="18" spans="1:27">
      <c r="A18" s="44" t="s">
        <v>1290</v>
      </c>
      <c r="B18" s="377">
        <v>114</v>
      </c>
      <c r="C18" s="376">
        <v>119</v>
      </c>
      <c r="D18" s="376">
        <v>422578868</v>
      </c>
      <c r="E18" s="376">
        <v>32247850</v>
      </c>
      <c r="F18" s="377">
        <v>28543537</v>
      </c>
      <c r="G18" s="377">
        <v>0</v>
      </c>
      <c r="H18" s="377">
        <v>2179309</v>
      </c>
      <c r="I18" s="377">
        <v>26882333</v>
      </c>
      <c r="J18" s="377">
        <v>89468.385528151557</v>
      </c>
      <c r="K18" s="377">
        <f>ROUND(D18/8784,2)</f>
        <v>48107.79</v>
      </c>
      <c r="L18" s="384">
        <v>58166.697442361699</v>
      </c>
      <c r="M18" s="384">
        <v>79222.3135301406</v>
      </c>
      <c r="N18" s="377">
        <v>111918.28886431537</v>
      </c>
      <c r="O18" s="376">
        <v>57624.716666666674</v>
      </c>
      <c r="P18" s="376">
        <v>72941.040000000008</v>
      </c>
      <c r="Q18" s="391"/>
      <c r="R18" s="391"/>
      <c r="S18" s="386"/>
      <c r="T18" s="386"/>
      <c r="U18" s="386"/>
    </row>
    <row r="19" spans="1:27">
      <c r="A19" s="375"/>
      <c r="B19" s="377"/>
      <c r="C19" s="376"/>
      <c r="D19" s="376"/>
      <c r="E19" s="376"/>
      <c r="F19" s="376"/>
      <c r="G19" s="376"/>
      <c r="H19" s="376"/>
      <c r="I19" s="377"/>
      <c r="J19" s="377"/>
      <c r="K19" s="377"/>
      <c r="L19" s="384"/>
      <c r="M19" s="384"/>
      <c r="N19" s="377"/>
      <c r="O19" s="391"/>
      <c r="P19" s="391"/>
      <c r="Q19" s="391"/>
      <c r="R19" s="391"/>
      <c r="S19" s="386"/>
      <c r="T19" s="386"/>
      <c r="U19" s="386"/>
    </row>
    <row r="20" spans="1:27">
      <c r="A20" s="44" t="s">
        <v>1464</v>
      </c>
      <c r="B20" s="377">
        <f>63</f>
        <v>63</v>
      </c>
      <c r="C20" s="377">
        <v>61</v>
      </c>
      <c r="D20" s="377">
        <v>1517084302</v>
      </c>
      <c r="E20" s="377">
        <v>4230240</v>
      </c>
      <c r="F20" s="377">
        <v>87846638</v>
      </c>
      <c r="G20" s="377">
        <v>0</v>
      </c>
      <c r="H20" s="377">
        <v>282919</v>
      </c>
      <c r="I20" s="376">
        <v>83471026</v>
      </c>
      <c r="J20" s="377">
        <v>335085.91141803714</v>
      </c>
      <c r="K20" s="377">
        <f>ROUND(D20/8784,2)</f>
        <v>172709.96</v>
      </c>
      <c r="L20" s="384">
        <v>165433.94147282466</v>
      </c>
      <c r="M20" s="384">
        <v>207993.09748573959</v>
      </c>
      <c r="N20" s="384">
        <v>538785.55088732566</v>
      </c>
      <c r="O20" s="376">
        <v>174321.38333333333</v>
      </c>
      <c r="P20" s="376">
        <v>205097.97999999998</v>
      </c>
      <c r="Q20" s="391"/>
      <c r="R20" s="391"/>
      <c r="S20" s="386"/>
      <c r="T20" s="386"/>
      <c r="U20" s="386"/>
    </row>
    <row r="21" spans="1:27">
      <c r="A21" s="348"/>
      <c r="B21" s="377"/>
      <c r="C21" s="377"/>
      <c r="D21" s="377"/>
      <c r="E21" s="377"/>
      <c r="F21" s="377"/>
      <c r="G21" s="377"/>
      <c r="H21" s="377"/>
      <c r="I21" s="377"/>
      <c r="J21" s="377"/>
      <c r="K21" s="392"/>
      <c r="L21" s="387"/>
      <c r="M21" s="387"/>
      <c r="N21" s="384"/>
      <c r="O21" s="390"/>
      <c r="P21" s="390"/>
      <c r="Q21" s="390"/>
      <c r="R21" s="390"/>
    </row>
    <row r="22" spans="1:27">
      <c r="A22" s="44" t="s">
        <v>1291</v>
      </c>
      <c r="B22" s="377">
        <f>43</f>
        <v>43</v>
      </c>
      <c r="C22" s="377">
        <v>43</v>
      </c>
      <c r="D22" s="377">
        <v>126781274</v>
      </c>
      <c r="E22" s="377">
        <v>11113361</v>
      </c>
      <c r="F22" s="377">
        <v>8943989</v>
      </c>
      <c r="G22" s="377">
        <v>0</v>
      </c>
      <c r="H22" s="377">
        <v>837487</v>
      </c>
      <c r="I22" s="377">
        <v>8540106</v>
      </c>
      <c r="J22" s="377">
        <v>25583.717000118591</v>
      </c>
      <c r="K22" s="377">
        <f>ROUND(D22/8784,2)</f>
        <v>14433.21</v>
      </c>
      <c r="L22" s="384">
        <v>16636.753454276222</v>
      </c>
      <c r="M22" s="384">
        <v>19630.156485819025</v>
      </c>
      <c r="N22" s="384">
        <v>33448.509273635158</v>
      </c>
      <c r="O22" s="376">
        <v>16129.66666666667</v>
      </c>
      <c r="P22" s="376">
        <v>18669.900000000001</v>
      </c>
      <c r="Q22" s="376"/>
      <c r="R22" s="376"/>
      <c r="S22" s="340"/>
      <c r="T22" s="340"/>
      <c r="U22" s="361"/>
    </row>
    <row r="23" spans="1:27">
      <c r="A23" s="348"/>
      <c r="B23" s="377"/>
      <c r="C23" s="377"/>
      <c r="D23" s="377"/>
      <c r="E23" s="377"/>
      <c r="F23" s="377"/>
      <c r="G23" s="377"/>
      <c r="H23" s="377"/>
      <c r="I23" s="377"/>
      <c r="J23" s="377"/>
      <c r="K23" s="392"/>
      <c r="L23" s="387"/>
      <c r="M23" s="387"/>
      <c r="N23" s="384"/>
      <c r="O23" s="376"/>
      <c r="P23" s="376"/>
      <c r="Q23" s="376"/>
      <c r="R23" s="376"/>
      <c r="S23" s="340"/>
      <c r="T23" s="340"/>
      <c r="U23" s="361"/>
    </row>
    <row r="24" spans="1:27">
      <c r="A24" s="44" t="s">
        <v>1465</v>
      </c>
      <c r="B24" s="377">
        <v>0</v>
      </c>
      <c r="C24" s="377">
        <v>0</v>
      </c>
      <c r="D24" s="377">
        <v>0</v>
      </c>
      <c r="E24" s="377">
        <v>0</v>
      </c>
      <c r="F24" s="377">
        <v>0</v>
      </c>
      <c r="G24" s="377">
        <v>0</v>
      </c>
      <c r="H24" s="377">
        <v>0</v>
      </c>
      <c r="I24" s="377">
        <v>0</v>
      </c>
      <c r="J24" s="377">
        <v>0</v>
      </c>
      <c r="K24" s="377">
        <f>ROUND(D24/8784,2)</f>
        <v>0</v>
      </c>
      <c r="L24" s="384">
        <v>0</v>
      </c>
      <c r="M24" s="384">
        <v>0</v>
      </c>
      <c r="N24" s="384">
        <v>0</v>
      </c>
      <c r="O24" s="376">
        <v>0</v>
      </c>
      <c r="P24" s="376">
        <v>0</v>
      </c>
      <c r="Q24" s="376"/>
      <c r="R24" s="376"/>
      <c r="S24" s="340"/>
      <c r="T24" s="340"/>
      <c r="U24" s="361"/>
    </row>
    <row r="25" spans="1:27">
      <c r="A25" s="348"/>
      <c r="B25" s="377"/>
      <c r="C25" s="377"/>
      <c r="D25" s="377"/>
      <c r="E25" s="377"/>
      <c r="F25" s="377"/>
      <c r="G25" s="377"/>
      <c r="H25" s="377"/>
      <c r="I25" s="377"/>
      <c r="J25" s="377"/>
      <c r="K25" s="392"/>
      <c r="L25" s="387"/>
      <c r="M25" s="387"/>
      <c r="N25" s="384"/>
      <c r="O25" s="376"/>
      <c r="P25" s="376"/>
      <c r="Q25" s="376"/>
      <c r="R25" s="376"/>
      <c r="S25" s="340"/>
      <c r="T25" s="340"/>
      <c r="U25" s="361"/>
    </row>
    <row r="26" spans="1:27">
      <c r="A26" s="44" t="s">
        <v>1292</v>
      </c>
      <c r="B26" s="377">
        <f>11</f>
        <v>11</v>
      </c>
      <c r="C26" s="376">
        <v>11</v>
      </c>
      <c r="D26" s="376">
        <v>523880472</v>
      </c>
      <c r="E26" s="377"/>
      <c r="F26" s="376">
        <v>29951912</v>
      </c>
      <c r="G26" s="376">
        <v>0</v>
      </c>
      <c r="H26" s="376">
        <v>0</v>
      </c>
      <c r="I26" s="377">
        <v>28274995</v>
      </c>
      <c r="J26" s="376">
        <v>99606.752148729895</v>
      </c>
      <c r="K26" s="377">
        <f>ROUND(D26/8784,2)</f>
        <v>59640.31</v>
      </c>
      <c r="L26" s="393">
        <v>73465.515867871058</v>
      </c>
      <c r="M26" s="393">
        <v>69988.825372121006</v>
      </c>
      <c r="N26" s="393">
        <v>144181.38162295194</v>
      </c>
      <c r="O26" s="376">
        <v>59571.333333333336</v>
      </c>
      <c r="P26" s="376">
        <v>66639.94</v>
      </c>
      <c r="Q26" s="391"/>
      <c r="R26" s="391"/>
      <c r="S26" s="386"/>
      <c r="T26" s="386"/>
      <c r="U26" s="386"/>
    </row>
    <row r="27" spans="1:27"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6"/>
      <c r="P27" s="376"/>
      <c r="Q27" s="376"/>
      <c r="R27" s="376"/>
      <c r="S27" s="340"/>
      <c r="T27" s="340"/>
      <c r="U27" s="388"/>
      <c r="Y27" s="389"/>
      <c r="AA27" s="389"/>
    </row>
    <row r="28" spans="1:27">
      <c r="A28" s="44" t="s">
        <v>613</v>
      </c>
      <c r="B28" s="377">
        <v>1</v>
      </c>
      <c r="C28" s="377">
        <v>1</v>
      </c>
      <c r="D28" s="377">
        <v>215705000</v>
      </c>
      <c r="E28" s="377"/>
      <c r="F28" s="377">
        <v>11987837</v>
      </c>
      <c r="G28" s="377">
        <v>0</v>
      </c>
      <c r="H28" s="377">
        <v>0</v>
      </c>
      <c r="I28" s="377">
        <v>11394576</v>
      </c>
      <c r="J28" s="377">
        <v>56989.371566365378</v>
      </c>
      <c r="K28" s="377">
        <f>ROUND(D28/8784,2)</f>
        <v>24556.58</v>
      </c>
      <c r="L28" s="393">
        <v>30160.163344508281</v>
      </c>
      <c r="M28" s="393">
        <v>49469.838618381531</v>
      </c>
      <c r="N28" s="393">
        <v>89766.242179125009</v>
      </c>
      <c r="O28" s="376">
        <v>32164.966666666664</v>
      </c>
      <c r="P28" s="376">
        <v>41210.020000000004</v>
      </c>
      <c r="Q28" s="376"/>
      <c r="R28" s="376"/>
      <c r="S28" s="340"/>
      <c r="T28" s="340"/>
      <c r="U28" s="388"/>
      <c r="Y28" s="389"/>
      <c r="AA28" s="389"/>
    </row>
    <row r="29" spans="1:27"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6"/>
      <c r="P29" s="376"/>
      <c r="Q29" s="376"/>
      <c r="R29" s="376"/>
      <c r="S29" s="340"/>
      <c r="T29" s="340"/>
      <c r="U29" s="388"/>
      <c r="Y29" s="389"/>
      <c r="AA29" s="389"/>
    </row>
    <row r="30" spans="1:27">
      <c r="A30" s="44" t="s">
        <v>667</v>
      </c>
      <c r="B30" s="377">
        <v>2</v>
      </c>
      <c r="C30" s="377">
        <v>2</v>
      </c>
      <c r="D30" s="377">
        <v>53731200</v>
      </c>
      <c r="E30" s="377">
        <v>4237200</v>
      </c>
      <c r="F30" s="377">
        <v>2850388</v>
      </c>
      <c r="G30" s="377">
        <v>0</v>
      </c>
      <c r="H30" s="377">
        <f>128769+93094</f>
        <v>221863</v>
      </c>
      <c r="I30" s="377">
        <v>2704760</v>
      </c>
      <c r="J30" s="377">
        <v>12867.325610879094</v>
      </c>
      <c r="K30" s="377">
        <f>ROUND(D30/8784,2)</f>
        <v>6116.94</v>
      </c>
      <c r="L30" s="393">
        <v>5836.975234304562</v>
      </c>
      <c r="M30" s="393">
        <v>9559.7350044235591</v>
      </c>
      <c r="N30" s="377">
        <v>17342.718575589479</v>
      </c>
      <c r="O30" s="376">
        <v>6821.9833333333336</v>
      </c>
      <c r="P30" s="376">
        <v>8433.64</v>
      </c>
      <c r="Q30" s="376"/>
      <c r="R30" s="376"/>
      <c r="S30" s="340"/>
      <c r="T30" s="340"/>
      <c r="U30" s="388"/>
      <c r="Y30" s="389"/>
      <c r="AA30" s="389"/>
    </row>
    <row r="31" spans="1:27"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6"/>
      <c r="P31" s="376"/>
      <c r="Q31" s="376"/>
      <c r="R31" s="376"/>
      <c r="S31" s="340"/>
      <c r="T31" s="340"/>
      <c r="U31" s="388"/>
      <c r="Y31" s="389"/>
      <c r="AA31" s="389"/>
    </row>
    <row r="32" spans="1:27">
      <c r="A32" s="44" t="s">
        <v>1443</v>
      </c>
      <c r="B32" s="377">
        <f>14157+72862+7</f>
        <v>87026</v>
      </c>
      <c r="C32" s="377">
        <v>95516</v>
      </c>
      <c r="D32" s="377">
        <v>103846198</v>
      </c>
      <c r="E32" s="377"/>
      <c r="F32" s="377">
        <v>17199655</v>
      </c>
      <c r="G32" s="377">
        <v>1872</v>
      </c>
      <c r="H32" s="377">
        <v>0</v>
      </c>
      <c r="I32" s="377">
        <f>3144604+13699023+1902</f>
        <v>16845529</v>
      </c>
      <c r="J32" s="377">
        <v>25151.038406482148</v>
      </c>
      <c r="K32" s="377">
        <f>ROUND(D32/8784,2)</f>
        <v>11822.2</v>
      </c>
      <c r="L32" s="393">
        <v>0</v>
      </c>
      <c r="M32" s="393">
        <v>0</v>
      </c>
      <c r="N32" s="377">
        <v>23829.368321732658</v>
      </c>
      <c r="O32" s="376">
        <v>3971.5666666666671</v>
      </c>
      <c r="P32" s="376">
        <v>0</v>
      </c>
      <c r="Q32" s="376"/>
      <c r="R32" s="376"/>
      <c r="S32" s="340"/>
      <c r="T32" s="340"/>
      <c r="U32" s="388"/>
      <c r="Y32" s="389"/>
      <c r="AA32" s="389"/>
    </row>
    <row r="33" spans="1:27"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6"/>
      <c r="P33" s="376"/>
      <c r="Q33" s="376"/>
      <c r="R33" s="376"/>
      <c r="S33" s="340"/>
      <c r="T33" s="340"/>
      <c r="U33" s="388"/>
      <c r="Y33" s="389"/>
      <c r="AA33" s="389"/>
    </row>
    <row r="34" spans="1:27">
      <c r="A34" s="44" t="s">
        <v>1294</v>
      </c>
      <c r="B34" s="377">
        <v>173</v>
      </c>
      <c r="C34" s="377">
        <v>170</v>
      </c>
      <c r="D34" s="377">
        <v>3674215</v>
      </c>
      <c r="E34" s="377">
        <v>6467</v>
      </c>
      <c r="F34" s="377">
        <v>217032.16000000003</v>
      </c>
      <c r="G34" s="377">
        <v>0</v>
      </c>
      <c r="H34" s="377">
        <v>365</v>
      </c>
      <c r="I34" s="377">
        <v>207166</v>
      </c>
      <c r="J34" s="377">
        <v>879.68234497559854</v>
      </c>
      <c r="K34" s="377">
        <f>ROUND(D34/8784,2)</f>
        <v>418.28</v>
      </c>
      <c r="L34" s="393">
        <v>0</v>
      </c>
      <c r="M34" s="393">
        <v>0</v>
      </c>
      <c r="N34" s="377">
        <v>833.45563176216399</v>
      </c>
      <c r="O34" s="376">
        <v>138.91666666666666</v>
      </c>
      <c r="P34" s="376">
        <v>0</v>
      </c>
      <c r="Q34" s="376"/>
      <c r="R34" s="376"/>
      <c r="S34" s="340"/>
      <c r="T34" s="340"/>
      <c r="U34" s="388"/>
      <c r="Y34" s="389"/>
      <c r="AA34" s="389"/>
    </row>
    <row r="35" spans="1:27"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6"/>
      <c r="P35" s="376"/>
      <c r="Q35" s="376"/>
      <c r="R35" s="376"/>
      <c r="S35" s="340"/>
      <c r="T35" s="340"/>
      <c r="U35" s="388"/>
      <c r="Y35" s="389"/>
      <c r="AA35" s="389"/>
    </row>
    <row r="36" spans="1:27">
      <c r="A36" s="372" t="s">
        <v>1293</v>
      </c>
      <c r="B36" s="394">
        <v>1018</v>
      </c>
      <c r="C36" s="394">
        <v>1018</v>
      </c>
      <c r="D36" s="394">
        <v>3075720</v>
      </c>
      <c r="E36" s="394"/>
      <c r="F36" s="394">
        <v>256873.25000000003</v>
      </c>
      <c r="G36" s="394">
        <v>9</v>
      </c>
      <c r="H36" s="394">
        <v>0</v>
      </c>
      <c r="I36" s="394">
        <v>248011</v>
      </c>
      <c r="J36" s="377">
        <v>371.9798836163248</v>
      </c>
      <c r="K36" s="394">
        <f>ROUND(D36/8784,2)</f>
        <v>350.15</v>
      </c>
      <c r="L36" s="395">
        <v>371.9798836163248</v>
      </c>
      <c r="M36" s="395">
        <v>371.9798836163248</v>
      </c>
      <c r="N36" s="394">
        <v>352.43259191573304</v>
      </c>
      <c r="O36" s="376">
        <v>352.40000000000003</v>
      </c>
      <c r="P36" s="376">
        <v>352.4</v>
      </c>
      <c r="Q36" s="376"/>
      <c r="R36" s="376"/>
      <c r="S36" s="340"/>
      <c r="T36" s="340"/>
      <c r="U36" s="388"/>
      <c r="Y36" s="389"/>
      <c r="AA36" s="389"/>
    </row>
    <row r="37" spans="1:27">
      <c r="A37" s="44" t="s">
        <v>1026</v>
      </c>
      <c r="B37" s="377">
        <f>SUM(B8:B36)</f>
        <v>488377</v>
      </c>
      <c r="C37" s="377">
        <f>SUM(C8:C36)</f>
        <v>491018</v>
      </c>
      <c r="D37" s="377">
        <f t="shared" ref="D37:P37" si="0">SUM(D8:D36)</f>
        <v>11562384799</v>
      </c>
      <c r="E37" s="377">
        <f t="shared" si="0"/>
        <v>4237200</v>
      </c>
      <c r="F37" s="202">
        <f>SUM(F8:F36)</f>
        <v>909121260.40999997</v>
      </c>
      <c r="G37" s="202">
        <f>SUM(G8:G36)</f>
        <v>682821</v>
      </c>
      <c r="H37" s="202">
        <f>SUM(H8:H36)</f>
        <v>-101432</v>
      </c>
      <c r="I37" s="202">
        <f t="shared" si="0"/>
        <v>858722785</v>
      </c>
      <c r="J37" s="396">
        <f t="shared" si="0"/>
        <v>3163309.0848443834</v>
      </c>
      <c r="K37" s="377">
        <f t="shared" si="0"/>
        <v>1316300.6300000001</v>
      </c>
      <c r="L37" s="377">
        <f t="shared" si="0"/>
        <v>1690103.596029534</v>
      </c>
      <c r="M37" s="377">
        <f>SUM(M8:M36)</f>
        <v>2653132.5882298173</v>
      </c>
      <c r="N37" s="377">
        <f t="shared" si="0"/>
        <v>5264598.4938682765</v>
      </c>
      <c r="O37" s="377">
        <f t="shared" si="0"/>
        <v>1860557.825</v>
      </c>
      <c r="P37" s="377">
        <f t="shared" si="0"/>
        <v>2415620.6</v>
      </c>
      <c r="Q37" s="376"/>
      <c r="R37" s="376"/>
      <c r="S37" s="340"/>
      <c r="T37" s="340"/>
      <c r="U37" s="388"/>
      <c r="Y37" s="389"/>
      <c r="AA37" s="389"/>
    </row>
    <row r="38" spans="1:27">
      <c r="A38" s="44"/>
      <c r="B38" s="397"/>
      <c r="C38" s="340"/>
      <c r="D38" s="340"/>
      <c r="E38" s="340" t="s">
        <v>1478</v>
      </c>
      <c r="F38" s="203">
        <v>-200398</v>
      </c>
      <c r="G38" s="203"/>
      <c r="H38" s="203">
        <v>-323295</v>
      </c>
      <c r="I38" s="263"/>
      <c r="J38" s="340"/>
      <c r="K38" s="398"/>
      <c r="L38" s="340"/>
      <c r="M38" s="399"/>
      <c r="N38" s="340"/>
      <c r="O38" s="386"/>
      <c r="P38" s="386"/>
      <c r="Q38" s="386"/>
      <c r="R38" s="386"/>
      <c r="S38" s="386"/>
      <c r="T38" s="386"/>
      <c r="U38" s="386"/>
    </row>
    <row r="39" spans="1:27">
      <c r="A39" s="348"/>
      <c r="B39" s="400"/>
      <c r="C39" s="400"/>
      <c r="D39" s="400"/>
      <c r="E39" s="400"/>
      <c r="F39" s="377">
        <v>-889818</v>
      </c>
      <c r="G39" s="400"/>
      <c r="H39" s="377">
        <f>H37-H38</f>
        <v>221863</v>
      </c>
      <c r="I39" s="377" t="s">
        <v>1480</v>
      </c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</row>
    <row r="40" spans="1:27">
      <c r="A40" s="348"/>
      <c r="B40" s="400"/>
      <c r="C40" s="400"/>
      <c r="D40" s="400"/>
      <c r="E40" s="400"/>
      <c r="F40" s="377">
        <f>SUM(F37:F39)</f>
        <v>908031044.40999997</v>
      </c>
      <c r="G40" s="377" t="s">
        <v>1479</v>
      </c>
      <c r="H40" s="400"/>
      <c r="I40" s="400"/>
      <c r="J40" s="400"/>
      <c r="K40" s="400"/>
      <c r="L40" s="400"/>
      <c r="M40" s="400"/>
      <c r="N40" s="400"/>
      <c r="O40" s="400"/>
      <c r="P40" s="400"/>
      <c r="Q40" s="400"/>
    </row>
    <row r="41" spans="1:27" ht="15.6"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401"/>
      <c r="O41" s="340"/>
      <c r="P41" s="340"/>
      <c r="Q41" s="340"/>
      <c r="R41" s="340"/>
      <c r="S41" s="340"/>
      <c r="T41" s="340"/>
      <c r="U41" s="340"/>
    </row>
    <row r="42" spans="1:27"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</row>
    <row r="43" spans="1:27"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U43" s="361"/>
    </row>
    <row r="44" spans="1:27"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61"/>
    </row>
    <row r="45" spans="1:27"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61"/>
    </row>
    <row r="46" spans="1:27"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Y46" s="389"/>
      <c r="AA46" s="389"/>
    </row>
    <row r="47" spans="1:27"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</row>
    <row r="48" spans="1:27"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</row>
    <row r="49" spans="3:27">
      <c r="C49" s="340"/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  <c r="O49" s="340"/>
      <c r="P49" s="340"/>
      <c r="Q49" s="340"/>
      <c r="R49" s="340"/>
      <c r="U49" s="361"/>
    </row>
    <row r="50" spans="3:27"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61"/>
    </row>
    <row r="51" spans="3:27"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61"/>
    </row>
    <row r="52" spans="3:27"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Y52" s="389"/>
      <c r="AA52" s="389"/>
    </row>
    <row r="53" spans="3:27"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</row>
    <row r="54" spans="3:27"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</row>
    <row r="55" spans="3:27"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U55" s="361"/>
    </row>
    <row r="56" spans="3:27"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U56" s="361"/>
    </row>
    <row r="57" spans="3:27"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61"/>
    </row>
    <row r="58" spans="3:27"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Y58" s="389"/>
      <c r="AA58" s="389"/>
    </row>
    <row r="59" spans="3:27"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</row>
    <row r="60" spans="3:27"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</row>
    <row r="61" spans="3:27"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U61" s="361"/>
    </row>
    <row r="62" spans="3:27"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61"/>
    </row>
    <row r="63" spans="3:27">
      <c r="C63" s="362"/>
      <c r="D63" s="362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  <c r="S63" s="362"/>
      <c r="T63" s="362"/>
      <c r="U63" s="361"/>
      <c r="X63" s="402"/>
    </row>
    <row r="64" spans="3:27"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6"/>
      <c r="Q64" s="386"/>
      <c r="R64" s="386"/>
      <c r="S64" s="386"/>
      <c r="T64" s="386"/>
      <c r="U64" s="386"/>
      <c r="Y64" s="389"/>
      <c r="AA64" s="389"/>
    </row>
    <row r="65" spans="3:27"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X65" s="403"/>
    </row>
    <row r="66" spans="3:27"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</row>
    <row r="67" spans="3:27"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U67" s="361"/>
    </row>
    <row r="68" spans="3:27"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61"/>
    </row>
    <row r="69" spans="3:27"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62"/>
      <c r="R69" s="340"/>
      <c r="U69" s="361"/>
      <c r="X69" s="402"/>
    </row>
    <row r="70" spans="3:27"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Y70" s="389"/>
      <c r="AA70" s="389"/>
    </row>
    <row r="71" spans="3:27"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X71" s="403"/>
    </row>
    <row r="72" spans="3:27"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</row>
    <row r="73" spans="3:27"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U73" s="361"/>
    </row>
    <row r="74" spans="3:27"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61"/>
    </row>
    <row r="75" spans="3:27">
      <c r="C75" s="399"/>
      <c r="D75" s="362"/>
      <c r="E75" s="362"/>
      <c r="F75" s="362"/>
      <c r="G75" s="362"/>
      <c r="H75" s="362"/>
      <c r="I75" s="362"/>
      <c r="J75" s="362"/>
      <c r="K75" s="362"/>
      <c r="L75" s="362"/>
      <c r="M75" s="362"/>
      <c r="N75" s="362"/>
      <c r="O75" s="362"/>
      <c r="P75" s="362"/>
      <c r="Q75" s="362"/>
      <c r="R75" s="362"/>
      <c r="S75" s="362"/>
      <c r="T75" s="362"/>
      <c r="U75" s="361"/>
      <c r="X75" s="402"/>
    </row>
    <row r="76" spans="3:27">
      <c r="C76" s="386"/>
      <c r="D76" s="362"/>
      <c r="E76" s="362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Y76" s="389"/>
      <c r="AA76" s="389"/>
    </row>
    <row r="77" spans="3:27"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X77" s="403"/>
    </row>
    <row r="78" spans="3:27"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X78" s="403"/>
    </row>
    <row r="79" spans="3:27"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U79" s="361"/>
    </row>
    <row r="80" spans="3:27"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62"/>
      <c r="U80" s="361"/>
    </row>
    <row r="81" spans="3:27"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62"/>
      <c r="R81" s="340"/>
      <c r="S81" s="340"/>
      <c r="T81" s="340"/>
      <c r="U81" s="361"/>
    </row>
    <row r="82" spans="3:27"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40"/>
      <c r="Q82" s="386"/>
      <c r="R82" s="386"/>
      <c r="S82" s="386"/>
      <c r="T82" s="386"/>
      <c r="U82" s="386"/>
      <c r="Y82" s="389"/>
      <c r="AA82" s="389"/>
    </row>
    <row r="83" spans="3:27"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</row>
    <row r="84" spans="3:27"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62"/>
      <c r="R84" s="340"/>
      <c r="U84" s="361"/>
    </row>
    <row r="85" spans="3:27"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U85" s="361"/>
    </row>
    <row r="86" spans="3:27"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62"/>
      <c r="R86" s="340"/>
      <c r="S86" s="340"/>
      <c r="T86" s="340"/>
      <c r="U86" s="361"/>
    </row>
    <row r="87" spans="3:27"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62"/>
      <c r="R87" s="340"/>
      <c r="U87" s="361"/>
    </row>
    <row r="88" spans="3:27"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</row>
    <row r="89" spans="3:27"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62"/>
    </row>
    <row r="90" spans="3:27"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61"/>
      <c r="Y90" s="389"/>
      <c r="AA90" s="389"/>
    </row>
    <row r="91" spans="3:27"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61"/>
    </row>
    <row r="92" spans="3:27"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AA92" s="389"/>
    </row>
    <row r="93" spans="3:27"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99"/>
      <c r="S93" s="399"/>
      <c r="T93" s="399"/>
      <c r="U93" s="399"/>
    </row>
    <row r="94" spans="3:27"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99"/>
      <c r="S94" s="399"/>
      <c r="T94" s="399"/>
      <c r="U94" s="399"/>
    </row>
    <row r="95" spans="3:27"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99"/>
      <c r="S95" s="399"/>
      <c r="T95" s="399"/>
      <c r="U95" s="399"/>
    </row>
    <row r="96" spans="3:27"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6"/>
      <c r="O96" s="386"/>
      <c r="P96" s="386"/>
      <c r="Q96" s="386"/>
      <c r="R96" s="399"/>
      <c r="S96" s="399"/>
      <c r="T96" s="399"/>
      <c r="U96" s="399"/>
    </row>
    <row r="97" spans="3:20">
      <c r="C97" s="340"/>
      <c r="D97" s="340"/>
      <c r="E97" s="340"/>
      <c r="F97" s="203"/>
      <c r="G97" s="203"/>
      <c r="H97" s="203"/>
      <c r="I97" s="203"/>
      <c r="J97" s="203"/>
      <c r="K97" s="203"/>
      <c r="L97" s="203"/>
      <c r="M97" s="340"/>
      <c r="N97" s="362"/>
      <c r="O97" s="203"/>
      <c r="P97" s="362"/>
      <c r="Q97" s="203"/>
      <c r="R97" s="203"/>
      <c r="S97" s="203"/>
      <c r="T97" s="203"/>
    </row>
    <row r="98" spans="3:20">
      <c r="C98" s="340"/>
      <c r="D98" s="340"/>
      <c r="E98" s="340"/>
      <c r="F98" s="203"/>
      <c r="G98" s="203"/>
      <c r="H98" s="203"/>
      <c r="I98" s="203"/>
      <c r="J98" s="203"/>
      <c r="K98" s="203"/>
      <c r="L98" s="203"/>
      <c r="M98" s="340"/>
      <c r="N98" s="362"/>
      <c r="O98" s="203"/>
      <c r="P98" s="362"/>
      <c r="Q98" s="203"/>
      <c r="R98" s="203"/>
      <c r="S98" s="203"/>
      <c r="T98" s="203"/>
    </row>
    <row r="99" spans="3:20">
      <c r="C99" s="340"/>
      <c r="D99" s="340"/>
      <c r="E99" s="340"/>
      <c r="F99" s="203"/>
      <c r="G99" s="203"/>
      <c r="H99" s="203"/>
      <c r="I99" s="203"/>
      <c r="J99" s="203"/>
      <c r="K99" s="203"/>
      <c r="L99" s="203"/>
      <c r="M99" s="340"/>
      <c r="N99" s="362"/>
      <c r="O99" s="203"/>
      <c r="P99" s="362"/>
      <c r="Q99" s="203"/>
      <c r="R99" s="203"/>
      <c r="S99" s="203"/>
      <c r="T99" s="203"/>
    </row>
    <row r="100" spans="3:20" ht="15.6">
      <c r="C100" s="401"/>
      <c r="D100" s="401"/>
      <c r="E100" s="401"/>
      <c r="F100" s="203"/>
      <c r="G100" s="203"/>
      <c r="H100" s="203"/>
      <c r="I100" s="203"/>
      <c r="J100" s="203"/>
      <c r="K100" s="203"/>
      <c r="L100" s="203"/>
      <c r="M100" s="401"/>
      <c r="N100" s="404"/>
      <c r="O100" s="203"/>
      <c r="P100" s="362"/>
      <c r="Q100" s="405"/>
      <c r="R100" s="405"/>
      <c r="S100" s="405"/>
      <c r="T100" s="405"/>
    </row>
    <row r="101" spans="3:20">
      <c r="C101" s="340"/>
      <c r="D101" s="340"/>
      <c r="E101" s="340"/>
      <c r="F101" s="203"/>
      <c r="G101" s="203"/>
      <c r="H101" s="203"/>
      <c r="I101" s="203"/>
      <c r="J101" s="203"/>
      <c r="K101" s="203"/>
      <c r="L101" s="203"/>
      <c r="M101" s="340"/>
      <c r="N101" s="362"/>
      <c r="O101" s="203"/>
      <c r="P101" s="362"/>
      <c r="Q101" s="203"/>
      <c r="R101" s="203"/>
      <c r="S101" s="203"/>
      <c r="T101" s="203"/>
    </row>
    <row r="102" spans="3:20" ht="15.6">
      <c r="C102" s="401"/>
      <c r="D102" s="401"/>
      <c r="E102" s="401"/>
      <c r="F102" s="405"/>
      <c r="G102" s="405"/>
      <c r="H102" s="405"/>
      <c r="I102" s="405"/>
      <c r="J102" s="405"/>
      <c r="K102" s="405"/>
      <c r="L102" s="405"/>
      <c r="M102" s="340"/>
      <c r="N102" s="362"/>
      <c r="O102" s="405"/>
      <c r="P102" s="404"/>
      <c r="Q102" s="405"/>
      <c r="R102" s="405"/>
      <c r="S102" s="405"/>
      <c r="T102" s="405"/>
    </row>
    <row r="103" spans="3:20">
      <c r="C103" s="340"/>
      <c r="D103" s="340"/>
      <c r="E103" s="340"/>
      <c r="F103" s="203"/>
      <c r="G103" s="203"/>
      <c r="H103" s="203"/>
      <c r="I103" s="203"/>
      <c r="J103" s="203"/>
      <c r="K103" s="203"/>
      <c r="L103" s="203"/>
      <c r="M103" s="340"/>
      <c r="N103" s="362"/>
      <c r="O103" s="203"/>
      <c r="P103" s="362"/>
      <c r="Q103" s="203"/>
      <c r="R103" s="203"/>
      <c r="S103" s="203"/>
      <c r="T103" s="203"/>
    </row>
    <row r="104" spans="3:20" ht="15.6">
      <c r="C104" s="340"/>
      <c r="D104" s="340"/>
      <c r="E104" s="340"/>
      <c r="F104" s="405"/>
      <c r="G104" s="405"/>
      <c r="H104" s="405"/>
      <c r="I104" s="405"/>
      <c r="J104" s="405"/>
      <c r="K104" s="405"/>
      <c r="L104" s="405"/>
      <c r="M104" s="340"/>
      <c r="N104" s="362"/>
      <c r="O104" s="405"/>
      <c r="P104" s="362"/>
    </row>
    <row r="105" spans="3:20">
      <c r="C105" s="340"/>
      <c r="D105" s="340"/>
      <c r="E105" s="340"/>
      <c r="F105" s="203"/>
      <c r="G105" s="203"/>
      <c r="H105" s="203"/>
      <c r="I105" s="203"/>
      <c r="J105" s="203"/>
      <c r="K105" s="203"/>
      <c r="L105" s="203"/>
      <c r="M105" s="340"/>
      <c r="N105" s="362"/>
      <c r="O105" s="203"/>
      <c r="P105" s="362"/>
    </row>
    <row r="106" spans="3:20">
      <c r="C106" s="340"/>
      <c r="D106" s="340"/>
      <c r="E106" s="340"/>
      <c r="M106" s="340"/>
      <c r="N106" s="362"/>
      <c r="P106" s="362"/>
    </row>
    <row r="107" spans="3:20">
      <c r="C107" s="340"/>
      <c r="D107" s="340"/>
      <c r="E107" s="340"/>
      <c r="M107" s="340"/>
      <c r="N107" s="362"/>
      <c r="P107" s="362"/>
    </row>
    <row r="108" spans="3:20">
      <c r="C108" s="340"/>
      <c r="D108" s="340"/>
      <c r="E108" s="340"/>
      <c r="M108" s="340"/>
      <c r="N108" s="362"/>
      <c r="P108" s="362"/>
    </row>
    <row r="109" spans="3:20">
      <c r="C109" s="340"/>
      <c r="D109" s="340"/>
      <c r="E109" s="340"/>
      <c r="M109" s="340"/>
      <c r="N109" s="362"/>
      <c r="P109" s="362"/>
      <c r="Q109" s="203"/>
      <c r="R109" s="203"/>
      <c r="S109" s="203"/>
      <c r="T109" s="341"/>
    </row>
    <row r="110" spans="3:20">
      <c r="C110" s="340"/>
      <c r="D110" s="340"/>
      <c r="E110" s="340"/>
      <c r="M110" s="340"/>
      <c r="N110" s="362"/>
      <c r="P110" s="362"/>
      <c r="Q110" s="203"/>
      <c r="R110" s="203"/>
      <c r="S110" s="203"/>
      <c r="T110" s="341"/>
    </row>
    <row r="111" spans="3:20" ht="15.6">
      <c r="C111" s="401"/>
      <c r="D111" s="401"/>
      <c r="E111" s="401"/>
      <c r="F111" s="203"/>
      <c r="G111" s="203"/>
      <c r="H111" s="203"/>
      <c r="I111" s="203"/>
      <c r="J111" s="203"/>
      <c r="K111" s="203"/>
      <c r="L111" s="203"/>
      <c r="M111" s="401"/>
      <c r="N111" s="404"/>
      <c r="O111" s="203"/>
      <c r="P111" s="362"/>
      <c r="Q111" s="203"/>
      <c r="R111" s="203"/>
      <c r="S111" s="203"/>
      <c r="T111" s="341"/>
    </row>
    <row r="112" spans="3:20">
      <c r="C112" s="340"/>
      <c r="D112" s="340"/>
      <c r="E112" s="340"/>
      <c r="F112" s="203"/>
      <c r="G112" s="203"/>
      <c r="H112" s="203"/>
      <c r="I112" s="203"/>
      <c r="J112" s="203"/>
      <c r="K112" s="203"/>
      <c r="L112" s="203"/>
      <c r="M112" s="340"/>
      <c r="N112" s="362"/>
      <c r="O112" s="203"/>
      <c r="P112" s="362"/>
      <c r="Q112" s="203"/>
      <c r="R112" s="203"/>
      <c r="S112" s="203"/>
      <c r="T112" s="341"/>
    </row>
    <row r="113" spans="3:20">
      <c r="C113" s="340"/>
      <c r="D113" s="340"/>
      <c r="E113" s="340"/>
      <c r="F113" s="203"/>
      <c r="G113" s="203"/>
      <c r="H113" s="203"/>
      <c r="I113" s="203"/>
      <c r="J113" s="203"/>
      <c r="K113" s="203"/>
      <c r="L113" s="203"/>
      <c r="M113" s="340"/>
      <c r="N113" s="362"/>
      <c r="O113" s="203"/>
      <c r="P113" s="362"/>
      <c r="Q113" s="203"/>
      <c r="R113" s="203"/>
      <c r="S113" s="203"/>
      <c r="T113" s="341"/>
    </row>
    <row r="114" spans="3:20">
      <c r="C114" s="340"/>
      <c r="D114" s="340"/>
      <c r="E114" s="340"/>
      <c r="F114" s="203"/>
      <c r="G114" s="203"/>
      <c r="H114" s="203"/>
      <c r="I114" s="203"/>
      <c r="J114" s="203"/>
      <c r="K114" s="203"/>
      <c r="L114" s="203"/>
      <c r="M114" s="340"/>
      <c r="N114" s="362"/>
      <c r="O114" s="203"/>
      <c r="P114" s="362"/>
      <c r="Q114" s="203"/>
      <c r="R114" s="203"/>
      <c r="S114" s="203"/>
      <c r="T114" s="341"/>
    </row>
    <row r="115" spans="3:20" ht="15.6">
      <c r="C115" s="340"/>
      <c r="D115" s="340"/>
      <c r="E115" s="340"/>
      <c r="F115" s="203"/>
      <c r="G115" s="203"/>
      <c r="H115" s="203"/>
      <c r="I115" s="203"/>
      <c r="J115" s="203"/>
      <c r="K115" s="203"/>
      <c r="L115" s="203"/>
      <c r="M115" s="340"/>
      <c r="N115" s="362"/>
      <c r="O115" s="203"/>
      <c r="P115" s="362"/>
      <c r="Q115" s="405"/>
      <c r="R115" s="405"/>
      <c r="S115" s="405"/>
      <c r="T115" s="406"/>
    </row>
    <row r="116" spans="3:20">
      <c r="C116" s="340"/>
      <c r="D116" s="340"/>
      <c r="E116" s="340"/>
      <c r="F116" s="203"/>
      <c r="G116" s="203"/>
      <c r="H116" s="203"/>
      <c r="I116" s="203"/>
      <c r="J116" s="203"/>
      <c r="K116" s="203"/>
      <c r="L116" s="203"/>
      <c r="M116" s="340"/>
      <c r="N116" s="362"/>
      <c r="O116" s="203"/>
      <c r="P116" s="362"/>
      <c r="Q116" s="203"/>
      <c r="R116" s="203"/>
      <c r="S116" s="203"/>
      <c r="T116" s="203"/>
    </row>
    <row r="117" spans="3:20" ht="15.6">
      <c r="C117" s="340"/>
      <c r="D117" s="340"/>
      <c r="E117" s="340"/>
      <c r="F117" s="405"/>
      <c r="G117" s="405"/>
      <c r="H117" s="405"/>
      <c r="I117" s="405"/>
      <c r="J117" s="405"/>
      <c r="K117" s="405"/>
      <c r="L117" s="405"/>
      <c r="M117" s="340"/>
      <c r="N117" s="362"/>
      <c r="O117" s="405"/>
      <c r="P117" s="362"/>
      <c r="Q117" s="405"/>
      <c r="R117" s="405"/>
      <c r="S117" s="405"/>
      <c r="T117" s="406"/>
    </row>
    <row r="118" spans="3:20">
      <c r="C118" s="340"/>
      <c r="D118" s="340"/>
      <c r="E118" s="340"/>
      <c r="F118" s="203"/>
      <c r="G118" s="203"/>
      <c r="H118" s="203"/>
      <c r="I118" s="203"/>
      <c r="J118" s="203"/>
      <c r="K118" s="203"/>
      <c r="L118" s="203"/>
      <c r="M118" s="340"/>
      <c r="N118" s="362"/>
      <c r="O118" s="203"/>
      <c r="P118" s="362"/>
      <c r="Q118" s="203"/>
      <c r="R118" s="203"/>
      <c r="S118" s="203"/>
      <c r="T118" s="203"/>
    </row>
    <row r="119" spans="3:20" ht="15.6">
      <c r="C119" s="340"/>
      <c r="D119" s="340"/>
      <c r="E119" s="340"/>
      <c r="F119" s="405"/>
      <c r="G119" s="405"/>
      <c r="H119" s="405"/>
      <c r="I119" s="405"/>
      <c r="J119" s="405"/>
      <c r="K119" s="405"/>
      <c r="L119" s="405"/>
      <c r="M119" s="340"/>
      <c r="N119" s="362"/>
      <c r="O119" s="405"/>
      <c r="P119" s="404"/>
    </row>
    <row r="120" spans="3:20" ht="15.6">
      <c r="C120" s="401"/>
      <c r="D120" s="401"/>
      <c r="E120" s="401"/>
      <c r="F120" s="203"/>
      <c r="G120" s="203"/>
      <c r="H120" s="203"/>
      <c r="I120" s="203"/>
      <c r="J120" s="203"/>
      <c r="K120" s="203"/>
      <c r="L120" s="203"/>
      <c r="M120" s="401"/>
      <c r="N120" s="404"/>
      <c r="O120" s="203"/>
      <c r="P120" s="362"/>
    </row>
    <row r="121" spans="3:20">
      <c r="C121" s="361"/>
      <c r="D121" s="361"/>
      <c r="E121" s="361"/>
      <c r="M121" s="361"/>
      <c r="N121" s="361"/>
      <c r="P121" s="362"/>
    </row>
    <row r="122" spans="3:20">
      <c r="P122" s="362"/>
    </row>
    <row r="123" spans="3:20">
      <c r="C123" s="361"/>
      <c r="D123" s="361"/>
      <c r="E123" s="361"/>
      <c r="F123" s="361"/>
      <c r="G123" s="361"/>
      <c r="H123" s="361"/>
      <c r="I123" s="361"/>
      <c r="J123" s="361"/>
      <c r="K123" s="361"/>
      <c r="L123" s="361"/>
      <c r="M123" s="361"/>
      <c r="N123" s="361"/>
      <c r="P123" s="362"/>
    </row>
    <row r="124" spans="3:20">
      <c r="L124" s="407"/>
    </row>
    <row r="125" spans="3:20">
      <c r="L125" s="407"/>
    </row>
    <row r="126" spans="3:20">
      <c r="L126" s="407"/>
    </row>
    <row r="127" spans="3:20">
      <c r="L127" s="407"/>
    </row>
    <row r="128" spans="3:20">
      <c r="L128" s="407"/>
    </row>
    <row r="129" spans="12:12">
      <c r="L129" s="407"/>
    </row>
    <row r="130" spans="12:12">
      <c r="L130" s="407"/>
    </row>
    <row r="131" spans="12:12">
      <c r="L131" s="407"/>
    </row>
    <row r="132" spans="12:12">
      <c r="L132" s="407"/>
    </row>
    <row r="133" spans="12:12">
      <c r="L133" s="407"/>
    </row>
    <row r="134" spans="12:12">
      <c r="L134" s="407"/>
    </row>
    <row r="135" spans="12:12">
      <c r="L135" s="407"/>
    </row>
    <row r="136" spans="12:12">
      <c r="L136" s="407"/>
    </row>
    <row r="137" spans="12:12">
      <c r="L137" s="407"/>
    </row>
    <row r="138" spans="12:12">
      <c r="L138" s="407"/>
    </row>
    <row r="139" spans="12:12">
      <c r="L139" s="407"/>
    </row>
    <row r="140" spans="12:12">
      <c r="L140" s="407"/>
    </row>
    <row r="141" spans="12:12">
      <c r="L141" s="407"/>
    </row>
    <row r="142" spans="12:12">
      <c r="L142" s="407"/>
    </row>
    <row r="143" spans="12:12">
      <c r="L143" s="407"/>
    </row>
    <row r="144" spans="12:12">
      <c r="L144" s="407"/>
    </row>
    <row r="145" spans="12:12">
      <c r="L145" s="407"/>
    </row>
    <row r="146" spans="12:12">
      <c r="L146" s="407"/>
    </row>
    <row r="147" spans="12:12">
      <c r="L147" s="407"/>
    </row>
    <row r="148" spans="12:12">
      <c r="L148" s="407"/>
    </row>
    <row r="149" spans="12:12">
      <c r="L149" s="407"/>
    </row>
    <row r="150" spans="12:12">
      <c r="L150" s="407"/>
    </row>
    <row r="151" spans="12:12">
      <c r="L151" s="407"/>
    </row>
    <row r="152" spans="12:12">
      <c r="L152" s="407"/>
    </row>
  </sheetData>
  <phoneticPr fontId="0" type="noConversion"/>
  <pageMargins left="0.75" right="0.75" top="1" bottom="1" header="0.5" footer="0.5"/>
  <pageSetup scale="5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64"/>
  <sheetViews>
    <sheetView workbookViewId="0"/>
  </sheetViews>
  <sheetFormatPr defaultColWidth="9.109375" defaultRowHeight="13.8"/>
  <cols>
    <col min="1" max="1" width="9.109375" style="65"/>
    <col min="2" max="2" width="56.5546875" style="65" customWidth="1"/>
    <col min="3" max="3" width="13.109375" bestFit="1" customWidth="1"/>
    <col min="4" max="4" width="12.33203125" style="65" bestFit="1" customWidth="1"/>
    <col min="5" max="5" width="12.33203125" style="65" customWidth="1"/>
    <col min="6" max="6" width="16.109375" style="65" bestFit="1" customWidth="1"/>
    <col min="7" max="7" width="14.88671875" style="65" customWidth="1"/>
    <col min="8" max="12" width="9.109375" style="65"/>
    <col min="13" max="13" width="17.33203125" style="65" customWidth="1"/>
    <col min="14" max="14" width="13" style="65" customWidth="1"/>
    <col min="15" max="16384" width="9.109375" style="65"/>
  </cols>
  <sheetData>
    <row r="1" spans="1:21">
      <c r="A1" s="64" t="s">
        <v>637</v>
      </c>
    </row>
    <row r="2" spans="1:21">
      <c r="A2" s="65" t="s">
        <v>746</v>
      </c>
    </row>
    <row r="6" spans="1:21" ht="13.2">
      <c r="C6" s="67" t="s">
        <v>147</v>
      </c>
      <c r="D6" s="67" t="s">
        <v>649</v>
      </c>
      <c r="E6" s="67"/>
      <c r="F6" s="78" t="s">
        <v>1026</v>
      </c>
      <c r="G6" s="64"/>
    </row>
    <row r="7" spans="1:21" ht="13.2">
      <c r="C7" s="79" t="s">
        <v>1448</v>
      </c>
      <c r="D7" s="79" t="s">
        <v>940</v>
      </c>
      <c r="E7" s="79" t="s">
        <v>1301</v>
      </c>
      <c r="F7" s="78" t="s">
        <v>147</v>
      </c>
      <c r="G7" s="78" t="s">
        <v>1028</v>
      </c>
    </row>
    <row r="8" spans="1:21" thickBot="1">
      <c r="C8" s="70" t="s">
        <v>148</v>
      </c>
      <c r="D8" s="70" t="s">
        <v>146</v>
      </c>
      <c r="E8" s="70" t="s">
        <v>146</v>
      </c>
      <c r="F8" s="80" t="s">
        <v>148</v>
      </c>
      <c r="G8" s="80" t="s">
        <v>731</v>
      </c>
    </row>
    <row r="9" spans="1:21">
      <c r="D9" s="63"/>
      <c r="E9" s="63"/>
      <c r="G9" s="71"/>
    </row>
    <row r="10" spans="1:21">
      <c r="A10" s="27" t="s">
        <v>1422</v>
      </c>
      <c r="C10" s="197">
        <v>60.974249760000006</v>
      </c>
      <c r="D10" s="81">
        <f>'Billing Det'!C8</f>
        <v>347769</v>
      </c>
      <c r="E10" s="81">
        <f>'Billing Det'!B8</f>
        <v>352585</v>
      </c>
      <c r="F10" s="73">
        <f>C10*E10</f>
        <v>21498605.851629604</v>
      </c>
      <c r="G10" s="72">
        <f>F10/$F$40</f>
        <v>0.69989033141452828</v>
      </c>
    </row>
    <row r="11" spans="1:21">
      <c r="C11" s="198"/>
      <c r="D11" s="81"/>
      <c r="E11" s="81"/>
      <c r="F11" s="73"/>
      <c r="G11" s="72"/>
      <c r="P11" s="64"/>
      <c r="Q11" s="64"/>
      <c r="R11" s="64"/>
      <c r="S11" s="64"/>
      <c r="T11" s="64"/>
      <c r="U11" s="64"/>
    </row>
    <row r="12" spans="1:21">
      <c r="A12" s="130" t="s">
        <v>643</v>
      </c>
      <c r="C12" s="197">
        <v>144.03818160749307</v>
      </c>
      <c r="D12" s="81">
        <f>'Billing Det'!C10</f>
        <v>43282</v>
      </c>
      <c r="E12" s="81">
        <f>'Billing Det'!B10</f>
        <v>44326</v>
      </c>
      <c r="F12" s="73">
        <f>C12*E12</f>
        <v>6384636.4379337383</v>
      </c>
      <c r="G12" s="72">
        <f>F12/$F$40</f>
        <v>0.20785279489032538</v>
      </c>
      <c r="P12" s="64"/>
      <c r="Q12" s="64"/>
      <c r="R12" s="64"/>
      <c r="S12" s="64"/>
      <c r="T12" s="64"/>
      <c r="U12" s="64"/>
    </row>
    <row r="13" spans="1:21">
      <c r="C13" s="198"/>
      <c r="D13" s="81"/>
      <c r="E13" s="81"/>
      <c r="F13" s="73"/>
      <c r="G13" s="72"/>
      <c r="H13" s="64"/>
      <c r="I13" s="64"/>
      <c r="J13" s="64"/>
      <c r="K13" s="64"/>
    </row>
    <row r="14" spans="1:21">
      <c r="A14" s="167" t="s">
        <v>1423</v>
      </c>
      <c r="C14" s="197">
        <v>3427.4233799870708</v>
      </c>
      <c r="D14" s="81">
        <f>'Billing Det'!C12</f>
        <v>85</v>
      </c>
      <c r="E14" s="81">
        <f>'Billing Det'!B12</f>
        <v>85</v>
      </c>
      <c r="F14" s="73">
        <f>C14*E14</f>
        <v>291330.98729890102</v>
      </c>
      <c r="G14" s="72">
        <f>F14/$F$40</f>
        <v>9.4843238979840112E-3</v>
      </c>
    </row>
    <row r="15" spans="1:21">
      <c r="C15" s="198"/>
      <c r="D15" s="81"/>
      <c r="E15" s="81"/>
      <c r="F15" s="73"/>
      <c r="G15" s="72"/>
    </row>
    <row r="16" spans="1:21">
      <c r="A16" s="167" t="s">
        <v>1424</v>
      </c>
      <c r="C16" s="197">
        <v>577.0256439141674</v>
      </c>
      <c r="D16" s="81">
        <f>'Billing Det'!C14</f>
        <v>2910</v>
      </c>
      <c r="E16" s="81">
        <f>'Billing Det'!B14</f>
        <v>2899</v>
      </c>
      <c r="F16" s="73">
        <f>C16*E16</f>
        <v>1672797.3417071714</v>
      </c>
      <c r="G16" s="72">
        <f>F16/$F$40</f>
        <v>5.4458167843847827E-2</v>
      </c>
    </row>
    <row r="17" spans="1:7">
      <c r="C17" s="198"/>
      <c r="D17" s="81"/>
      <c r="E17" s="81"/>
      <c r="F17" s="73"/>
      <c r="G17" s="72"/>
    </row>
    <row r="18" spans="1:7">
      <c r="A18" s="167" t="s">
        <v>1506</v>
      </c>
      <c r="C18" s="197">
        <v>3487.7278269398266</v>
      </c>
      <c r="D18" s="81">
        <f>'Billing Det'!C16+'Billing Det'!C20</f>
        <v>92</v>
      </c>
      <c r="E18" s="81">
        <f>'Billing Det'!B16+'Billing Det'!B20</f>
        <v>94</v>
      </c>
      <c r="F18" s="73">
        <f>C18*E18</f>
        <v>327846.41573234368</v>
      </c>
      <c r="G18" s="72">
        <f>F18/$F$40</f>
        <v>1.0673089136269845E-2</v>
      </c>
    </row>
    <row r="19" spans="1:7">
      <c r="C19" s="198"/>
      <c r="D19" s="81"/>
      <c r="E19" s="81"/>
      <c r="F19" s="73"/>
      <c r="G19" s="72"/>
    </row>
    <row r="20" spans="1:7">
      <c r="A20" s="167" t="s">
        <v>1507</v>
      </c>
      <c r="C20" s="197">
        <v>640.13404072833544</v>
      </c>
      <c r="D20" s="81">
        <f>'Billing Det'!C18+'Billing Det'!C22</f>
        <v>162</v>
      </c>
      <c r="E20" s="81">
        <f>'Billing Det'!B18+'Billing Det'!B22</f>
        <v>157</v>
      </c>
      <c r="F20" s="73">
        <f>C20*E20</f>
        <v>100501.04439434866</v>
      </c>
      <c r="G20" s="72">
        <f>F20/$F$40</f>
        <v>3.2718265432702519E-3</v>
      </c>
    </row>
    <row r="21" spans="1:7">
      <c r="C21" s="197"/>
      <c r="D21" s="81"/>
      <c r="E21" s="81"/>
      <c r="F21" s="73"/>
      <c r="G21" s="72"/>
    </row>
    <row r="22" spans="1:7">
      <c r="A22" s="167" t="s">
        <v>1505</v>
      </c>
      <c r="C22" s="197">
        <f>C18</f>
        <v>3487.7278269398266</v>
      </c>
      <c r="D22" s="81">
        <v>0</v>
      </c>
      <c r="E22" s="81">
        <v>0</v>
      </c>
      <c r="F22" s="73">
        <f>C22*E22</f>
        <v>0</v>
      </c>
      <c r="G22" s="72">
        <f>F22/$F$40</f>
        <v>0</v>
      </c>
    </row>
    <row r="23" spans="1:7">
      <c r="C23" s="198"/>
      <c r="D23" s="81"/>
      <c r="E23" s="81"/>
      <c r="F23" s="73"/>
      <c r="G23" s="72"/>
    </row>
    <row r="24" spans="1:7">
      <c r="A24" s="167" t="s">
        <v>1427</v>
      </c>
      <c r="C24" s="197">
        <f>C20</f>
        <v>640.13404072833544</v>
      </c>
      <c r="D24" s="81">
        <v>0</v>
      </c>
      <c r="E24" s="81">
        <v>0</v>
      </c>
      <c r="F24" s="73">
        <f>C24*E24</f>
        <v>0</v>
      </c>
      <c r="G24" s="72">
        <f>F24/$F$40</f>
        <v>0</v>
      </c>
    </row>
    <row r="25" spans="1:7">
      <c r="C25" s="198"/>
      <c r="D25" s="81"/>
      <c r="E25" s="81"/>
      <c r="F25" s="73"/>
      <c r="G25" s="72"/>
    </row>
    <row r="26" spans="1:7">
      <c r="A26" s="167" t="s">
        <v>1463</v>
      </c>
      <c r="C26" s="197">
        <f>C22</f>
        <v>3487.7278269398266</v>
      </c>
      <c r="D26" s="199">
        <f>'Billing Det'!C24</f>
        <v>0</v>
      </c>
      <c r="E26" s="199">
        <f>'Billing Det'!B24</f>
        <v>0</v>
      </c>
      <c r="F26" s="73">
        <f>C26*E26</f>
        <v>0</v>
      </c>
      <c r="G26" s="72">
        <f>F26/$F$40</f>
        <v>0</v>
      </c>
    </row>
    <row r="27" spans="1:7">
      <c r="C27" s="198"/>
      <c r="D27" s="81"/>
      <c r="E27" s="81"/>
      <c r="F27" s="73"/>
      <c r="G27" s="72"/>
    </row>
    <row r="28" spans="1:7">
      <c r="A28" s="167" t="s">
        <v>1428</v>
      </c>
      <c r="C28" s="197">
        <v>26340.578177302858</v>
      </c>
      <c r="D28" s="81">
        <f>'Billing Det'!C26</f>
        <v>11</v>
      </c>
      <c r="E28" s="81">
        <f>'Billing Det'!B26</f>
        <v>11</v>
      </c>
      <c r="F28" s="73">
        <f>C28*E28</f>
        <v>289746.35995033145</v>
      </c>
      <c r="G28" s="72">
        <f>F28/$F$40</f>
        <v>9.4327361174640564E-3</v>
      </c>
    </row>
    <row r="29" spans="1:7">
      <c r="C29" s="198"/>
      <c r="D29" s="81"/>
      <c r="E29" s="81"/>
      <c r="F29" s="73"/>
      <c r="G29" s="72"/>
    </row>
    <row r="30" spans="1:7">
      <c r="A30" s="130" t="s">
        <v>613</v>
      </c>
      <c r="C30" s="197">
        <f>C28</f>
        <v>26340.578177302858</v>
      </c>
      <c r="D30" s="81">
        <f>'Billing Det'!C28</f>
        <v>1</v>
      </c>
      <c r="E30" s="81">
        <f>'Billing Det'!B28</f>
        <v>1</v>
      </c>
      <c r="F30" s="73">
        <f>C30*E30</f>
        <v>26340.578177302858</v>
      </c>
      <c r="G30" s="72">
        <f>F30/$F$40</f>
        <v>8.5752146522400502E-4</v>
      </c>
    </row>
    <row r="31" spans="1:7">
      <c r="C31" s="198"/>
      <c r="D31" s="81"/>
      <c r="E31" s="81"/>
      <c r="F31" s="73"/>
      <c r="G31" s="72"/>
    </row>
    <row r="32" spans="1:7">
      <c r="A32" s="130" t="s">
        <v>667</v>
      </c>
      <c r="C32" s="197">
        <f>C28</f>
        <v>26340.578177302858</v>
      </c>
      <c r="D32" s="81">
        <f>'Billing Det'!C30</f>
        <v>2</v>
      </c>
      <c r="E32" s="81">
        <f>'Billing Det'!B30</f>
        <v>2</v>
      </c>
      <c r="F32" s="73">
        <f>C32*E32</f>
        <v>52681.156354605715</v>
      </c>
      <c r="G32" s="72">
        <f>F32/$F$40</f>
        <v>1.71504293044801E-3</v>
      </c>
    </row>
    <row r="33" spans="1:14">
      <c r="C33" s="198"/>
      <c r="D33" s="81"/>
      <c r="E33" s="81"/>
      <c r="F33" s="73"/>
      <c r="G33" s="72"/>
    </row>
    <row r="34" spans="1:14">
      <c r="A34" s="167" t="s">
        <v>1429</v>
      </c>
      <c r="C34" s="197">
        <v>0</v>
      </c>
      <c r="D34" s="81">
        <f>'Billing Det'!C32</f>
        <v>95516</v>
      </c>
      <c r="E34" s="81">
        <f>'Billing Det'!B32</f>
        <v>87026</v>
      </c>
      <c r="F34" s="73">
        <f>C34*E34</f>
        <v>0</v>
      </c>
      <c r="G34" s="72">
        <f>F34/$F$40</f>
        <v>0</v>
      </c>
    </row>
    <row r="35" spans="1:14">
      <c r="C35" s="198"/>
      <c r="D35" s="81"/>
      <c r="E35" s="81"/>
      <c r="F35" s="73"/>
      <c r="G35" s="72"/>
    </row>
    <row r="36" spans="1:14">
      <c r="A36" s="167" t="s">
        <v>1430</v>
      </c>
      <c r="C36" s="197">
        <f>C10</f>
        <v>60.974249760000006</v>
      </c>
      <c r="D36" s="81">
        <f>'Billing Det'!C34</f>
        <v>170</v>
      </c>
      <c r="E36" s="81">
        <f>'Billing Det'!B34</f>
        <v>173</v>
      </c>
      <c r="F36" s="73">
        <f>C36*E36</f>
        <v>10548.545208480002</v>
      </c>
      <c r="G36" s="72">
        <f>F36/$F$40</f>
        <v>3.4340946816998279E-4</v>
      </c>
    </row>
    <row r="37" spans="1:14">
      <c r="C37" s="197"/>
      <c r="D37" s="81"/>
      <c r="E37" s="81"/>
      <c r="F37" s="73"/>
      <c r="G37" s="72"/>
    </row>
    <row r="38" spans="1:14">
      <c r="A38" s="130" t="s">
        <v>668</v>
      </c>
      <c r="C38" s="197">
        <f>C10</f>
        <v>60.974249760000006</v>
      </c>
      <c r="D38" s="81">
        <f>'Billing Det'!C36</f>
        <v>1018</v>
      </c>
      <c r="E38" s="81">
        <f>'Billing Det'!B36</f>
        <v>1018</v>
      </c>
      <c r="F38" s="73">
        <f>C38*E38</f>
        <v>62071.78625568001</v>
      </c>
      <c r="G38" s="72">
        <f>F38/$F$40</f>
        <v>2.0207562924684538E-3</v>
      </c>
    </row>
    <row r="39" spans="1:14" ht="13.2">
      <c r="A39" s="74"/>
      <c r="B39" s="75"/>
      <c r="C39" s="75"/>
      <c r="D39" s="82"/>
      <c r="E39" s="82"/>
      <c r="F39" s="76"/>
      <c r="G39" s="77"/>
    </row>
    <row r="40" spans="1:14" ht="13.2">
      <c r="C40" s="65"/>
      <c r="D40" s="81">
        <f>SUM(D10:D39)</f>
        <v>491018</v>
      </c>
      <c r="E40" s="81">
        <f>SUM(E10:E39)</f>
        <v>488377</v>
      </c>
      <c r="F40" s="69">
        <f>SUM(F10:F39)</f>
        <v>30717106.504642505</v>
      </c>
      <c r="G40" s="72">
        <f>SUM(G10:G39)</f>
        <v>1.0000000000000002</v>
      </c>
    </row>
    <row r="41" spans="1:14" ht="13.2">
      <c r="C41" s="65"/>
      <c r="M41" s="63"/>
      <c r="N41" s="63"/>
    </row>
    <row r="42" spans="1:14" ht="13.2">
      <c r="C42" s="65"/>
      <c r="M42" s="63"/>
      <c r="N42" s="63"/>
    </row>
    <row r="43" spans="1:14" ht="13.2">
      <c r="B43" s="65" t="s">
        <v>652</v>
      </c>
      <c r="C43" s="65"/>
      <c r="F43" s="69">
        <f>'Functional Assignment'!F41</f>
        <v>38125261.350000001</v>
      </c>
    </row>
    <row r="44" spans="1:14" ht="13.2">
      <c r="C44" s="65"/>
    </row>
    <row r="45" spans="1:14" ht="13.2">
      <c r="C45" s="65"/>
    </row>
    <row r="46" spans="1:14" ht="13.2">
      <c r="C46" s="65"/>
    </row>
    <row r="47" spans="1:14" ht="13.2">
      <c r="C47" s="65"/>
    </row>
    <row r="48" spans="1:14" ht="13.2">
      <c r="C48" s="65"/>
    </row>
    <row r="49" spans="3:6" ht="13.2">
      <c r="C49" s="65"/>
      <c r="F49" s="83"/>
    </row>
    <row r="50" spans="3:6" ht="13.2">
      <c r="C50" s="65"/>
    </row>
    <row r="51" spans="3:6" ht="13.2">
      <c r="C51" s="65"/>
    </row>
    <row r="52" spans="3:6" ht="13.2">
      <c r="C52" s="65"/>
    </row>
    <row r="53" spans="3:6" ht="13.2">
      <c r="C53" s="65"/>
    </row>
    <row r="54" spans="3:6" ht="13.2">
      <c r="C54" s="65"/>
    </row>
    <row r="55" spans="3:6" ht="13.2">
      <c r="C55" s="65"/>
    </row>
    <row r="56" spans="3:6" ht="13.2">
      <c r="C56" s="65"/>
    </row>
    <row r="57" spans="3:6" ht="13.2">
      <c r="C57" s="65"/>
    </row>
    <row r="58" spans="3:6" ht="13.2">
      <c r="C58" s="65"/>
    </row>
    <row r="62" spans="3:6" ht="13.2">
      <c r="C62" s="65"/>
    </row>
    <row r="63" spans="3:6" ht="13.2">
      <c r="C63" s="65"/>
    </row>
    <row r="64" spans="3:6" ht="13.2">
      <c r="C64" s="65"/>
    </row>
  </sheetData>
  <phoneticPr fontId="0" type="noConversion"/>
  <pageMargins left="0.75" right="0.75" top="1" bottom="1" header="0.5" footer="0.5"/>
  <pageSetup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64"/>
  <sheetViews>
    <sheetView workbookViewId="0"/>
  </sheetViews>
  <sheetFormatPr defaultColWidth="9.109375" defaultRowHeight="13.8"/>
  <cols>
    <col min="1" max="1" width="9.109375" style="65"/>
    <col min="2" max="2" width="56.5546875" style="65" customWidth="1"/>
    <col min="3" max="3" width="12" bestFit="1" customWidth="1"/>
    <col min="4" max="4" width="12.33203125" style="65" bestFit="1" customWidth="1"/>
    <col min="5" max="5" width="12.33203125" style="65" customWidth="1"/>
    <col min="6" max="6" width="16.109375" style="65" bestFit="1" customWidth="1"/>
    <col min="7" max="7" width="14.88671875" style="65" customWidth="1"/>
    <col min="8" max="12" width="9.109375" style="65"/>
    <col min="13" max="13" width="17.33203125" style="65" customWidth="1"/>
    <col min="14" max="14" width="13" style="65" customWidth="1"/>
    <col min="15" max="16384" width="9.109375" style="65"/>
  </cols>
  <sheetData>
    <row r="1" spans="1:21">
      <c r="A1" s="64" t="s">
        <v>637</v>
      </c>
    </row>
    <row r="2" spans="1:21">
      <c r="A2" s="65" t="s">
        <v>748</v>
      </c>
    </row>
    <row r="6" spans="1:21" ht="13.2">
      <c r="C6" s="67" t="s">
        <v>196</v>
      </c>
      <c r="D6" s="67" t="s">
        <v>649</v>
      </c>
      <c r="E6" s="67"/>
      <c r="F6" s="78" t="s">
        <v>1026</v>
      </c>
      <c r="G6" s="64"/>
    </row>
    <row r="7" spans="1:21" ht="13.2">
      <c r="C7" s="79" t="s">
        <v>1448</v>
      </c>
      <c r="D7" s="79" t="s">
        <v>940</v>
      </c>
      <c r="E7" s="79" t="s">
        <v>1301</v>
      </c>
      <c r="F7" s="78" t="s">
        <v>196</v>
      </c>
      <c r="G7" s="78" t="s">
        <v>1191</v>
      </c>
    </row>
    <row r="8" spans="1:21" thickBot="1">
      <c r="C8" s="70" t="s">
        <v>148</v>
      </c>
      <c r="D8" s="70" t="s">
        <v>146</v>
      </c>
      <c r="E8" s="70" t="s">
        <v>146</v>
      </c>
      <c r="F8" s="80" t="s">
        <v>148</v>
      </c>
      <c r="G8" s="80" t="s">
        <v>731</v>
      </c>
    </row>
    <row r="9" spans="1:21">
      <c r="D9" s="63"/>
      <c r="E9" s="63"/>
      <c r="G9" s="71"/>
    </row>
    <row r="10" spans="1:21">
      <c r="A10" s="27" t="s">
        <v>1422</v>
      </c>
      <c r="C10" s="197">
        <v>316.59584999999998</v>
      </c>
      <c r="D10" s="81">
        <f>'Billing Det'!C8</f>
        <v>347769</v>
      </c>
      <c r="E10" s="81">
        <f>'Billing Det'!B8</f>
        <v>352585</v>
      </c>
      <c r="F10" s="73">
        <f>C10*E10</f>
        <v>111626947.77225</v>
      </c>
      <c r="G10" s="72">
        <f>F10/$F$40</f>
        <v>0.8271943704499779</v>
      </c>
    </row>
    <row r="11" spans="1:21">
      <c r="C11" s="198"/>
      <c r="D11" s="81"/>
      <c r="E11" s="81"/>
      <c r="F11" s="73"/>
      <c r="G11" s="72"/>
      <c r="P11" s="66" t="s">
        <v>650</v>
      </c>
      <c r="Q11" s="66"/>
      <c r="R11" s="66"/>
      <c r="S11" s="66"/>
      <c r="T11" s="66"/>
      <c r="U11" s="66"/>
    </row>
    <row r="12" spans="1:21">
      <c r="A12" s="130" t="s">
        <v>643</v>
      </c>
      <c r="C12" s="197">
        <v>420.58364999999998</v>
      </c>
      <c r="D12" s="81">
        <f>'Billing Det'!C10</f>
        <v>43282</v>
      </c>
      <c r="E12" s="81">
        <f>'Billing Det'!B10</f>
        <v>44326</v>
      </c>
      <c r="F12" s="73">
        <f>C12*E12</f>
        <v>18642790.869899999</v>
      </c>
      <c r="G12" s="72">
        <f>F12/$F$40</f>
        <v>0.13814954152935441</v>
      </c>
      <c r="P12" s="66" t="s">
        <v>651</v>
      </c>
      <c r="Q12" s="66"/>
      <c r="R12" s="66"/>
      <c r="S12" s="66"/>
      <c r="T12" s="66"/>
      <c r="U12" s="66"/>
    </row>
    <row r="13" spans="1:21">
      <c r="C13" s="198"/>
      <c r="D13" s="81"/>
      <c r="E13" s="81"/>
      <c r="F13" s="73"/>
      <c r="G13" s="72"/>
      <c r="H13" s="64"/>
      <c r="I13" s="64"/>
      <c r="J13" s="64"/>
      <c r="K13" s="64"/>
    </row>
    <row r="14" spans="1:21">
      <c r="A14" s="167" t="s">
        <v>1423</v>
      </c>
      <c r="C14" s="197">
        <v>0</v>
      </c>
      <c r="D14" s="81">
        <f>'Billing Det'!C12</f>
        <v>85</v>
      </c>
      <c r="E14" s="81">
        <f>'Billing Det'!B12</f>
        <v>85</v>
      </c>
      <c r="F14" s="73">
        <f>C14*E14</f>
        <v>0</v>
      </c>
      <c r="G14" s="72">
        <f>F14/$F$40</f>
        <v>0</v>
      </c>
    </row>
    <row r="15" spans="1:21">
      <c r="C15" s="198"/>
      <c r="D15" s="81"/>
      <c r="E15" s="81"/>
      <c r="F15" s="73"/>
      <c r="G15" s="72"/>
    </row>
    <row r="16" spans="1:21">
      <c r="A16" s="167" t="s">
        <v>1424</v>
      </c>
      <c r="C16" s="197">
        <v>1373.7565199999999</v>
      </c>
      <c r="D16" s="81">
        <f>'Billing Det'!C14</f>
        <v>2910</v>
      </c>
      <c r="E16" s="81">
        <f>'Billing Det'!B14</f>
        <v>2899</v>
      </c>
      <c r="F16" s="73">
        <f>C16*E16</f>
        <v>3982520.1514799995</v>
      </c>
      <c r="G16" s="72">
        <f>F16/$F$40</f>
        <v>2.9511854576810374E-2</v>
      </c>
    </row>
    <row r="17" spans="1:7">
      <c r="C17" s="198"/>
      <c r="D17" s="81"/>
      <c r="E17" s="81"/>
      <c r="F17" s="73"/>
      <c r="G17" s="72"/>
    </row>
    <row r="18" spans="1:7">
      <c r="A18" s="167" t="s">
        <v>1425</v>
      </c>
      <c r="C18" s="197">
        <v>0</v>
      </c>
      <c r="D18" s="81">
        <f>'Billing Det'!C16+'Billing Det'!C20</f>
        <v>92</v>
      </c>
      <c r="E18" s="81">
        <f>'Billing Det'!B16+'Billing Det'!B20</f>
        <v>94</v>
      </c>
      <c r="F18" s="73">
        <f>C18*E18</f>
        <v>0</v>
      </c>
      <c r="G18" s="72">
        <f>F18/$F$40</f>
        <v>0</v>
      </c>
    </row>
    <row r="19" spans="1:7">
      <c r="C19" s="198"/>
      <c r="D19" s="81"/>
      <c r="E19" s="81"/>
      <c r="F19" s="73"/>
      <c r="G19" s="72"/>
    </row>
    <row r="20" spans="1:7">
      <c r="A20" s="167" t="s">
        <v>1426</v>
      </c>
      <c r="C20" s="197">
        <v>2019.9389100000001</v>
      </c>
      <c r="D20" s="81">
        <f>'Billing Det'!C18+'Billing Det'!C22</f>
        <v>162</v>
      </c>
      <c r="E20" s="81">
        <f>'Billing Det'!B18+'Billing Det'!B22</f>
        <v>157</v>
      </c>
      <c r="F20" s="73">
        <f>C20*E20</f>
        <v>317130.40886999998</v>
      </c>
      <c r="G20" s="72">
        <f>F20/$F$40</f>
        <v>2.3500462401873316E-3</v>
      </c>
    </row>
    <row r="21" spans="1:7">
      <c r="C21" s="197"/>
      <c r="D21" s="81"/>
      <c r="E21" s="81"/>
      <c r="F21" s="73"/>
      <c r="G21" s="72"/>
    </row>
    <row r="22" spans="1:7">
      <c r="A22" s="167" t="s">
        <v>1462</v>
      </c>
      <c r="C22" s="197">
        <v>0</v>
      </c>
      <c r="D22" s="81">
        <v>0</v>
      </c>
      <c r="E22" s="81">
        <v>0</v>
      </c>
      <c r="F22" s="73">
        <f>C22*E22</f>
        <v>0</v>
      </c>
      <c r="G22" s="72">
        <f>F22/$F$40</f>
        <v>0</v>
      </c>
    </row>
    <row r="23" spans="1:7">
      <c r="C23" s="198"/>
      <c r="D23" s="81"/>
      <c r="E23" s="81"/>
      <c r="F23" s="73"/>
      <c r="G23" s="72"/>
    </row>
    <row r="24" spans="1:7">
      <c r="A24" s="167" t="s">
        <v>1427</v>
      </c>
      <c r="C24" s="197">
        <f>C20</f>
        <v>2019.9389100000001</v>
      </c>
      <c r="D24" s="81">
        <v>0</v>
      </c>
      <c r="E24" s="81">
        <v>0</v>
      </c>
      <c r="F24" s="73">
        <f>C24*E24</f>
        <v>0</v>
      </c>
      <c r="G24" s="72">
        <f>F24/$F$40</f>
        <v>0</v>
      </c>
    </row>
    <row r="25" spans="1:7">
      <c r="C25" s="198"/>
      <c r="D25" s="81"/>
      <c r="E25" s="81"/>
      <c r="F25" s="73"/>
      <c r="G25" s="72"/>
    </row>
    <row r="26" spans="1:7">
      <c r="A26" s="167" t="s">
        <v>1463</v>
      </c>
      <c r="C26" s="197">
        <v>0</v>
      </c>
      <c r="D26" s="81">
        <f>'Billing Det'!C24</f>
        <v>0</v>
      </c>
      <c r="E26" s="81">
        <f>'Billing Det'!B24</f>
        <v>0</v>
      </c>
      <c r="F26" s="73">
        <f>C26*E26</f>
        <v>0</v>
      </c>
      <c r="G26" s="72">
        <f>F26/$F$40</f>
        <v>0</v>
      </c>
    </row>
    <row r="27" spans="1:7">
      <c r="C27" s="198"/>
      <c r="D27" s="81"/>
      <c r="E27" s="81"/>
      <c r="F27" s="73"/>
      <c r="G27" s="72"/>
    </row>
    <row r="28" spans="1:7">
      <c r="A28" s="167" t="s">
        <v>1428</v>
      </c>
      <c r="C28" s="197">
        <v>0</v>
      </c>
      <c r="D28" s="81">
        <f>'Billing Det'!C26</f>
        <v>11</v>
      </c>
      <c r="E28" s="81">
        <f>'Billing Det'!B26</f>
        <v>11</v>
      </c>
      <c r="F28" s="73">
        <f>C28*E28</f>
        <v>0</v>
      </c>
      <c r="G28" s="72">
        <f>F28/$F$40</f>
        <v>0</v>
      </c>
    </row>
    <row r="29" spans="1:7">
      <c r="C29" s="198"/>
      <c r="D29" s="81"/>
      <c r="E29" s="81"/>
      <c r="F29" s="73"/>
      <c r="G29" s="72"/>
    </row>
    <row r="30" spans="1:7">
      <c r="A30" s="130" t="s">
        <v>613</v>
      </c>
      <c r="C30" s="197">
        <v>0</v>
      </c>
      <c r="D30" s="81">
        <f>'Billing Det'!C28</f>
        <v>1</v>
      </c>
      <c r="E30" s="81">
        <f>'Billing Det'!B28</f>
        <v>1</v>
      </c>
      <c r="F30" s="73">
        <f>C30*E30</f>
        <v>0</v>
      </c>
      <c r="G30" s="72">
        <f>F30/$F$40</f>
        <v>0</v>
      </c>
    </row>
    <row r="31" spans="1:7">
      <c r="C31" s="198"/>
      <c r="D31" s="81"/>
      <c r="E31" s="81"/>
      <c r="F31" s="73"/>
      <c r="G31" s="72"/>
    </row>
    <row r="32" spans="1:7">
      <c r="A32" s="130" t="s">
        <v>667</v>
      </c>
      <c r="C32" s="197">
        <v>0</v>
      </c>
      <c r="D32" s="81">
        <f>'Billing Det'!C30</f>
        <v>2</v>
      </c>
      <c r="E32" s="81">
        <f>'Billing Det'!B30</f>
        <v>2</v>
      </c>
      <c r="F32" s="73">
        <f>C32*E32</f>
        <v>0</v>
      </c>
      <c r="G32" s="72">
        <f>F32/$F$40</f>
        <v>0</v>
      </c>
    </row>
    <row r="33" spans="1:14">
      <c r="C33" s="198"/>
      <c r="D33" s="81"/>
      <c r="E33" s="81"/>
      <c r="F33" s="73"/>
      <c r="G33" s="72"/>
    </row>
    <row r="34" spans="1:14">
      <c r="A34" s="167" t="s">
        <v>1429</v>
      </c>
      <c r="C34" s="197">
        <v>0</v>
      </c>
      <c r="D34" s="81">
        <f>'Billing Det'!C32</f>
        <v>95516</v>
      </c>
      <c r="E34" s="81">
        <f>'Billing Det'!B32</f>
        <v>87026</v>
      </c>
      <c r="F34" s="73">
        <f>C34*E34</f>
        <v>0</v>
      </c>
      <c r="G34" s="72">
        <f>F34/$F$40</f>
        <v>0</v>
      </c>
    </row>
    <row r="35" spans="1:14">
      <c r="C35" s="198"/>
      <c r="D35" s="81"/>
      <c r="E35" s="81"/>
      <c r="F35" s="73"/>
      <c r="G35" s="72"/>
    </row>
    <row r="36" spans="1:14">
      <c r="A36" s="167" t="s">
        <v>1430</v>
      </c>
      <c r="C36" s="197">
        <f>C10</f>
        <v>316.59584999999998</v>
      </c>
      <c r="D36" s="81">
        <f>'Billing Det'!C34</f>
        <v>170</v>
      </c>
      <c r="E36" s="81">
        <f>'Billing Det'!B34</f>
        <v>173</v>
      </c>
      <c r="F36" s="73">
        <f>C36*E36</f>
        <v>54771.082049999997</v>
      </c>
      <c r="G36" s="72">
        <f>F36/$F$40</f>
        <v>4.0587270044910073E-4</v>
      </c>
    </row>
    <row r="37" spans="1:14">
      <c r="C37" s="197"/>
      <c r="D37" s="81"/>
      <c r="E37" s="81"/>
      <c r="F37" s="73"/>
      <c r="G37" s="72"/>
    </row>
    <row r="38" spans="1:14">
      <c r="A38" s="130" t="s">
        <v>668</v>
      </c>
      <c r="C38" s="197">
        <f>C10</f>
        <v>316.59584999999998</v>
      </c>
      <c r="D38" s="81">
        <f>'Billing Det'!C36</f>
        <v>1018</v>
      </c>
      <c r="E38" s="81">
        <f>'Billing Det'!B36</f>
        <v>1018</v>
      </c>
      <c r="F38" s="73">
        <f>C38*E38</f>
        <v>322294.57529999997</v>
      </c>
      <c r="G38" s="72">
        <f>F38/$F$40</f>
        <v>2.3883145032207198E-3</v>
      </c>
    </row>
    <row r="39" spans="1:14" ht="13.2">
      <c r="A39" s="74"/>
      <c r="B39" s="75"/>
      <c r="C39" s="75"/>
      <c r="D39" s="82"/>
      <c r="E39" s="82"/>
      <c r="F39" s="76"/>
      <c r="G39" s="77"/>
    </row>
    <row r="40" spans="1:14" ht="13.2">
      <c r="C40" s="65"/>
      <c r="D40" s="81">
        <f>SUM(D10:D39)</f>
        <v>491018</v>
      </c>
      <c r="E40" s="81">
        <f>SUM(E10:E39)</f>
        <v>488377</v>
      </c>
      <c r="F40" s="69">
        <f>SUM(F10:F39)</f>
        <v>134946454.85985002</v>
      </c>
      <c r="G40" s="72">
        <f>SUM(G10:G39)</f>
        <v>0.99999999999999989</v>
      </c>
    </row>
    <row r="41" spans="1:14" ht="13.2">
      <c r="C41" s="65"/>
      <c r="M41" s="63"/>
      <c r="N41" s="63"/>
    </row>
    <row r="42" spans="1:14" ht="13.2">
      <c r="C42" s="65"/>
      <c r="M42" s="63"/>
      <c r="N42" s="63"/>
    </row>
    <row r="43" spans="1:14" ht="13.2">
      <c r="B43" s="65" t="s">
        <v>652</v>
      </c>
      <c r="C43" s="65"/>
      <c r="F43" s="69">
        <f>'Functional Assignment'!F40</f>
        <v>28292567.220000006</v>
      </c>
    </row>
    <row r="44" spans="1:14" ht="13.2">
      <c r="C44" s="65"/>
    </row>
    <row r="45" spans="1:14" ht="13.2">
      <c r="C45" s="65"/>
    </row>
    <row r="46" spans="1:14" ht="13.2">
      <c r="C46" s="65"/>
    </row>
    <row r="47" spans="1:14" ht="13.2">
      <c r="C47" s="65"/>
    </row>
    <row r="48" spans="1:14" ht="13.2">
      <c r="C48" s="65"/>
    </row>
    <row r="49" spans="3:6" ht="13.2">
      <c r="C49" s="65"/>
      <c r="F49" s="83"/>
    </row>
    <row r="50" spans="3:6" ht="13.2">
      <c r="C50" s="65"/>
    </row>
    <row r="51" spans="3:6" ht="13.2">
      <c r="C51" s="65"/>
    </row>
    <row r="52" spans="3:6" ht="13.2">
      <c r="C52" s="65"/>
    </row>
    <row r="53" spans="3:6" ht="13.2">
      <c r="C53" s="65"/>
    </row>
    <row r="54" spans="3:6" ht="13.2">
      <c r="C54" s="65"/>
    </row>
    <row r="55" spans="3:6" ht="13.2">
      <c r="C55" s="65"/>
    </row>
    <row r="56" spans="3:6" ht="13.2">
      <c r="C56" s="65"/>
    </row>
    <row r="57" spans="3:6" ht="13.2">
      <c r="C57" s="65"/>
    </row>
    <row r="58" spans="3:6" ht="13.2">
      <c r="C58" s="65"/>
    </row>
    <row r="62" spans="3:6" ht="13.2">
      <c r="C62" s="65"/>
    </row>
    <row r="63" spans="3:6" ht="13.2">
      <c r="C63" s="65"/>
    </row>
    <row r="64" spans="3:6" ht="13.2">
      <c r="C64" s="65"/>
    </row>
  </sheetData>
  <phoneticPr fontId="0" type="noConversion"/>
  <pageMargins left="0.75" right="0.75" top="1" bottom="1" header="0.5" footer="0.5"/>
  <pageSetup scale="33" orientation="portrait" r:id="rId1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2:P31"/>
  <sheetViews>
    <sheetView workbookViewId="0"/>
  </sheetViews>
  <sheetFormatPr defaultRowHeight="13.8"/>
  <cols>
    <col min="4" max="4" width="16.44140625" bestFit="1" customWidth="1"/>
    <col min="15" max="15" width="14" bestFit="1" customWidth="1"/>
  </cols>
  <sheetData>
    <row r="2" spans="1:16">
      <c r="A2" s="6" t="s">
        <v>958</v>
      </c>
      <c r="H2" t="s">
        <v>654</v>
      </c>
      <c r="O2" s="3">
        <v>57069712</v>
      </c>
    </row>
    <row r="3" spans="1:16">
      <c r="A3" t="s">
        <v>951</v>
      </c>
      <c r="D3" s="4">
        <f>'Allocation ProForma'!S1058</f>
        <v>103846198</v>
      </c>
      <c r="I3" t="s">
        <v>655</v>
      </c>
      <c r="O3" s="3">
        <v>33150066</v>
      </c>
      <c r="P3">
        <f>O3/O2</f>
        <v>0.58086969143983069</v>
      </c>
    </row>
    <row r="4" spans="1:16">
      <c r="I4" t="s">
        <v>656</v>
      </c>
      <c r="O4" s="3">
        <v>23919646</v>
      </c>
      <c r="P4">
        <f>O4/O2</f>
        <v>0.41913030856016936</v>
      </c>
    </row>
    <row r="5" spans="1:16">
      <c r="A5" t="s">
        <v>952</v>
      </c>
      <c r="D5" s="4">
        <f>'Allocation ProForma'!G1058</f>
        <v>4217378380</v>
      </c>
    </row>
    <row r="6" spans="1:16">
      <c r="A6" t="s">
        <v>953</v>
      </c>
      <c r="D6" s="29">
        <f>'Allocation ProForma'!G1065</f>
        <v>347769</v>
      </c>
      <c r="H6" t="s">
        <v>657</v>
      </c>
      <c r="O6" s="3">
        <f>'Functional Assignment'!$F$43</f>
        <v>83856546.370000005</v>
      </c>
    </row>
    <row r="7" spans="1:16">
      <c r="A7" t="s">
        <v>954</v>
      </c>
      <c r="D7" s="3">
        <f>D5/D6</f>
        <v>12126.953178690452</v>
      </c>
      <c r="I7" t="s">
        <v>655</v>
      </c>
      <c r="O7" s="15">
        <f>O6*P3</f>
        <v>48709726.215151757</v>
      </c>
    </row>
    <row r="8" spans="1:16">
      <c r="I8" t="s">
        <v>656</v>
      </c>
      <c r="O8" s="15">
        <f>O6*P4</f>
        <v>35146820.154848255</v>
      </c>
    </row>
    <row r="9" spans="1:16">
      <c r="A9" t="s">
        <v>955</v>
      </c>
      <c r="D9" s="3">
        <f>D3/D7</f>
        <v>8563.2554583025121</v>
      </c>
    </row>
    <row r="10" spans="1:16">
      <c r="A10" t="s">
        <v>956</v>
      </c>
      <c r="D10" s="29">
        <f>'Allocation ProForma'!S1066</f>
        <v>95516</v>
      </c>
    </row>
    <row r="11" spans="1:16">
      <c r="A11" t="s">
        <v>957</v>
      </c>
      <c r="D11" s="3">
        <f>ROUND(D10/D9,0)</f>
        <v>11</v>
      </c>
    </row>
    <row r="14" spans="1:16">
      <c r="A14" s="6" t="s">
        <v>959</v>
      </c>
    </row>
    <row r="15" spans="1:16">
      <c r="A15" t="s">
        <v>951</v>
      </c>
      <c r="D15" s="4">
        <f>'Allocation ProForma'!T1058</f>
        <v>3674215</v>
      </c>
    </row>
    <row r="17" spans="1:4">
      <c r="A17" t="s">
        <v>952</v>
      </c>
      <c r="D17" s="4">
        <f>D5</f>
        <v>4217378380</v>
      </c>
    </row>
    <row r="18" spans="1:4">
      <c r="A18" t="s">
        <v>953</v>
      </c>
      <c r="D18" s="29">
        <f>D6</f>
        <v>347769</v>
      </c>
    </row>
    <row r="19" spans="1:4">
      <c r="A19" t="s">
        <v>954</v>
      </c>
      <c r="D19" s="3">
        <f>D17/D18</f>
        <v>12126.953178690452</v>
      </c>
    </row>
    <row r="21" spans="1:4">
      <c r="A21" t="s">
        <v>955</v>
      </c>
      <c r="D21" s="3">
        <f>ROUND(D15/D19,0)</f>
        <v>303</v>
      </c>
    </row>
    <row r="24" spans="1:4">
      <c r="A24" s="6" t="s">
        <v>960</v>
      </c>
    </row>
    <row r="25" spans="1:4">
      <c r="A25" t="s">
        <v>951</v>
      </c>
      <c r="D25" s="4">
        <f>'Allocation ProForma'!U1058</f>
        <v>3075720</v>
      </c>
    </row>
    <row r="27" spans="1:4">
      <c r="A27" t="s">
        <v>952</v>
      </c>
      <c r="D27" s="4">
        <f>D17</f>
        <v>4217378380</v>
      </c>
    </row>
    <row r="28" spans="1:4">
      <c r="A28" t="s">
        <v>953</v>
      </c>
      <c r="D28" s="29">
        <f>D18</f>
        <v>347769</v>
      </c>
    </row>
    <row r="29" spans="1:4">
      <c r="A29" t="s">
        <v>954</v>
      </c>
      <c r="D29" s="3">
        <f>D27/D28</f>
        <v>12126.953178690452</v>
      </c>
    </row>
    <row r="31" spans="1:4">
      <c r="A31" t="s">
        <v>955</v>
      </c>
      <c r="D31" s="3">
        <f>ROUND(D25/D29,0)</f>
        <v>254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3:H9"/>
  <sheetViews>
    <sheetView workbookViewId="0"/>
  </sheetViews>
  <sheetFormatPr defaultRowHeight="13.8"/>
  <cols>
    <col min="8" max="8" width="15" bestFit="1" customWidth="1"/>
  </cols>
  <sheetData>
    <row r="3" spans="1:8">
      <c r="A3" t="s">
        <v>961</v>
      </c>
      <c r="H3" s="2">
        <f>'Functional Assignment'!F267</f>
        <v>2161885.7999999998</v>
      </c>
    </row>
    <row r="4" spans="1:8">
      <c r="H4" s="2"/>
    </row>
    <row r="5" spans="1:8">
      <c r="A5" t="s">
        <v>962</v>
      </c>
      <c r="H5" s="2">
        <f>'Functional Assignment'!F272</f>
        <v>12266256.680000002</v>
      </c>
    </row>
    <row r="7" spans="1:8">
      <c r="A7" t="s">
        <v>963</v>
      </c>
      <c r="H7">
        <f>ROUND(H3/H5,2)</f>
        <v>0.18</v>
      </c>
    </row>
    <row r="9" spans="1:8">
      <c r="A9" t="s">
        <v>964</v>
      </c>
      <c r="H9">
        <f>1-H7</f>
        <v>0.82000000000000006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1310"/>
  <sheetViews>
    <sheetView view="pageBreakPreview" zoomScale="80" zoomScaleNormal="100" zoomScaleSheetLayoutView="80" workbookViewId="0">
      <pane xSplit="5" ySplit="5" topLeftCell="J1153" activePane="bottomRight" state="frozen"/>
      <selection pane="topRight"/>
      <selection pane="bottomLeft"/>
      <selection pane="bottomRight" activeCell="A1168" sqref="A1168"/>
    </sheetView>
  </sheetViews>
  <sheetFormatPr defaultColWidth="9.109375" defaultRowHeight="13.8"/>
  <cols>
    <col min="1" max="1" width="7.6640625" style="39" customWidth="1"/>
    <col min="2" max="2" width="29.44140625" style="39" customWidth="1"/>
    <col min="3" max="3" width="12.5546875" style="39" customWidth="1"/>
    <col min="4" max="4" width="11.88671875" style="39" customWidth="1"/>
    <col min="5" max="5" width="17.33203125" style="39" bestFit="1" customWidth="1"/>
    <col min="6" max="6" width="18.33203125" style="39" bestFit="1" customWidth="1"/>
    <col min="7" max="7" width="18.33203125" style="39" customWidth="1"/>
    <col min="8" max="8" width="22" style="39" bestFit="1" customWidth="1"/>
    <col min="9" max="12" width="18.33203125" style="39" customWidth="1"/>
    <col min="13" max="14" width="18.33203125" style="39" hidden="1" customWidth="1"/>
    <col min="15" max="15" width="19" style="39" hidden="1" customWidth="1"/>
    <col min="16" max="16" width="19" style="39" bestFit="1" customWidth="1"/>
    <col min="17" max="17" width="23.33203125" style="39" customWidth="1"/>
    <col min="18" max="18" width="23.109375" style="39" bestFit="1" customWidth="1"/>
    <col min="19" max="20" width="20.33203125" style="39" bestFit="1" customWidth="1"/>
    <col min="21" max="23" width="18.33203125" style="39" customWidth="1"/>
    <col min="24" max="24" width="15" style="36" customWidth="1"/>
    <col min="25" max="25" width="15.33203125" style="36" customWidth="1"/>
    <col min="26" max="26" width="15.6640625" style="36" customWidth="1"/>
    <col min="27" max="27" width="22.6640625" style="36" customWidth="1"/>
    <col min="28" max="28" width="10.6640625" style="36" customWidth="1"/>
    <col min="29" max="29" width="15.44140625" style="36" bestFit="1" customWidth="1"/>
    <col min="30" max="30" width="9.88671875" style="36" bestFit="1" customWidth="1"/>
    <col min="31" max="32" width="9.109375" style="36"/>
    <col min="33" max="33" width="7.44140625" style="36" customWidth="1"/>
    <col min="34" max="36" width="20.6640625" style="36" customWidth="1"/>
    <col min="37" max="16384" width="9.109375" style="36"/>
  </cols>
  <sheetData>
    <row r="2" spans="1:28" s="68" customFormat="1" hidden="1">
      <c r="D2" s="68">
        <v>1</v>
      </c>
      <c r="E2" s="68">
        <f t="shared" ref="E2:AB2" si="0">+D2+1</f>
        <v>2</v>
      </c>
      <c r="F2" s="68">
        <f t="shared" si="0"/>
        <v>3</v>
      </c>
      <c r="G2" s="68">
        <f t="shared" si="0"/>
        <v>4</v>
      </c>
      <c r="H2" s="68">
        <f t="shared" si="0"/>
        <v>5</v>
      </c>
      <c r="I2" s="68">
        <f t="shared" si="0"/>
        <v>6</v>
      </c>
      <c r="J2" s="68">
        <f t="shared" si="0"/>
        <v>7</v>
      </c>
      <c r="K2" s="68">
        <f>+J2+1</f>
        <v>8</v>
      </c>
      <c r="L2" s="68">
        <f t="shared" si="0"/>
        <v>9</v>
      </c>
      <c r="M2" s="68">
        <f t="shared" si="0"/>
        <v>10</v>
      </c>
      <c r="N2" s="68">
        <f t="shared" si="0"/>
        <v>11</v>
      </c>
      <c r="O2" s="68">
        <f t="shared" si="0"/>
        <v>12</v>
      </c>
      <c r="P2" s="68">
        <f t="shared" si="0"/>
        <v>13</v>
      </c>
      <c r="Q2" s="68">
        <f t="shared" si="0"/>
        <v>14</v>
      </c>
      <c r="R2" s="68">
        <f t="shared" si="0"/>
        <v>15</v>
      </c>
      <c r="S2" s="68">
        <f>R2+1</f>
        <v>16</v>
      </c>
      <c r="T2" s="68">
        <f t="shared" si="0"/>
        <v>17</v>
      </c>
      <c r="U2" s="68">
        <f>+T2+1</f>
        <v>18</v>
      </c>
      <c r="V2" s="68">
        <f t="shared" si="0"/>
        <v>19</v>
      </c>
      <c r="W2" s="68">
        <f>+V2+1</f>
        <v>20</v>
      </c>
      <c r="X2" s="68">
        <f t="shared" si="0"/>
        <v>21</v>
      </c>
      <c r="Y2" s="68">
        <f t="shared" si="0"/>
        <v>22</v>
      </c>
      <c r="Z2" s="68">
        <f t="shared" si="0"/>
        <v>23</v>
      </c>
      <c r="AA2" s="68">
        <f t="shared" si="0"/>
        <v>24</v>
      </c>
      <c r="AB2" s="68">
        <f t="shared" si="0"/>
        <v>25</v>
      </c>
    </row>
    <row r="3" spans="1:28" s="39" customFormat="1" ht="29.25" customHeight="1">
      <c r="A3" s="44"/>
      <c r="B3" s="44"/>
      <c r="C3" s="44"/>
      <c r="D3" s="49"/>
      <c r="E3" s="94" t="s">
        <v>1195</v>
      </c>
      <c r="F3" s="95" t="s">
        <v>1026</v>
      </c>
      <c r="G3" s="48" t="s">
        <v>220</v>
      </c>
      <c r="H3" s="48" t="s">
        <v>200</v>
      </c>
      <c r="I3" s="49" t="s">
        <v>1284</v>
      </c>
      <c r="J3" s="49" t="s">
        <v>1284</v>
      </c>
      <c r="K3" s="369" t="s">
        <v>1504</v>
      </c>
      <c r="L3" s="49" t="s">
        <v>1504</v>
      </c>
      <c r="M3" s="48" t="s">
        <v>1513</v>
      </c>
      <c r="N3" s="49" t="s">
        <v>1512</v>
      </c>
      <c r="O3" s="48" t="s">
        <v>201</v>
      </c>
      <c r="P3" s="49" t="s">
        <v>1285</v>
      </c>
      <c r="Q3" s="48" t="s">
        <v>612</v>
      </c>
      <c r="R3" s="48" t="s">
        <v>612</v>
      </c>
      <c r="S3" s="369" t="s">
        <v>1532</v>
      </c>
      <c r="T3" s="49" t="s">
        <v>1526</v>
      </c>
      <c r="U3" s="369" t="s">
        <v>1535</v>
      </c>
      <c r="V3" s="48" t="s">
        <v>201</v>
      </c>
      <c r="W3" s="48" t="s">
        <v>201</v>
      </c>
      <c r="X3" s="49" t="s">
        <v>201</v>
      </c>
      <c r="Y3" s="49" t="s">
        <v>201</v>
      </c>
      <c r="Z3" s="49" t="s">
        <v>201</v>
      </c>
      <c r="AA3" s="96"/>
      <c r="AB3" s="44"/>
    </row>
    <row r="4" spans="1:28" s="39" customFormat="1" ht="14.4" thickBot="1">
      <c r="A4" s="97" t="s">
        <v>1029</v>
      </c>
      <c r="B4" s="97"/>
      <c r="C4" s="98" t="s">
        <v>361</v>
      </c>
      <c r="D4" s="99" t="s">
        <v>1030</v>
      </c>
      <c r="E4" s="99" t="s">
        <v>1031</v>
      </c>
      <c r="F4" s="50" t="s">
        <v>1032</v>
      </c>
      <c r="G4" s="50" t="s">
        <v>1303</v>
      </c>
      <c r="H4" s="50" t="s">
        <v>609</v>
      </c>
      <c r="I4" s="50" t="s">
        <v>610</v>
      </c>
      <c r="J4" s="50" t="s">
        <v>611</v>
      </c>
      <c r="K4" s="50" t="s">
        <v>610</v>
      </c>
      <c r="L4" s="50" t="s">
        <v>611</v>
      </c>
      <c r="M4" s="50" t="s">
        <v>610</v>
      </c>
      <c r="N4" s="50" t="s">
        <v>611</v>
      </c>
      <c r="O4" s="50"/>
      <c r="P4" s="50" t="s">
        <v>1236</v>
      </c>
      <c r="Q4" s="370" t="s">
        <v>1530</v>
      </c>
      <c r="R4" s="370" t="s">
        <v>1531</v>
      </c>
      <c r="S4" s="370" t="s">
        <v>1533</v>
      </c>
      <c r="T4" s="50" t="s">
        <v>1286</v>
      </c>
      <c r="U4" s="370" t="s">
        <v>1534</v>
      </c>
      <c r="V4" s="50"/>
      <c r="W4" s="50"/>
      <c r="X4" s="50"/>
      <c r="Y4" s="50"/>
      <c r="Z4" s="50"/>
      <c r="AA4" s="50" t="s">
        <v>1036</v>
      </c>
      <c r="AB4" s="50" t="s">
        <v>1037</v>
      </c>
    </row>
    <row r="6" spans="1:28">
      <c r="A6" s="44" t="s">
        <v>1038</v>
      </c>
    </row>
    <row r="8" spans="1:28">
      <c r="A8" s="44" t="s">
        <v>384</v>
      </c>
    </row>
    <row r="9" spans="1:28">
      <c r="A9" s="45" t="s">
        <v>376</v>
      </c>
      <c r="C9" s="39" t="s">
        <v>1064</v>
      </c>
      <c r="D9" s="39" t="s">
        <v>385</v>
      </c>
      <c r="E9" s="39" t="s">
        <v>939</v>
      </c>
      <c r="F9" s="57">
        <f>VLOOKUP(C9,'Functional Assignment'!$C$2:$AP$725,'Functional Assignment'!$H$2,)</f>
        <v>892016894.51074409</v>
      </c>
      <c r="G9" s="57">
        <f t="shared" ref="G9:P14" si="1">IF(VLOOKUP($E9,$D$6:$AN$1197,3,)=0,0,(VLOOKUP($E9,$D$6:$AN$1197,G$2,)/VLOOKUP($E9,$D$6:$AN$1197,3,))*$F9)</f>
        <v>326098322.19399703</v>
      </c>
      <c r="H9" s="57">
        <f t="shared" si="1"/>
        <v>107557572.30604053</v>
      </c>
      <c r="I9" s="57">
        <f t="shared" si="1"/>
        <v>17603950.734818313</v>
      </c>
      <c r="J9" s="57">
        <f t="shared" si="1"/>
        <v>179342838.78691545</v>
      </c>
      <c r="K9" s="57">
        <f t="shared" si="1"/>
        <v>144223706.41025752</v>
      </c>
      <c r="L9" s="57">
        <f t="shared" si="1"/>
        <v>48762050.74665761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39045547.984750293</v>
      </c>
      <c r="Q9" s="57">
        <f t="shared" ref="Q9:Z14" si="2">IF(VLOOKUP($E9,$D$6:$AN$1197,3,)=0,0,(VLOOKUP($E9,$D$6:$AN$1197,Q$2,)/VLOOKUP($E9,$D$6:$AN$1197,3,))*$F9)</f>
        <v>16390589.463006178</v>
      </c>
      <c r="R9" s="57">
        <f t="shared" si="2"/>
        <v>4404791.6840440212</v>
      </c>
      <c r="S9" s="57">
        <f t="shared" si="2"/>
        <v>8057618.6099022124</v>
      </c>
      <c r="T9" s="57">
        <f t="shared" si="2"/>
        <v>291257.17313287593</v>
      </c>
      <c r="U9" s="57">
        <f t="shared" si="2"/>
        <v>238648.41722194213</v>
      </c>
      <c r="V9" s="57">
        <f t="shared" si="2"/>
        <v>0</v>
      </c>
      <c r="W9" s="57">
        <f t="shared" si="2"/>
        <v>0</v>
      </c>
      <c r="X9" s="41">
        <f t="shared" si="2"/>
        <v>0</v>
      </c>
      <c r="Y9" s="41">
        <f t="shared" si="2"/>
        <v>0</v>
      </c>
      <c r="Z9" s="41">
        <f t="shared" si="2"/>
        <v>0</v>
      </c>
      <c r="AA9" s="43">
        <f t="shared" ref="AA9:AA15" si="3">SUM(G9:Z9)</f>
        <v>892016894.51074386</v>
      </c>
      <c r="AB9" s="37" t="str">
        <f t="shared" ref="AB9:AB15" si="4">IF(ABS(F9-AA9)&lt;0.01,"ok","err")</f>
        <v>ok</v>
      </c>
    </row>
    <row r="10" spans="1:28">
      <c r="A10" s="45" t="s">
        <v>1391</v>
      </c>
      <c r="C10" s="39" t="s">
        <v>1064</v>
      </c>
      <c r="D10" s="39" t="s">
        <v>386</v>
      </c>
      <c r="E10" s="39" t="s">
        <v>204</v>
      </c>
      <c r="F10" s="58">
        <f>VLOOKUP(C10,'Functional Assignment'!$C$2:$AP$725,'Functional Assignment'!$I$2,)</f>
        <v>840884477.86862814</v>
      </c>
      <c r="G10" s="58">
        <f t="shared" si="1"/>
        <v>339075241.3564685</v>
      </c>
      <c r="H10" s="58">
        <f t="shared" si="1"/>
        <v>133846580.43434362</v>
      </c>
      <c r="I10" s="58">
        <f t="shared" si="1"/>
        <v>13630455.236716021</v>
      </c>
      <c r="J10" s="58">
        <f t="shared" si="1"/>
        <v>156969649.27973688</v>
      </c>
      <c r="K10" s="58">
        <f t="shared" si="1"/>
        <v>103264542.26781252</v>
      </c>
      <c r="L10" s="58">
        <f t="shared" si="1"/>
        <v>39445632.494206756</v>
      </c>
      <c r="M10" s="58">
        <f t="shared" si="1"/>
        <v>0</v>
      </c>
      <c r="N10" s="58">
        <f t="shared" si="1"/>
        <v>0</v>
      </c>
      <c r="O10" s="58">
        <f t="shared" si="1"/>
        <v>0</v>
      </c>
      <c r="P10" s="58">
        <f t="shared" si="1"/>
        <v>36551612.633113787</v>
      </c>
      <c r="Q10" s="58">
        <f t="shared" si="2"/>
        <v>15005715.191636218</v>
      </c>
      <c r="R10" s="58">
        <f t="shared" si="2"/>
        <v>2904095.2778048138</v>
      </c>
      <c r="S10" s="58">
        <f t="shared" si="2"/>
        <v>0</v>
      </c>
      <c r="T10" s="58">
        <f t="shared" si="2"/>
        <v>5880.9527589506979</v>
      </c>
      <c r="U10" s="58">
        <f t="shared" si="2"/>
        <v>185072.74403011231</v>
      </c>
      <c r="V10" s="58">
        <f t="shared" si="2"/>
        <v>0</v>
      </c>
      <c r="W10" s="58">
        <f t="shared" si="2"/>
        <v>0</v>
      </c>
      <c r="X10" s="42">
        <f t="shared" si="2"/>
        <v>0</v>
      </c>
      <c r="Y10" s="42">
        <f t="shared" si="2"/>
        <v>0</v>
      </c>
      <c r="Z10" s="42">
        <f t="shared" si="2"/>
        <v>0</v>
      </c>
      <c r="AA10" s="42">
        <f t="shared" si="3"/>
        <v>840884477.86862814</v>
      </c>
      <c r="AB10" s="37" t="str">
        <f t="shared" si="4"/>
        <v>ok</v>
      </c>
    </row>
    <row r="11" spans="1:28">
      <c r="A11" s="45" t="s">
        <v>1392</v>
      </c>
      <c r="C11" s="39" t="s">
        <v>1064</v>
      </c>
      <c r="D11" s="39" t="s">
        <v>387</v>
      </c>
      <c r="E11" s="39" t="s">
        <v>207</v>
      </c>
      <c r="F11" s="58">
        <f>VLOOKUP(C11,'Functional Assignment'!$C$2:$AP$725,'Functional Assignment'!$J$2,)</f>
        <v>863594163.73204005</v>
      </c>
      <c r="G11" s="58">
        <f t="shared" si="1"/>
        <v>421666649.52934915</v>
      </c>
      <c r="H11" s="58">
        <f t="shared" si="1"/>
        <v>112876391.07343233</v>
      </c>
      <c r="I11" s="58">
        <f t="shared" si="1"/>
        <v>12662179.262451112</v>
      </c>
      <c r="J11" s="58">
        <f t="shared" si="1"/>
        <v>151013195.8536016</v>
      </c>
      <c r="K11" s="58">
        <f t="shared" si="1"/>
        <v>89193214.559852347</v>
      </c>
      <c r="L11" s="58">
        <f t="shared" si="1"/>
        <v>34058677.199133419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22781349.634000681</v>
      </c>
      <c r="Q11" s="58">
        <f t="shared" si="2"/>
        <v>16102423.264155226</v>
      </c>
      <c r="R11" s="58">
        <f t="shared" si="2"/>
        <v>3111691.9649135731</v>
      </c>
      <c r="S11" s="58">
        <f t="shared" si="2"/>
        <v>0</v>
      </c>
      <c r="T11" s="58">
        <f t="shared" si="2"/>
        <v>7312.0082572528181</v>
      </c>
      <c r="U11" s="58">
        <f t="shared" si="2"/>
        <v>121079.38289322896</v>
      </c>
      <c r="V11" s="58">
        <f t="shared" si="2"/>
        <v>0</v>
      </c>
      <c r="W11" s="58">
        <f t="shared" si="2"/>
        <v>0</v>
      </c>
      <c r="X11" s="42">
        <f t="shared" si="2"/>
        <v>0</v>
      </c>
      <c r="Y11" s="42">
        <f t="shared" si="2"/>
        <v>0</v>
      </c>
      <c r="Z11" s="42">
        <f t="shared" si="2"/>
        <v>0</v>
      </c>
      <c r="AA11" s="42">
        <f t="shared" si="3"/>
        <v>863594163.73203993</v>
      </c>
      <c r="AB11" s="37" t="str">
        <f t="shared" si="4"/>
        <v>ok</v>
      </c>
    </row>
    <row r="12" spans="1:28">
      <c r="A12" s="45" t="s">
        <v>1393</v>
      </c>
      <c r="C12" s="39" t="s">
        <v>1064</v>
      </c>
      <c r="D12" s="39" t="s">
        <v>388</v>
      </c>
      <c r="E12" s="39" t="s">
        <v>1197</v>
      </c>
      <c r="F12" s="58">
        <f>VLOOKUP(C12,'Functional Assignment'!$C$2:$AP$725,'Functional Assignment'!$K$2,)</f>
        <v>0</v>
      </c>
      <c r="G12" s="58">
        <f t="shared" si="1"/>
        <v>0</v>
      </c>
      <c r="H12" s="58">
        <f t="shared" si="1"/>
        <v>0</v>
      </c>
      <c r="I12" s="58">
        <f t="shared" si="1"/>
        <v>0</v>
      </c>
      <c r="J12" s="58">
        <f t="shared" si="1"/>
        <v>0</v>
      </c>
      <c r="K12" s="58">
        <f t="shared" si="1"/>
        <v>0</v>
      </c>
      <c r="L12" s="58">
        <f t="shared" si="1"/>
        <v>0</v>
      </c>
      <c r="M12" s="58">
        <f t="shared" si="1"/>
        <v>0</v>
      </c>
      <c r="N12" s="58">
        <f t="shared" si="1"/>
        <v>0</v>
      </c>
      <c r="O12" s="58">
        <f t="shared" si="1"/>
        <v>0</v>
      </c>
      <c r="P12" s="58">
        <f t="shared" si="1"/>
        <v>0</v>
      </c>
      <c r="Q12" s="58">
        <f t="shared" si="2"/>
        <v>0</v>
      </c>
      <c r="R12" s="58">
        <f t="shared" si="2"/>
        <v>0</v>
      </c>
      <c r="S12" s="58">
        <f t="shared" si="2"/>
        <v>0</v>
      </c>
      <c r="T12" s="58">
        <f t="shared" si="2"/>
        <v>0</v>
      </c>
      <c r="U12" s="58">
        <f t="shared" si="2"/>
        <v>0</v>
      </c>
      <c r="V12" s="58">
        <f t="shared" si="2"/>
        <v>0</v>
      </c>
      <c r="W12" s="58">
        <f t="shared" si="2"/>
        <v>0</v>
      </c>
      <c r="X12" s="42">
        <f t="shared" si="2"/>
        <v>0</v>
      </c>
      <c r="Y12" s="42">
        <f t="shared" si="2"/>
        <v>0</v>
      </c>
      <c r="Z12" s="42">
        <f t="shared" si="2"/>
        <v>0</v>
      </c>
      <c r="AA12" s="42">
        <f t="shared" si="3"/>
        <v>0</v>
      </c>
      <c r="AB12" s="37" t="str">
        <f t="shared" si="4"/>
        <v>ok</v>
      </c>
    </row>
    <row r="13" spans="1:28">
      <c r="A13" s="45" t="s">
        <v>1394</v>
      </c>
      <c r="C13" s="39" t="s">
        <v>1064</v>
      </c>
      <c r="D13" s="39" t="s">
        <v>389</v>
      </c>
      <c r="E13" s="39" t="s">
        <v>1197</v>
      </c>
      <c r="F13" s="58">
        <f>VLOOKUP(C13,'Functional Assignment'!$C$2:$AP$725,'Functional Assignment'!$L$2,)</f>
        <v>0</v>
      </c>
      <c r="G13" s="58">
        <f t="shared" si="1"/>
        <v>0</v>
      </c>
      <c r="H13" s="58">
        <f t="shared" si="1"/>
        <v>0</v>
      </c>
      <c r="I13" s="58">
        <f t="shared" si="1"/>
        <v>0</v>
      </c>
      <c r="J13" s="58">
        <f t="shared" si="1"/>
        <v>0</v>
      </c>
      <c r="K13" s="58">
        <f t="shared" si="1"/>
        <v>0</v>
      </c>
      <c r="L13" s="58">
        <f t="shared" si="1"/>
        <v>0</v>
      </c>
      <c r="M13" s="58">
        <f t="shared" si="1"/>
        <v>0</v>
      </c>
      <c r="N13" s="58">
        <f t="shared" si="1"/>
        <v>0</v>
      </c>
      <c r="O13" s="58">
        <f t="shared" si="1"/>
        <v>0</v>
      </c>
      <c r="P13" s="58">
        <f t="shared" si="1"/>
        <v>0</v>
      </c>
      <c r="Q13" s="58">
        <f t="shared" si="2"/>
        <v>0</v>
      </c>
      <c r="R13" s="58">
        <f t="shared" si="2"/>
        <v>0</v>
      </c>
      <c r="S13" s="58">
        <f t="shared" si="2"/>
        <v>0</v>
      </c>
      <c r="T13" s="58">
        <f t="shared" si="2"/>
        <v>0</v>
      </c>
      <c r="U13" s="58">
        <f t="shared" si="2"/>
        <v>0</v>
      </c>
      <c r="V13" s="58">
        <f t="shared" si="2"/>
        <v>0</v>
      </c>
      <c r="W13" s="58">
        <f t="shared" si="2"/>
        <v>0</v>
      </c>
      <c r="X13" s="42">
        <f t="shared" si="2"/>
        <v>0</v>
      </c>
      <c r="Y13" s="42">
        <f t="shared" si="2"/>
        <v>0</v>
      </c>
      <c r="Z13" s="42">
        <f t="shared" si="2"/>
        <v>0</v>
      </c>
      <c r="AA13" s="42">
        <f t="shared" si="3"/>
        <v>0</v>
      </c>
      <c r="AB13" s="37" t="str">
        <f t="shared" si="4"/>
        <v>ok</v>
      </c>
    </row>
    <row r="14" spans="1:28">
      <c r="A14" s="45" t="s">
        <v>1394</v>
      </c>
      <c r="C14" s="39" t="s">
        <v>1064</v>
      </c>
      <c r="D14" s="39" t="s">
        <v>390</v>
      </c>
      <c r="E14" s="39" t="s">
        <v>1197</v>
      </c>
      <c r="F14" s="58">
        <f>VLOOKUP(C14,'Functional Assignment'!$C$2:$AP$725,'Functional Assignment'!$M$2,)</f>
        <v>0</v>
      </c>
      <c r="G14" s="58">
        <f t="shared" si="1"/>
        <v>0</v>
      </c>
      <c r="H14" s="58">
        <f t="shared" si="1"/>
        <v>0</v>
      </c>
      <c r="I14" s="58">
        <f t="shared" si="1"/>
        <v>0</v>
      </c>
      <c r="J14" s="58">
        <f t="shared" si="1"/>
        <v>0</v>
      </c>
      <c r="K14" s="58">
        <f t="shared" si="1"/>
        <v>0</v>
      </c>
      <c r="L14" s="58">
        <f t="shared" si="1"/>
        <v>0</v>
      </c>
      <c r="M14" s="58">
        <f t="shared" si="1"/>
        <v>0</v>
      </c>
      <c r="N14" s="58">
        <f t="shared" si="1"/>
        <v>0</v>
      </c>
      <c r="O14" s="58">
        <f t="shared" si="1"/>
        <v>0</v>
      </c>
      <c r="P14" s="58">
        <f t="shared" si="1"/>
        <v>0</v>
      </c>
      <c r="Q14" s="58">
        <f t="shared" si="2"/>
        <v>0</v>
      </c>
      <c r="R14" s="58">
        <f t="shared" si="2"/>
        <v>0</v>
      </c>
      <c r="S14" s="58">
        <f t="shared" si="2"/>
        <v>0</v>
      </c>
      <c r="T14" s="58">
        <f t="shared" si="2"/>
        <v>0</v>
      </c>
      <c r="U14" s="58">
        <f t="shared" si="2"/>
        <v>0</v>
      </c>
      <c r="V14" s="58">
        <f t="shared" si="2"/>
        <v>0</v>
      </c>
      <c r="W14" s="58">
        <f t="shared" si="2"/>
        <v>0</v>
      </c>
      <c r="X14" s="42">
        <f t="shared" si="2"/>
        <v>0</v>
      </c>
      <c r="Y14" s="42">
        <f t="shared" si="2"/>
        <v>0</v>
      </c>
      <c r="Z14" s="42">
        <f t="shared" si="2"/>
        <v>0</v>
      </c>
      <c r="AA14" s="42">
        <f t="shared" si="3"/>
        <v>0</v>
      </c>
      <c r="AB14" s="37" t="str">
        <f t="shared" si="4"/>
        <v>ok</v>
      </c>
    </row>
    <row r="15" spans="1:28">
      <c r="A15" s="39" t="s">
        <v>407</v>
      </c>
      <c r="D15" s="39" t="s">
        <v>1198</v>
      </c>
      <c r="F15" s="57">
        <f>SUM(F9:F14)</f>
        <v>2596495536.111412</v>
      </c>
      <c r="G15" s="57">
        <f t="shared" ref="G15:P15" si="5">SUM(G9:G14)</f>
        <v>1086840213.0798147</v>
      </c>
      <c r="H15" s="57">
        <f t="shared" si="5"/>
        <v>354280543.81381649</v>
      </c>
      <c r="I15" s="57">
        <f t="shared" si="5"/>
        <v>43896585.233985446</v>
      </c>
      <c r="J15" s="57">
        <f t="shared" si="5"/>
        <v>487325683.92025387</v>
      </c>
      <c r="K15" s="57">
        <f t="shared" si="5"/>
        <v>336681463.23792237</v>
      </c>
      <c r="L15" s="57">
        <f t="shared" si="5"/>
        <v>122266360.43999779</v>
      </c>
      <c r="M15" s="57">
        <f t="shared" si="5"/>
        <v>0</v>
      </c>
      <c r="N15" s="57">
        <f t="shared" si="5"/>
        <v>0</v>
      </c>
      <c r="O15" s="57">
        <f>SUM(O9:O14)</f>
        <v>0</v>
      </c>
      <c r="P15" s="57">
        <f t="shared" si="5"/>
        <v>98378510.251864761</v>
      </c>
      <c r="Q15" s="57">
        <f t="shared" ref="Q15:Z15" si="6">SUM(Q9:Q14)</f>
        <v>47498727.91879762</v>
      </c>
      <c r="R15" s="57">
        <f t="shared" si="6"/>
        <v>10420578.926762408</v>
      </c>
      <c r="S15" s="57">
        <f t="shared" si="6"/>
        <v>8057618.6099022124</v>
      </c>
      <c r="T15" s="57">
        <f t="shared" si="6"/>
        <v>304450.13414907944</v>
      </c>
      <c r="U15" s="57">
        <f t="shared" si="6"/>
        <v>544800.54414528341</v>
      </c>
      <c r="V15" s="57">
        <f t="shared" si="6"/>
        <v>0</v>
      </c>
      <c r="W15" s="57">
        <f t="shared" si="6"/>
        <v>0</v>
      </c>
      <c r="X15" s="41">
        <f t="shared" si="6"/>
        <v>0</v>
      </c>
      <c r="Y15" s="41">
        <f t="shared" si="6"/>
        <v>0</v>
      </c>
      <c r="Z15" s="41">
        <f t="shared" si="6"/>
        <v>0</v>
      </c>
      <c r="AA15" s="43">
        <f t="shared" si="3"/>
        <v>2596495536.111412</v>
      </c>
      <c r="AB15" s="37" t="str">
        <f t="shared" si="4"/>
        <v>ok</v>
      </c>
    </row>
    <row r="16" spans="1:28">
      <c r="F16" s="58"/>
      <c r="G16" s="58"/>
    </row>
    <row r="17" spans="1:28">
      <c r="A17" s="44" t="s">
        <v>1237</v>
      </c>
      <c r="F17" s="58"/>
      <c r="G17" s="58"/>
    </row>
    <row r="18" spans="1:28">
      <c r="A18" s="45" t="s">
        <v>377</v>
      </c>
      <c r="C18" s="39" t="s">
        <v>1064</v>
      </c>
      <c r="D18" s="39" t="s">
        <v>380</v>
      </c>
      <c r="E18" s="39" t="s">
        <v>939</v>
      </c>
      <c r="F18" s="57">
        <f>VLOOKUP(C18,'Functional Assignment'!$C$2:$AP$725,'Functional Assignment'!$N$2,)</f>
        <v>95738806.253678828</v>
      </c>
      <c r="G18" s="57">
        <f t="shared" ref="G18:P20" si="7">IF(VLOOKUP($E18,$D$6:$AN$1197,3,)=0,0,(VLOOKUP($E18,$D$6:$AN$1197,G$2,)/VLOOKUP($E18,$D$6:$AN$1197,3,))*$F18)</f>
        <v>34999633.168724447</v>
      </c>
      <c r="H18" s="57">
        <f t="shared" si="7"/>
        <v>11543989.401424993</v>
      </c>
      <c r="I18" s="57">
        <f t="shared" si="7"/>
        <v>1889405.0539530197</v>
      </c>
      <c r="J18" s="57">
        <f t="shared" si="7"/>
        <v>19248592.040426254</v>
      </c>
      <c r="K18" s="57">
        <f t="shared" si="7"/>
        <v>15479309.383229166</v>
      </c>
      <c r="L18" s="57">
        <f t="shared" si="7"/>
        <v>5233556.1777973454</v>
      </c>
      <c r="M18" s="57">
        <f t="shared" si="7"/>
        <v>0</v>
      </c>
      <c r="N18" s="57">
        <f t="shared" si="7"/>
        <v>0</v>
      </c>
      <c r="O18" s="57">
        <f t="shared" si="7"/>
        <v>0</v>
      </c>
      <c r="P18" s="57">
        <f t="shared" si="7"/>
        <v>4190698.8271013098</v>
      </c>
      <c r="Q18" s="57">
        <f t="shared" ref="Q18:Z20" si="8">IF(VLOOKUP($E18,$D$6:$AN$1197,3,)=0,0,(VLOOKUP($E18,$D$6:$AN$1197,Q$2,)/VLOOKUP($E18,$D$6:$AN$1197,3,))*$F18)</f>
        <v>1759176.8481504219</v>
      </c>
      <c r="R18" s="57">
        <f t="shared" si="8"/>
        <v>472759.54101497884</v>
      </c>
      <c r="S18" s="57">
        <f t="shared" si="8"/>
        <v>864811.85693526478</v>
      </c>
      <c r="T18" s="57">
        <f t="shared" si="8"/>
        <v>31260.186034768802</v>
      </c>
      <c r="U18" s="57">
        <f t="shared" si="8"/>
        <v>25613.76888684414</v>
      </c>
      <c r="V18" s="57">
        <f t="shared" si="8"/>
        <v>0</v>
      </c>
      <c r="W18" s="57">
        <f t="shared" si="8"/>
        <v>0</v>
      </c>
      <c r="X18" s="41">
        <f t="shared" si="8"/>
        <v>0</v>
      </c>
      <c r="Y18" s="41">
        <f t="shared" si="8"/>
        <v>0</v>
      </c>
      <c r="Z18" s="41">
        <f t="shared" si="8"/>
        <v>0</v>
      </c>
      <c r="AA18" s="43">
        <f>SUM(G18:Z18)</f>
        <v>95738806.253678814</v>
      </c>
      <c r="AB18" s="37" t="str">
        <f>IF(ABS(F18-AA18)&lt;0.01,"ok","err")</f>
        <v>ok</v>
      </c>
    </row>
    <row r="19" spans="1:28">
      <c r="A19" s="45" t="s">
        <v>379</v>
      </c>
      <c r="C19" s="39" t="s">
        <v>1064</v>
      </c>
      <c r="D19" s="39" t="s">
        <v>381</v>
      </c>
      <c r="E19" s="39" t="s">
        <v>204</v>
      </c>
      <c r="F19" s="58">
        <f>VLOOKUP(C19,'Functional Assignment'!$C$2:$AP$725,'Functional Assignment'!$O$2,)</f>
        <v>90250842.336956188</v>
      </c>
      <c r="G19" s="58">
        <f t="shared" si="7"/>
        <v>36392426.01503811</v>
      </c>
      <c r="H19" s="58">
        <f t="shared" si="7"/>
        <v>14365548.355392404</v>
      </c>
      <c r="I19" s="58">
        <f t="shared" si="7"/>
        <v>1462935.871604928</v>
      </c>
      <c r="J19" s="58">
        <f t="shared" si="7"/>
        <v>16847311.897991896</v>
      </c>
      <c r="K19" s="58">
        <f t="shared" si="7"/>
        <v>11083225.066578433</v>
      </c>
      <c r="L19" s="58">
        <f t="shared" si="7"/>
        <v>4233639.284363566</v>
      </c>
      <c r="M19" s="58">
        <f t="shared" si="7"/>
        <v>0</v>
      </c>
      <c r="N19" s="58">
        <f t="shared" si="7"/>
        <v>0</v>
      </c>
      <c r="O19" s="58">
        <f t="shared" si="7"/>
        <v>0</v>
      </c>
      <c r="P19" s="58">
        <f t="shared" si="7"/>
        <v>3923028.5678171646</v>
      </c>
      <c r="Q19" s="58">
        <f t="shared" si="8"/>
        <v>1610540.4149524667</v>
      </c>
      <c r="R19" s="58">
        <f t="shared" si="8"/>
        <v>311692.09558130149</v>
      </c>
      <c r="S19" s="58">
        <f t="shared" si="8"/>
        <v>0</v>
      </c>
      <c r="T19" s="58">
        <f t="shared" si="8"/>
        <v>631.19364693763328</v>
      </c>
      <c r="U19" s="58">
        <f t="shared" si="8"/>
        <v>19863.573988981432</v>
      </c>
      <c r="V19" s="58">
        <f t="shared" si="8"/>
        <v>0</v>
      </c>
      <c r="W19" s="58">
        <f t="shared" si="8"/>
        <v>0</v>
      </c>
      <c r="X19" s="42">
        <f t="shared" si="8"/>
        <v>0</v>
      </c>
      <c r="Y19" s="42">
        <f t="shared" si="8"/>
        <v>0</v>
      </c>
      <c r="Z19" s="42">
        <f t="shared" si="8"/>
        <v>0</v>
      </c>
      <c r="AA19" s="42">
        <f>SUM(G19:Z19)</f>
        <v>90250842.336956203</v>
      </c>
      <c r="AB19" s="37" t="str">
        <f>IF(ABS(F19-AA19)&lt;0.01,"ok","err")</f>
        <v>ok</v>
      </c>
    </row>
    <row r="20" spans="1:28">
      <c r="A20" s="45" t="s">
        <v>378</v>
      </c>
      <c r="C20" s="39" t="s">
        <v>1064</v>
      </c>
      <c r="D20" s="39" t="s">
        <v>382</v>
      </c>
      <c r="E20" s="39" t="s">
        <v>207</v>
      </c>
      <c r="F20" s="58">
        <f>VLOOKUP(C20,'Functional Assignment'!$C$2:$AP$725,'Functional Assignment'!$P$2,)</f>
        <v>92688238.117617533</v>
      </c>
      <c r="G20" s="58">
        <f t="shared" si="7"/>
        <v>45256835.28120891</v>
      </c>
      <c r="H20" s="58">
        <f t="shared" si="7"/>
        <v>12114850.068530463</v>
      </c>
      <c r="I20" s="58">
        <f t="shared" si="7"/>
        <v>1359012.2951898368</v>
      </c>
      <c r="J20" s="58">
        <f t="shared" si="7"/>
        <v>16208014.880151665</v>
      </c>
      <c r="K20" s="58">
        <f t="shared" si="7"/>
        <v>9572971.0282809641</v>
      </c>
      <c r="L20" s="58">
        <f t="shared" si="7"/>
        <v>3655465.6281626602</v>
      </c>
      <c r="M20" s="58">
        <f t="shared" si="7"/>
        <v>0</v>
      </c>
      <c r="N20" s="58">
        <f t="shared" si="7"/>
        <v>0</v>
      </c>
      <c r="O20" s="58">
        <f t="shared" si="7"/>
        <v>0</v>
      </c>
      <c r="P20" s="58">
        <f t="shared" si="7"/>
        <v>2445087.3433324168</v>
      </c>
      <c r="Q20" s="58">
        <f t="shared" si="8"/>
        <v>1728248.4116483505</v>
      </c>
      <c r="R20" s="58">
        <f t="shared" si="8"/>
        <v>333973.12986251013</v>
      </c>
      <c r="S20" s="58">
        <f t="shared" si="8"/>
        <v>0</v>
      </c>
      <c r="T20" s="58">
        <f t="shared" si="8"/>
        <v>784.78664044854077</v>
      </c>
      <c r="U20" s="58">
        <f t="shared" si="8"/>
        <v>12995.264609296275</v>
      </c>
      <c r="V20" s="58">
        <f t="shared" si="8"/>
        <v>0</v>
      </c>
      <c r="W20" s="58">
        <f t="shared" si="8"/>
        <v>0</v>
      </c>
      <c r="X20" s="42">
        <f t="shared" si="8"/>
        <v>0</v>
      </c>
      <c r="Y20" s="42">
        <f t="shared" si="8"/>
        <v>0</v>
      </c>
      <c r="Z20" s="42">
        <f t="shared" si="8"/>
        <v>0</v>
      </c>
      <c r="AA20" s="42">
        <f>SUM(G20:Z20)</f>
        <v>92688238.117617518</v>
      </c>
      <c r="AB20" s="37" t="str">
        <f>IF(ABS(F20-AA20)&lt;0.01,"ok","err")</f>
        <v>ok</v>
      </c>
    </row>
    <row r="21" spans="1:28">
      <c r="A21" s="39" t="s">
        <v>1239</v>
      </c>
      <c r="D21" s="39" t="s">
        <v>383</v>
      </c>
      <c r="F21" s="57">
        <f t="shared" ref="F21:Y21" si="9">SUM(F18:F20)</f>
        <v>278677886.70825255</v>
      </c>
      <c r="G21" s="57">
        <f t="shared" si="9"/>
        <v>116648894.46497145</v>
      </c>
      <c r="H21" s="57">
        <f t="shared" si="9"/>
        <v>38024387.825347856</v>
      </c>
      <c r="I21" s="57">
        <f t="shared" si="9"/>
        <v>4711353.2207477847</v>
      </c>
      <c r="J21" s="57">
        <f t="shared" si="9"/>
        <v>52303918.818569817</v>
      </c>
      <c r="K21" s="57">
        <f t="shared" si="9"/>
        <v>36135505.478088565</v>
      </c>
      <c r="L21" s="57">
        <f t="shared" si="9"/>
        <v>13122661.090323571</v>
      </c>
      <c r="M21" s="57">
        <f t="shared" si="9"/>
        <v>0</v>
      </c>
      <c r="N21" s="57">
        <f t="shared" si="9"/>
        <v>0</v>
      </c>
      <c r="O21" s="57">
        <f>SUM(O18:O20)</f>
        <v>0</v>
      </c>
      <c r="P21" s="57">
        <f t="shared" si="9"/>
        <v>10558814.738250891</v>
      </c>
      <c r="Q21" s="57">
        <f t="shared" si="9"/>
        <v>5097965.6747512389</v>
      </c>
      <c r="R21" s="57">
        <f t="shared" si="9"/>
        <v>1118424.7664587905</v>
      </c>
      <c r="S21" s="57">
        <f t="shared" si="9"/>
        <v>864811.85693526478</v>
      </c>
      <c r="T21" s="57">
        <f t="shared" si="9"/>
        <v>32676.166322154975</v>
      </c>
      <c r="U21" s="57">
        <f t="shared" si="9"/>
        <v>58472.607485121851</v>
      </c>
      <c r="V21" s="57">
        <f t="shared" si="9"/>
        <v>0</v>
      </c>
      <c r="W21" s="57">
        <f t="shared" si="9"/>
        <v>0</v>
      </c>
      <c r="X21" s="41">
        <f t="shared" si="9"/>
        <v>0</v>
      </c>
      <c r="Y21" s="41">
        <f t="shared" si="9"/>
        <v>0</v>
      </c>
      <c r="Z21" s="41">
        <f>SUM(Z18:Z20)</f>
        <v>0</v>
      </c>
      <c r="AA21" s="43">
        <f>SUM(G21:Z21)</f>
        <v>278677886.70825255</v>
      </c>
      <c r="AB21" s="37" t="str">
        <f>IF(ABS(F21-AA21)&lt;0.01,"ok","err")</f>
        <v>ok</v>
      </c>
    </row>
    <row r="22" spans="1:28">
      <c r="F22" s="58"/>
      <c r="G22" s="58"/>
    </row>
    <row r="23" spans="1:28">
      <c r="A23" s="44" t="s">
        <v>365</v>
      </c>
      <c r="F23" s="58"/>
      <c r="G23" s="58"/>
    </row>
    <row r="24" spans="1:28">
      <c r="A24" s="45" t="s">
        <v>392</v>
      </c>
      <c r="C24" s="39" t="s">
        <v>1064</v>
      </c>
      <c r="D24" s="39" t="s">
        <v>395</v>
      </c>
      <c r="E24" s="39" t="s">
        <v>1472</v>
      </c>
      <c r="F24" s="57">
        <f>VLOOKUP(C24,'Functional Assignment'!$C$2:$AP$725,'Functional Assignment'!$Q$2,)</f>
        <v>0</v>
      </c>
      <c r="G24" s="57">
        <f t="shared" ref="G24:Z24" si="10">IF(VLOOKUP($E24,$D$6:$AN$1197,3,)=0,0,(VLOOKUP($E24,$D$6:$AN$1197,G$2,)/VLOOKUP($E24,$D$6:$AN$1197,3,))*$F24)</f>
        <v>0</v>
      </c>
      <c r="H24" s="57">
        <f t="shared" si="10"/>
        <v>0</v>
      </c>
      <c r="I24" s="57">
        <f t="shared" si="10"/>
        <v>0</v>
      </c>
      <c r="J24" s="57">
        <f t="shared" si="10"/>
        <v>0</v>
      </c>
      <c r="K24" s="57">
        <f t="shared" si="10"/>
        <v>0</v>
      </c>
      <c r="L24" s="57">
        <f t="shared" si="10"/>
        <v>0</v>
      </c>
      <c r="M24" s="57">
        <f t="shared" si="10"/>
        <v>0</v>
      </c>
      <c r="N24" s="57">
        <f t="shared" si="10"/>
        <v>0</v>
      </c>
      <c r="O24" s="57">
        <f t="shared" si="10"/>
        <v>0</v>
      </c>
      <c r="P24" s="57">
        <f t="shared" si="10"/>
        <v>0</v>
      </c>
      <c r="Q24" s="57">
        <f t="shared" si="10"/>
        <v>0</v>
      </c>
      <c r="R24" s="57">
        <f t="shared" si="10"/>
        <v>0</v>
      </c>
      <c r="S24" s="57">
        <f t="shared" si="10"/>
        <v>0</v>
      </c>
      <c r="T24" s="57">
        <f t="shared" si="10"/>
        <v>0</v>
      </c>
      <c r="U24" s="57">
        <f t="shared" si="10"/>
        <v>0</v>
      </c>
      <c r="V24" s="57">
        <f t="shared" si="10"/>
        <v>0</v>
      </c>
      <c r="W24" s="57">
        <f t="shared" si="10"/>
        <v>0</v>
      </c>
      <c r="X24" s="41">
        <f t="shared" si="10"/>
        <v>0</v>
      </c>
      <c r="Y24" s="41">
        <f t="shared" si="10"/>
        <v>0</v>
      </c>
      <c r="Z24" s="41">
        <f t="shared" si="10"/>
        <v>0</v>
      </c>
      <c r="AA24" s="43">
        <f>SUM(G24:Z24)</f>
        <v>0</v>
      </c>
      <c r="AB24" s="37" t="str">
        <f>IF(ABS(F24-AA24)&lt;0.01,"ok","err")</f>
        <v>ok</v>
      </c>
    </row>
    <row r="25" spans="1:28">
      <c r="F25" s="58"/>
    </row>
    <row r="26" spans="1:28">
      <c r="A26" s="44" t="s">
        <v>366</v>
      </c>
      <c r="F26" s="58"/>
      <c r="G26" s="58"/>
    </row>
    <row r="27" spans="1:28">
      <c r="A27" s="45" t="s">
        <v>394</v>
      </c>
      <c r="C27" s="39" t="s">
        <v>1064</v>
      </c>
      <c r="D27" s="39" t="s">
        <v>396</v>
      </c>
      <c r="E27" s="39" t="s">
        <v>1471</v>
      </c>
      <c r="F27" s="57">
        <f>VLOOKUP(C27,'Functional Assignment'!$C$2:$AP$725,'Functional Assignment'!$R$2,)</f>
        <v>116508546.65190978</v>
      </c>
      <c r="G27" s="57">
        <f t="shared" ref="G27:Z27" si="11">IF(VLOOKUP($E27,$D$6:$AN$1197,3,)=0,0,(VLOOKUP($E27,$D$6:$AN$1197,G$2,)/VLOOKUP($E27,$D$6:$AN$1197,3,))*$F27)</f>
        <v>55895467.881553769</v>
      </c>
      <c r="H27" s="57">
        <f t="shared" si="11"/>
        <v>15857625.491754228</v>
      </c>
      <c r="I27" s="57">
        <f t="shared" si="11"/>
        <v>1652605.9148708992</v>
      </c>
      <c r="J27" s="57">
        <f t="shared" si="11"/>
        <v>19333979.788370464</v>
      </c>
      <c r="K27" s="57">
        <f t="shared" si="11"/>
        <v>15471765.996813793</v>
      </c>
      <c r="L27" s="57">
        <f t="shared" si="11"/>
        <v>4635514.5230404958</v>
      </c>
      <c r="M27" s="57">
        <f t="shared" si="11"/>
        <v>0</v>
      </c>
      <c r="N27" s="57">
        <f t="shared" si="11"/>
        <v>0</v>
      </c>
      <c r="O27" s="57">
        <f t="shared" si="11"/>
        <v>0</v>
      </c>
      <c r="P27" s="57">
        <f t="shared" si="11"/>
        <v>0</v>
      </c>
      <c r="Q27" s="57">
        <f t="shared" si="11"/>
        <v>2167230.407779465</v>
      </c>
      <c r="R27" s="57">
        <f t="shared" si="11"/>
        <v>489327.37042418966</v>
      </c>
      <c r="S27" s="57">
        <f t="shared" si="11"/>
        <v>956460.71756171959</v>
      </c>
      <c r="T27" s="57">
        <f t="shared" si="11"/>
        <v>34422.656869783823</v>
      </c>
      <c r="U27" s="57">
        <f t="shared" si="11"/>
        <v>14145.902870972481</v>
      </c>
      <c r="V27" s="57">
        <f t="shared" si="11"/>
        <v>0</v>
      </c>
      <c r="W27" s="57">
        <f t="shared" si="11"/>
        <v>0</v>
      </c>
      <c r="X27" s="41">
        <f t="shared" si="11"/>
        <v>0</v>
      </c>
      <c r="Y27" s="41">
        <f t="shared" si="11"/>
        <v>0</v>
      </c>
      <c r="Z27" s="41">
        <f t="shared" si="11"/>
        <v>0</v>
      </c>
      <c r="AA27" s="43">
        <f>SUM(G27:Z27)</f>
        <v>116508546.6519098</v>
      </c>
      <c r="AB27" s="37" t="str">
        <f>IF(ABS(F27-AA27)&lt;0.01,"ok","err")</f>
        <v>ok</v>
      </c>
    </row>
    <row r="28" spans="1:28">
      <c r="F28" s="58"/>
    </row>
    <row r="29" spans="1:28">
      <c r="A29" s="44" t="s">
        <v>393</v>
      </c>
      <c r="F29" s="58"/>
    </row>
    <row r="30" spans="1:28">
      <c r="A30" s="45" t="s">
        <v>644</v>
      </c>
      <c r="C30" s="39" t="s">
        <v>1064</v>
      </c>
      <c r="D30" s="39" t="s">
        <v>399</v>
      </c>
      <c r="E30" s="39" t="s">
        <v>1472</v>
      </c>
      <c r="F30" s="57">
        <f>VLOOKUP(C30,'Functional Assignment'!$C$2:$AP$725,'Functional Assignment'!$S$2,)</f>
        <v>0</v>
      </c>
      <c r="G30" s="57">
        <f t="shared" ref="G30:P34" si="12">IF(VLOOKUP($E30,$D$6:$AN$1197,3,)=0,0,(VLOOKUP($E30,$D$6:$AN$1197,G$2,)/VLOOKUP($E30,$D$6:$AN$1197,3,))*$F30)</f>
        <v>0</v>
      </c>
      <c r="H30" s="57">
        <f t="shared" si="12"/>
        <v>0</v>
      </c>
      <c r="I30" s="57">
        <f t="shared" si="12"/>
        <v>0</v>
      </c>
      <c r="J30" s="57">
        <f t="shared" si="12"/>
        <v>0</v>
      </c>
      <c r="K30" s="57">
        <f t="shared" si="12"/>
        <v>0</v>
      </c>
      <c r="L30" s="57">
        <f t="shared" si="12"/>
        <v>0</v>
      </c>
      <c r="M30" s="57">
        <f t="shared" si="12"/>
        <v>0</v>
      </c>
      <c r="N30" s="57">
        <f t="shared" si="12"/>
        <v>0</v>
      </c>
      <c r="O30" s="57">
        <f t="shared" si="12"/>
        <v>0</v>
      </c>
      <c r="P30" s="57">
        <f t="shared" si="12"/>
        <v>0</v>
      </c>
      <c r="Q30" s="57">
        <f t="shared" ref="Q30:Z34" si="13">IF(VLOOKUP($E30,$D$6:$AN$1197,3,)=0,0,(VLOOKUP($E30,$D$6:$AN$1197,Q$2,)/VLOOKUP($E30,$D$6:$AN$1197,3,))*$F30)</f>
        <v>0</v>
      </c>
      <c r="R30" s="57">
        <f t="shared" si="13"/>
        <v>0</v>
      </c>
      <c r="S30" s="57">
        <f t="shared" si="13"/>
        <v>0</v>
      </c>
      <c r="T30" s="57">
        <f t="shared" si="13"/>
        <v>0</v>
      </c>
      <c r="U30" s="57">
        <f t="shared" si="13"/>
        <v>0</v>
      </c>
      <c r="V30" s="57">
        <f t="shared" si="13"/>
        <v>0</v>
      </c>
      <c r="W30" s="57">
        <f t="shared" si="13"/>
        <v>0</v>
      </c>
      <c r="X30" s="41">
        <f t="shared" si="13"/>
        <v>0</v>
      </c>
      <c r="Y30" s="41">
        <f t="shared" si="13"/>
        <v>0</v>
      </c>
      <c r="Z30" s="41">
        <f t="shared" si="13"/>
        <v>0</v>
      </c>
      <c r="AA30" s="43">
        <f t="shared" ref="AA30:AA35" si="14">SUM(G30:Z30)</f>
        <v>0</v>
      </c>
      <c r="AB30" s="37" t="str">
        <f t="shared" ref="AB30:AB35" si="15">IF(ABS(F30-AA30)&lt;0.01,"ok","err")</f>
        <v>ok</v>
      </c>
    </row>
    <row r="31" spans="1:28">
      <c r="A31" s="45" t="s">
        <v>645</v>
      </c>
      <c r="C31" s="39" t="s">
        <v>1064</v>
      </c>
      <c r="D31" s="39" t="s">
        <v>400</v>
      </c>
      <c r="E31" s="39" t="s">
        <v>1472</v>
      </c>
      <c r="F31" s="58">
        <f>VLOOKUP(C31,'Functional Assignment'!$C$2:$AP$725,'Functional Assignment'!$T$2,)</f>
        <v>179399308.59873095</v>
      </c>
      <c r="G31" s="58">
        <f t="shared" si="12"/>
        <v>86067576.842346177</v>
      </c>
      <c r="H31" s="58">
        <f t="shared" si="12"/>
        <v>24417496.664324645</v>
      </c>
      <c r="I31" s="58">
        <f t="shared" si="12"/>
        <v>2544674.7645028047</v>
      </c>
      <c r="J31" s="58">
        <f t="shared" si="12"/>
        <v>29770370.55365796</v>
      </c>
      <c r="K31" s="58">
        <f t="shared" si="12"/>
        <v>23823352.040622614</v>
      </c>
      <c r="L31" s="58">
        <f t="shared" si="12"/>
        <v>7137743.3186718877</v>
      </c>
      <c r="M31" s="58">
        <f t="shared" si="12"/>
        <v>0</v>
      </c>
      <c r="N31" s="58">
        <f t="shared" si="12"/>
        <v>0</v>
      </c>
      <c r="O31" s="58">
        <f t="shared" si="12"/>
        <v>0</v>
      </c>
      <c r="P31" s="58">
        <f t="shared" si="12"/>
        <v>0</v>
      </c>
      <c r="Q31" s="58">
        <f t="shared" si="13"/>
        <v>3337091.1225198829</v>
      </c>
      <c r="R31" s="58">
        <f t="shared" si="13"/>
        <v>753463.96856883098</v>
      </c>
      <c r="S31" s="58">
        <f t="shared" si="13"/>
        <v>1472753.6851444019</v>
      </c>
      <c r="T31" s="58">
        <f t="shared" si="13"/>
        <v>53003.844095838685</v>
      </c>
      <c r="U31" s="58">
        <f t="shared" si="13"/>
        <v>21781.794275910896</v>
      </c>
      <c r="V31" s="58">
        <f t="shared" si="13"/>
        <v>0</v>
      </c>
      <c r="W31" s="58">
        <f t="shared" si="13"/>
        <v>0</v>
      </c>
      <c r="X31" s="42">
        <f t="shared" si="13"/>
        <v>0</v>
      </c>
      <c r="Y31" s="42">
        <f t="shared" si="13"/>
        <v>0</v>
      </c>
      <c r="Z31" s="42">
        <f t="shared" si="13"/>
        <v>0</v>
      </c>
      <c r="AA31" s="42">
        <f t="shared" si="14"/>
        <v>179399308.59873092</v>
      </c>
      <c r="AB31" s="37" t="str">
        <f t="shared" si="15"/>
        <v>ok</v>
      </c>
    </row>
    <row r="32" spans="1:28">
      <c r="A32" s="45" t="s">
        <v>646</v>
      </c>
      <c r="C32" s="39" t="s">
        <v>1064</v>
      </c>
      <c r="D32" s="39" t="s">
        <v>401</v>
      </c>
      <c r="E32" s="39" t="s">
        <v>987</v>
      </c>
      <c r="F32" s="58">
        <f>VLOOKUP(C32,'Functional Assignment'!$C$2:$AP$725,'Functional Assignment'!$U$2,)</f>
        <v>293692302.27687234</v>
      </c>
      <c r="G32" s="58">
        <f t="shared" si="12"/>
        <v>253200291.3614375</v>
      </c>
      <c r="H32" s="58">
        <f t="shared" si="12"/>
        <v>31831632.414558414</v>
      </c>
      <c r="I32" s="58">
        <f t="shared" si="12"/>
        <v>61040.67037940408</v>
      </c>
      <c r="J32" s="58">
        <f t="shared" si="12"/>
        <v>2081845.9227046168</v>
      </c>
      <c r="K32" s="58">
        <f t="shared" si="12"/>
        <v>67503.800184282154</v>
      </c>
      <c r="L32" s="58">
        <f t="shared" si="12"/>
        <v>112745.70881842871</v>
      </c>
      <c r="M32" s="58">
        <f t="shared" si="12"/>
        <v>0</v>
      </c>
      <c r="N32" s="58">
        <f t="shared" si="12"/>
        <v>0</v>
      </c>
      <c r="O32" s="58">
        <f t="shared" si="12"/>
        <v>0</v>
      </c>
      <c r="P32" s="58">
        <f t="shared" si="12"/>
        <v>0</v>
      </c>
      <c r="Q32" s="58">
        <f t="shared" si="13"/>
        <v>718.12553387534206</v>
      </c>
      <c r="R32" s="58">
        <f t="shared" si="13"/>
        <v>1436.2510677506841</v>
      </c>
      <c r="S32" s="58">
        <f t="shared" si="13"/>
        <v>6249559.2711035525</v>
      </c>
      <c r="T32" s="58">
        <f t="shared" si="13"/>
        <v>12423.571736043417</v>
      </c>
      <c r="U32" s="58">
        <f t="shared" si="13"/>
        <v>73105.179348509831</v>
      </c>
      <c r="V32" s="58">
        <f t="shared" si="13"/>
        <v>0</v>
      </c>
      <c r="W32" s="58">
        <f t="shared" si="13"/>
        <v>0</v>
      </c>
      <c r="X32" s="42">
        <f t="shared" si="13"/>
        <v>0</v>
      </c>
      <c r="Y32" s="42">
        <f t="shared" si="13"/>
        <v>0</v>
      </c>
      <c r="Z32" s="42">
        <f t="shared" si="13"/>
        <v>0</v>
      </c>
      <c r="AA32" s="42">
        <f t="shared" si="14"/>
        <v>293692302.27687246</v>
      </c>
      <c r="AB32" s="37" t="str">
        <f t="shared" si="15"/>
        <v>ok</v>
      </c>
    </row>
    <row r="33" spans="1:28">
      <c r="A33" s="45" t="s">
        <v>647</v>
      </c>
      <c r="C33" s="39" t="s">
        <v>1064</v>
      </c>
      <c r="D33" s="39" t="s">
        <v>402</v>
      </c>
      <c r="E33" s="39" t="s">
        <v>711</v>
      </c>
      <c r="F33" s="58">
        <f>VLOOKUP(C33,'Functional Assignment'!$C$2:$AP$725,'Functional Assignment'!$V$2,)</f>
        <v>59799769.532910295</v>
      </c>
      <c r="G33" s="58">
        <f t="shared" si="12"/>
        <v>41387448.732444942</v>
      </c>
      <c r="H33" s="58">
        <f t="shared" si="12"/>
        <v>7977654.3543153284</v>
      </c>
      <c r="I33" s="58">
        <f t="shared" si="12"/>
        <v>0</v>
      </c>
      <c r="J33" s="58">
        <f t="shared" si="12"/>
        <v>7953339.1882277904</v>
      </c>
      <c r="K33" s="58">
        <f t="shared" si="12"/>
        <v>0</v>
      </c>
      <c r="L33" s="58">
        <f t="shared" si="12"/>
        <v>2134141.0512349769</v>
      </c>
      <c r="M33" s="58">
        <f t="shared" si="12"/>
        <v>0</v>
      </c>
      <c r="N33" s="58">
        <f t="shared" si="12"/>
        <v>0</v>
      </c>
      <c r="O33" s="58">
        <f t="shared" si="12"/>
        <v>0</v>
      </c>
      <c r="P33" s="58">
        <f t="shared" si="12"/>
        <v>0</v>
      </c>
      <c r="Q33" s="58">
        <f t="shared" si="13"/>
        <v>0</v>
      </c>
      <c r="R33" s="58">
        <f t="shared" si="13"/>
        <v>0</v>
      </c>
      <c r="S33" s="58">
        <f t="shared" si="13"/>
        <v>330043.46276962495</v>
      </c>
      <c r="T33" s="58">
        <f t="shared" si="13"/>
        <v>12261.453257384772</v>
      </c>
      <c r="U33" s="58">
        <f t="shared" si="13"/>
        <v>4881.2906602588891</v>
      </c>
      <c r="V33" s="58">
        <f t="shared" si="13"/>
        <v>0</v>
      </c>
      <c r="W33" s="58">
        <f t="shared" si="13"/>
        <v>0</v>
      </c>
      <c r="X33" s="42">
        <f t="shared" si="13"/>
        <v>0</v>
      </c>
      <c r="Y33" s="42">
        <f t="shared" si="13"/>
        <v>0</v>
      </c>
      <c r="Z33" s="42">
        <f t="shared" si="13"/>
        <v>0</v>
      </c>
      <c r="AA33" s="42">
        <f t="shared" si="14"/>
        <v>59799769.532910302</v>
      </c>
      <c r="AB33" s="37" t="str">
        <f t="shared" si="15"/>
        <v>ok</v>
      </c>
    </row>
    <row r="34" spans="1:28">
      <c r="A34" s="45" t="s">
        <v>648</v>
      </c>
      <c r="C34" s="39" t="s">
        <v>1064</v>
      </c>
      <c r="D34" s="39" t="s">
        <v>403</v>
      </c>
      <c r="E34" s="39" t="s">
        <v>986</v>
      </c>
      <c r="F34" s="58">
        <f>VLOOKUP(C34,'Functional Assignment'!$C$2:$AP$725,'Functional Assignment'!$W$2,)</f>
        <v>97897434.092290774</v>
      </c>
      <c r="G34" s="58">
        <f t="shared" si="12"/>
        <v>84437673.544866443</v>
      </c>
      <c r="H34" s="58">
        <f t="shared" si="12"/>
        <v>10615268.141156742</v>
      </c>
      <c r="I34" s="58">
        <f t="shared" si="12"/>
        <v>0</v>
      </c>
      <c r="J34" s="58">
        <f t="shared" si="12"/>
        <v>694257.59917911375</v>
      </c>
      <c r="K34" s="58">
        <f t="shared" si="12"/>
        <v>0</v>
      </c>
      <c r="L34" s="58">
        <f t="shared" si="12"/>
        <v>37598.635071100674</v>
      </c>
      <c r="M34" s="58">
        <f t="shared" si="12"/>
        <v>0</v>
      </c>
      <c r="N34" s="58">
        <f t="shared" si="12"/>
        <v>0</v>
      </c>
      <c r="O34" s="58">
        <f t="shared" si="12"/>
        <v>0</v>
      </c>
      <c r="P34" s="58">
        <f t="shared" si="12"/>
        <v>0</v>
      </c>
      <c r="Q34" s="58">
        <f t="shared" si="13"/>
        <v>0</v>
      </c>
      <c r="R34" s="58">
        <f t="shared" si="13"/>
        <v>0</v>
      </c>
      <c r="S34" s="58">
        <f t="shared" si="13"/>
        <v>2084113.8953487945</v>
      </c>
      <c r="T34" s="58">
        <f t="shared" si="13"/>
        <v>4143.0343103824307</v>
      </c>
      <c r="U34" s="58">
        <f t="shared" si="13"/>
        <v>24379.242358204134</v>
      </c>
      <c r="V34" s="58">
        <f t="shared" si="13"/>
        <v>0</v>
      </c>
      <c r="W34" s="58">
        <f t="shared" si="13"/>
        <v>0</v>
      </c>
      <c r="X34" s="42">
        <f t="shared" si="13"/>
        <v>0</v>
      </c>
      <c r="Y34" s="42">
        <f t="shared" si="13"/>
        <v>0</v>
      </c>
      <c r="Z34" s="42">
        <f t="shared" si="13"/>
        <v>0</v>
      </c>
      <c r="AA34" s="42">
        <f t="shared" si="14"/>
        <v>97897434.092290789</v>
      </c>
      <c r="AB34" s="37" t="str">
        <f t="shared" si="15"/>
        <v>ok</v>
      </c>
    </row>
    <row r="35" spans="1:28">
      <c r="A35" s="39" t="s">
        <v>398</v>
      </c>
      <c r="D35" s="39" t="s">
        <v>404</v>
      </c>
      <c r="F35" s="57">
        <f>SUM(F30:F34)</f>
        <v>630788814.50080442</v>
      </c>
      <c r="G35" s="57">
        <f t="shared" ref="G35:Z35" si="16">SUM(G30:G34)</f>
        <v>465092990.48109508</v>
      </c>
      <c r="H35" s="57">
        <f t="shared" si="16"/>
        <v>74842051.574355125</v>
      </c>
      <c r="I35" s="57">
        <f t="shared" si="16"/>
        <v>2605715.4348822087</v>
      </c>
      <c r="J35" s="57">
        <f t="shared" si="16"/>
        <v>40499813.263769478</v>
      </c>
      <c r="K35" s="57">
        <f t="shared" si="16"/>
        <v>23890855.840806898</v>
      </c>
      <c r="L35" s="57">
        <f t="shared" si="16"/>
        <v>9422228.7137963939</v>
      </c>
      <c r="M35" s="57">
        <f t="shared" si="16"/>
        <v>0</v>
      </c>
      <c r="N35" s="57">
        <f t="shared" si="16"/>
        <v>0</v>
      </c>
      <c r="O35" s="57">
        <f>SUM(O30:O34)</f>
        <v>0</v>
      </c>
      <c r="P35" s="57">
        <f t="shared" si="16"/>
        <v>0</v>
      </c>
      <c r="Q35" s="57">
        <f t="shared" si="16"/>
        <v>3337809.2480537584</v>
      </c>
      <c r="R35" s="57">
        <f t="shared" si="16"/>
        <v>754900.21963658172</v>
      </c>
      <c r="S35" s="57">
        <f t="shared" si="16"/>
        <v>10136470.314366374</v>
      </c>
      <c r="T35" s="57">
        <f t="shared" si="16"/>
        <v>81831.903399649294</v>
      </c>
      <c r="U35" s="57">
        <f t="shared" si="16"/>
        <v>124147.50664288376</v>
      </c>
      <c r="V35" s="57">
        <f t="shared" si="16"/>
        <v>0</v>
      </c>
      <c r="W35" s="57">
        <f t="shared" si="16"/>
        <v>0</v>
      </c>
      <c r="X35" s="41">
        <f t="shared" si="16"/>
        <v>0</v>
      </c>
      <c r="Y35" s="41">
        <f t="shared" si="16"/>
        <v>0</v>
      </c>
      <c r="Z35" s="41">
        <f t="shared" si="16"/>
        <v>0</v>
      </c>
      <c r="AA35" s="43">
        <f t="shared" si="14"/>
        <v>630788814.50080442</v>
      </c>
      <c r="AB35" s="37" t="str">
        <f t="shared" si="15"/>
        <v>ok</v>
      </c>
    </row>
    <row r="36" spans="1:28">
      <c r="F36" s="58"/>
    </row>
    <row r="37" spans="1:28">
      <c r="A37" s="44" t="s">
        <v>666</v>
      </c>
      <c r="F37" s="58"/>
    </row>
    <row r="38" spans="1:28">
      <c r="A38" s="45" t="s">
        <v>1196</v>
      </c>
      <c r="C38" s="39" t="s">
        <v>1064</v>
      </c>
      <c r="D38" s="39" t="s">
        <v>405</v>
      </c>
      <c r="E38" s="39" t="s">
        <v>711</v>
      </c>
      <c r="F38" s="57">
        <f>VLOOKUP(C38,'Functional Assignment'!$C$2:$AP$725,'Functional Assignment'!$X$2,)</f>
        <v>83758764.473709866</v>
      </c>
      <c r="G38" s="57">
        <f t="shared" ref="G38:P39" si="17">IF(VLOOKUP($E38,$D$6:$AN$1197,3,)=0,0,(VLOOKUP($E38,$D$6:$AN$1197,G$2,)/VLOOKUP($E38,$D$6:$AN$1197,3,))*$F38)</f>
        <v>57969480.44491718</v>
      </c>
      <c r="H38" s="57">
        <f t="shared" si="17"/>
        <v>11173930.55750869</v>
      </c>
      <c r="I38" s="57">
        <f t="shared" si="17"/>
        <v>0</v>
      </c>
      <c r="J38" s="57">
        <f t="shared" si="17"/>
        <v>11139873.431781067</v>
      </c>
      <c r="K38" s="57">
        <f t="shared" si="17"/>
        <v>0</v>
      </c>
      <c r="L38" s="57">
        <f t="shared" si="17"/>
        <v>2989192.4176344993</v>
      </c>
      <c r="M38" s="57">
        <f t="shared" si="17"/>
        <v>0</v>
      </c>
      <c r="N38" s="57">
        <f t="shared" si="17"/>
        <v>0</v>
      </c>
      <c r="O38" s="57">
        <f t="shared" si="17"/>
        <v>0</v>
      </c>
      <c r="P38" s="57">
        <f t="shared" si="17"/>
        <v>0</v>
      </c>
      <c r="Q38" s="57">
        <f t="shared" ref="Q38:Z39" si="18">IF(VLOOKUP($E38,$D$6:$AN$1197,3,)=0,0,(VLOOKUP($E38,$D$6:$AN$1197,Q$2,)/VLOOKUP($E38,$D$6:$AN$1197,3,))*$F38)</f>
        <v>0</v>
      </c>
      <c r="R38" s="57">
        <f t="shared" si="18"/>
        <v>0</v>
      </c>
      <c r="S38" s="57">
        <f t="shared" si="18"/>
        <v>462276.57531347155</v>
      </c>
      <c r="T38" s="57">
        <f t="shared" si="18"/>
        <v>17174.049055916359</v>
      </c>
      <c r="U38" s="57">
        <f t="shared" si="18"/>
        <v>6836.9974990511691</v>
      </c>
      <c r="V38" s="57">
        <f t="shared" si="18"/>
        <v>0</v>
      </c>
      <c r="W38" s="57">
        <f t="shared" si="18"/>
        <v>0</v>
      </c>
      <c r="X38" s="41">
        <f t="shared" si="18"/>
        <v>0</v>
      </c>
      <c r="Y38" s="41">
        <f t="shared" si="18"/>
        <v>0</v>
      </c>
      <c r="Z38" s="41">
        <f t="shared" si="18"/>
        <v>0</v>
      </c>
      <c r="AA38" s="43">
        <f>SUM(G38:Z38)</f>
        <v>83758764.473709881</v>
      </c>
      <c r="AB38" s="37" t="str">
        <f>IF(ABS(F38-AA38)&lt;0.01,"ok","err")</f>
        <v>ok</v>
      </c>
    </row>
    <row r="39" spans="1:28">
      <c r="A39" s="45" t="s">
        <v>1199</v>
      </c>
      <c r="C39" s="39" t="s">
        <v>1064</v>
      </c>
      <c r="D39" s="39" t="s">
        <v>406</v>
      </c>
      <c r="E39" s="39" t="s">
        <v>986</v>
      </c>
      <c r="F39" s="58">
        <f>VLOOKUP(C39,'Functional Assignment'!$C$2:$AP$725,'Functional Assignment'!$Y$2,)</f>
        <v>66616037.094889522</v>
      </c>
      <c r="G39" s="58">
        <f t="shared" si="17"/>
        <v>57457105.441274732</v>
      </c>
      <c r="H39" s="58">
        <f t="shared" si="17"/>
        <v>7223346.5853338735</v>
      </c>
      <c r="I39" s="58">
        <f t="shared" si="17"/>
        <v>0</v>
      </c>
      <c r="J39" s="58">
        <f t="shared" si="17"/>
        <v>472419.83826383838</v>
      </c>
      <c r="K39" s="58">
        <f t="shared" si="17"/>
        <v>0</v>
      </c>
      <c r="L39" s="58">
        <f t="shared" si="17"/>
        <v>25584.654918048509</v>
      </c>
      <c r="M39" s="58">
        <f t="shared" si="17"/>
        <v>0</v>
      </c>
      <c r="N39" s="58">
        <f t="shared" si="17"/>
        <v>0</v>
      </c>
      <c r="O39" s="58">
        <f t="shared" si="17"/>
        <v>0</v>
      </c>
      <c r="P39" s="58">
        <f t="shared" si="17"/>
        <v>0</v>
      </c>
      <c r="Q39" s="58">
        <f t="shared" si="18"/>
        <v>0</v>
      </c>
      <c r="R39" s="58">
        <f t="shared" si="18"/>
        <v>0</v>
      </c>
      <c r="S39" s="58">
        <f t="shared" si="18"/>
        <v>1418172.0884701207</v>
      </c>
      <c r="T39" s="58">
        <f t="shared" si="18"/>
        <v>2819.2008285492943</v>
      </c>
      <c r="U39" s="58">
        <f t="shared" si="18"/>
        <v>16589.285800365211</v>
      </c>
      <c r="V39" s="58">
        <f t="shared" si="18"/>
        <v>0</v>
      </c>
      <c r="W39" s="58">
        <f t="shared" si="18"/>
        <v>0</v>
      </c>
      <c r="X39" s="42">
        <f t="shared" si="18"/>
        <v>0</v>
      </c>
      <c r="Y39" s="42">
        <f t="shared" si="18"/>
        <v>0</v>
      </c>
      <c r="Z39" s="42">
        <f t="shared" si="18"/>
        <v>0</v>
      </c>
      <c r="AA39" s="42">
        <f>SUM(G39:Z39)</f>
        <v>66616037.094889536</v>
      </c>
      <c r="AB39" s="37" t="str">
        <f>IF(ABS(F39-AA39)&lt;0.01,"ok","err")</f>
        <v>ok</v>
      </c>
    </row>
    <row r="40" spans="1:28">
      <c r="A40" s="39" t="s">
        <v>773</v>
      </c>
      <c r="D40" s="39" t="s">
        <v>409</v>
      </c>
      <c r="F40" s="57">
        <f t="shared" ref="F40:Q40" si="19">F38+F39</f>
        <v>150374801.5685994</v>
      </c>
      <c r="G40" s="57">
        <f t="shared" si="19"/>
        <v>115426585.8861919</v>
      </c>
      <c r="H40" s="57">
        <f t="shared" si="19"/>
        <v>18397277.142842565</v>
      </c>
      <c r="I40" s="57">
        <f t="shared" si="19"/>
        <v>0</v>
      </c>
      <c r="J40" s="57">
        <f t="shared" si="19"/>
        <v>11612293.270044904</v>
      </c>
      <c r="K40" s="57">
        <f t="shared" si="19"/>
        <v>0</v>
      </c>
      <c r="L40" s="57">
        <f t="shared" si="19"/>
        <v>3014777.0725525478</v>
      </c>
      <c r="M40" s="57">
        <f t="shared" si="19"/>
        <v>0</v>
      </c>
      <c r="N40" s="57">
        <f t="shared" si="19"/>
        <v>0</v>
      </c>
      <c r="O40" s="57">
        <f>O38+O39</f>
        <v>0</v>
      </c>
      <c r="P40" s="57">
        <f t="shared" si="19"/>
        <v>0</v>
      </c>
      <c r="Q40" s="57">
        <f t="shared" si="19"/>
        <v>0</v>
      </c>
      <c r="R40" s="57">
        <f t="shared" ref="R40:Z40" si="20">R38+R39</f>
        <v>0</v>
      </c>
      <c r="S40" s="57">
        <f t="shared" si="20"/>
        <v>1880448.6637835922</v>
      </c>
      <c r="T40" s="57">
        <f t="shared" si="20"/>
        <v>19993.249884465655</v>
      </c>
      <c r="U40" s="57">
        <f t="shared" si="20"/>
        <v>23426.28329941638</v>
      </c>
      <c r="V40" s="57">
        <f t="shared" si="20"/>
        <v>0</v>
      </c>
      <c r="W40" s="57">
        <f t="shared" si="20"/>
        <v>0</v>
      </c>
      <c r="X40" s="41">
        <f t="shared" si="20"/>
        <v>0</v>
      </c>
      <c r="Y40" s="41">
        <f t="shared" si="20"/>
        <v>0</v>
      </c>
      <c r="Z40" s="41">
        <f t="shared" si="20"/>
        <v>0</v>
      </c>
      <c r="AA40" s="43">
        <f>SUM(G40:Z40)</f>
        <v>150374801.56859937</v>
      </c>
      <c r="AB40" s="37" t="str">
        <f>IF(ABS(F40-AA40)&lt;0.01,"ok","err")</f>
        <v>ok</v>
      </c>
    </row>
    <row r="41" spans="1:28">
      <c r="F41" s="58"/>
    </row>
    <row r="42" spans="1:28">
      <c r="A42" s="44" t="s">
        <v>371</v>
      </c>
      <c r="F42" s="58"/>
    </row>
    <row r="43" spans="1:28">
      <c r="A43" s="45" t="s">
        <v>1199</v>
      </c>
      <c r="C43" s="39" t="s">
        <v>1064</v>
      </c>
      <c r="D43" s="39" t="s">
        <v>397</v>
      </c>
      <c r="E43" s="39" t="s">
        <v>1201</v>
      </c>
      <c r="F43" s="57">
        <f>VLOOKUP(C43,'Functional Assignment'!$C$2:$AP$725,'Functional Assignment'!$Z$2,)</f>
        <v>30500847.793230962</v>
      </c>
      <c r="G43" s="57">
        <f t="shared" ref="G43:Z43" si="21">IF(VLOOKUP($E43,$D$6:$AN$1197,3,)=0,0,(VLOOKUP($E43,$D$6:$AN$1197,G$2,)/VLOOKUP($E43,$D$6:$AN$1197,3,))*$F43)</f>
        <v>25230129.588512283</v>
      </c>
      <c r="H43" s="57">
        <f t="shared" si="21"/>
        <v>4213678.138891479</v>
      </c>
      <c r="I43" s="57">
        <f t="shared" si="21"/>
        <v>0</v>
      </c>
      <c r="J43" s="57">
        <f t="shared" si="21"/>
        <v>900136.58454325981</v>
      </c>
      <c r="K43" s="57">
        <f t="shared" si="21"/>
        <v>0</v>
      </c>
      <c r="L43" s="57">
        <f t="shared" si="21"/>
        <v>71678.40267900849</v>
      </c>
      <c r="M43" s="57">
        <f t="shared" si="21"/>
        <v>0</v>
      </c>
      <c r="N43" s="57">
        <f t="shared" si="21"/>
        <v>0</v>
      </c>
      <c r="O43" s="57">
        <f t="shared" si="21"/>
        <v>0</v>
      </c>
      <c r="P43" s="57">
        <f t="shared" si="21"/>
        <v>0</v>
      </c>
      <c r="Q43" s="57">
        <f t="shared" si="21"/>
        <v>0</v>
      </c>
      <c r="R43" s="57">
        <f t="shared" si="21"/>
        <v>0</v>
      </c>
      <c r="S43" s="57">
        <f t="shared" si="21"/>
        <v>0</v>
      </c>
      <c r="T43" s="57">
        <f t="shared" si="21"/>
        <v>12379.461459825645</v>
      </c>
      <c r="U43" s="57">
        <f t="shared" si="21"/>
        <v>72845.617145101191</v>
      </c>
      <c r="V43" s="57">
        <f t="shared" si="21"/>
        <v>0</v>
      </c>
      <c r="W43" s="57">
        <f t="shared" si="21"/>
        <v>0</v>
      </c>
      <c r="X43" s="41">
        <f t="shared" si="21"/>
        <v>0</v>
      </c>
      <c r="Y43" s="41">
        <f t="shared" si="21"/>
        <v>0</v>
      </c>
      <c r="Z43" s="41">
        <f t="shared" si="21"/>
        <v>0</v>
      </c>
      <c r="AA43" s="43">
        <f>SUM(G43:Z43)</f>
        <v>30500847.793230955</v>
      </c>
      <c r="AB43" s="37" t="str">
        <f>IF(ABS(F43-AA43)&lt;0.01,"ok","err")</f>
        <v>ok</v>
      </c>
    </row>
    <row r="44" spans="1:28">
      <c r="F44" s="58"/>
    </row>
    <row r="45" spans="1:28">
      <c r="A45" s="44" t="s">
        <v>370</v>
      </c>
      <c r="F45" s="58"/>
    </row>
    <row r="46" spans="1:28">
      <c r="A46" s="45" t="s">
        <v>1199</v>
      </c>
      <c r="C46" s="39" t="s">
        <v>1064</v>
      </c>
      <c r="D46" s="39" t="s">
        <v>408</v>
      </c>
      <c r="E46" s="39" t="s">
        <v>1202</v>
      </c>
      <c r="F46" s="57">
        <f>VLOOKUP(C46,'Functional Assignment'!$C$2:$AP$725,'Functional Assignment'!$AA$2,)</f>
        <v>41100999.583080642</v>
      </c>
      <c r="G46" s="57">
        <f t="shared" ref="G46:Z46" si="22">IF(VLOOKUP($E46,$D$6:$AN$1197,3,)=0,0,(VLOOKUP($E46,$D$6:$AN$1197,G$2,)/VLOOKUP($E46,$D$6:$AN$1197,3,))*$F46)</f>
        <v>28766192.219670698</v>
      </c>
      <c r="H46" s="57">
        <f t="shared" si="22"/>
        <v>8542957.6361294091</v>
      </c>
      <c r="I46" s="57">
        <f t="shared" si="22"/>
        <v>389815.19257684262</v>
      </c>
      <c r="J46" s="57">
        <f t="shared" si="22"/>
        <v>2238285.1338453251</v>
      </c>
      <c r="K46" s="57">
        <f t="shared" si="22"/>
        <v>438674.63214000943</v>
      </c>
      <c r="L46" s="57">
        <f t="shared" si="22"/>
        <v>134475.3413908628</v>
      </c>
      <c r="M46" s="57">
        <f t="shared" si="22"/>
        <v>0</v>
      </c>
      <c r="N46" s="57">
        <f t="shared" si="22"/>
        <v>0</v>
      </c>
      <c r="O46" s="57">
        <f t="shared" si="22"/>
        <v>0</v>
      </c>
      <c r="P46" s="57">
        <f t="shared" si="22"/>
        <v>387694.88323119987</v>
      </c>
      <c r="Q46" s="57">
        <f t="shared" si="22"/>
        <v>35244.989384654531</v>
      </c>
      <c r="R46" s="57">
        <f t="shared" si="22"/>
        <v>70489.978769309062</v>
      </c>
      <c r="S46" s="57">
        <f t="shared" si="22"/>
        <v>0</v>
      </c>
      <c r="T46" s="57">
        <f t="shared" si="22"/>
        <v>14114.472408080408</v>
      </c>
      <c r="U46" s="57">
        <f t="shared" si="22"/>
        <v>83055.103534253503</v>
      </c>
      <c r="V46" s="57">
        <f t="shared" si="22"/>
        <v>0</v>
      </c>
      <c r="W46" s="57">
        <f t="shared" si="22"/>
        <v>0</v>
      </c>
      <c r="X46" s="41">
        <f t="shared" si="22"/>
        <v>0</v>
      </c>
      <c r="Y46" s="41">
        <f t="shared" si="22"/>
        <v>0</v>
      </c>
      <c r="Z46" s="41">
        <f t="shared" si="22"/>
        <v>0</v>
      </c>
      <c r="AA46" s="43">
        <f>SUM(G46:Z46)</f>
        <v>41100999.583080634</v>
      </c>
      <c r="AB46" s="37" t="str">
        <f>IF(ABS(F46-AA46)&lt;0.01,"ok","err")</f>
        <v>ok</v>
      </c>
    </row>
    <row r="47" spans="1:28">
      <c r="F47" s="58"/>
    </row>
    <row r="48" spans="1:28">
      <c r="A48" s="44" t="s">
        <v>391</v>
      </c>
      <c r="F48" s="58"/>
    </row>
    <row r="49" spans="1:28">
      <c r="A49" s="45" t="s">
        <v>1199</v>
      </c>
      <c r="C49" s="39" t="s">
        <v>1064</v>
      </c>
      <c r="D49" s="39" t="s">
        <v>410</v>
      </c>
      <c r="E49" s="39" t="s">
        <v>983</v>
      </c>
      <c r="F49" s="57">
        <f>VLOOKUP(C49,'Functional Assignment'!$C$2:$AP$725,'Functional Assignment'!$AB$2,)</f>
        <v>90401685.269810036</v>
      </c>
      <c r="G49" s="57">
        <f t="shared" ref="G49:Z49" si="23">IF(VLOOKUP($E49,$D$6:$AN$1197,3,)=0,0,(VLOOKUP($E49,$D$6:$AN$1197,G$2,)/VLOOKUP($E49,$D$6:$AN$1197,3,))*$F49)</f>
        <v>0</v>
      </c>
      <c r="H49" s="57">
        <f t="shared" si="23"/>
        <v>0</v>
      </c>
      <c r="I49" s="57">
        <f t="shared" si="23"/>
        <v>0</v>
      </c>
      <c r="J49" s="57">
        <f t="shared" si="23"/>
        <v>0</v>
      </c>
      <c r="K49" s="57">
        <f t="shared" si="23"/>
        <v>0</v>
      </c>
      <c r="L49" s="57">
        <f t="shared" si="23"/>
        <v>0</v>
      </c>
      <c r="M49" s="57">
        <f t="shared" si="23"/>
        <v>0</v>
      </c>
      <c r="N49" s="57">
        <f t="shared" si="23"/>
        <v>0</v>
      </c>
      <c r="O49" s="57">
        <f t="shared" si="23"/>
        <v>0</v>
      </c>
      <c r="P49" s="57">
        <f t="shared" si="23"/>
        <v>0</v>
      </c>
      <c r="Q49" s="57">
        <f t="shared" si="23"/>
        <v>0</v>
      </c>
      <c r="R49" s="57">
        <f t="shared" si="23"/>
        <v>0</v>
      </c>
      <c r="S49" s="57">
        <f t="shared" si="23"/>
        <v>90401685.269810036</v>
      </c>
      <c r="T49" s="57">
        <f t="shared" si="23"/>
        <v>0</v>
      </c>
      <c r="U49" s="57">
        <f t="shared" si="23"/>
        <v>0</v>
      </c>
      <c r="V49" s="57">
        <f t="shared" si="23"/>
        <v>0</v>
      </c>
      <c r="W49" s="57">
        <f t="shared" si="23"/>
        <v>0</v>
      </c>
      <c r="X49" s="41">
        <f t="shared" si="23"/>
        <v>0</v>
      </c>
      <c r="Y49" s="41">
        <f t="shared" si="23"/>
        <v>0</v>
      </c>
      <c r="Z49" s="41">
        <f t="shared" si="23"/>
        <v>0</v>
      </c>
      <c r="AA49" s="43">
        <f>SUM(G49:Z49)</f>
        <v>90401685.269810036</v>
      </c>
      <c r="AB49" s="37" t="str">
        <f>IF(ABS(F49-AA49)&lt;0.01,"ok","err")</f>
        <v>ok</v>
      </c>
    </row>
    <row r="50" spans="1:28">
      <c r="F50" s="58"/>
    </row>
    <row r="51" spans="1:28">
      <c r="A51" s="44" t="s">
        <v>1129</v>
      </c>
      <c r="F51" s="58"/>
    </row>
    <row r="52" spans="1:28">
      <c r="A52" s="45" t="s">
        <v>1199</v>
      </c>
      <c r="C52" s="39" t="s">
        <v>1064</v>
      </c>
      <c r="D52" s="39" t="s">
        <v>411</v>
      </c>
      <c r="E52" s="39" t="s">
        <v>982</v>
      </c>
      <c r="F52" s="57">
        <f>VLOOKUP(C52,'Functional Assignment'!$C$2:$AP$725,'Functional Assignment'!$AC$2,)</f>
        <v>0</v>
      </c>
      <c r="G52" s="57">
        <f t="shared" ref="G52:Z52" si="24">IF(VLOOKUP($E52,$D$6:$AN$1197,3,)=0,0,(VLOOKUP($E52,$D$6:$AN$1197,G$2,)/VLOOKUP($E52,$D$6:$AN$1197,3,))*$F52)</f>
        <v>0</v>
      </c>
      <c r="H52" s="57">
        <f t="shared" si="24"/>
        <v>0</v>
      </c>
      <c r="I52" s="57">
        <f t="shared" si="24"/>
        <v>0</v>
      </c>
      <c r="J52" s="57">
        <f t="shared" si="24"/>
        <v>0</v>
      </c>
      <c r="K52" s="57">
        <f t="shared" si="24"/>
        <v>0</v>
      </c>
      <c r="L52" s="57">
        <f t="shared" si="24"/>
        <v>0</v>
      </c>
      <c r="M52" s="57">
        <f t="shared" si="24"/>
        <v>0</v>
      </c>
      <c r="N52" s="57">
        <f t="shared" si="24"/>
        <v>0</v>
      </c>
      <c r="O52" s="57">
        <f t="shared" si="24"/>
        <v>0</v>
      </c>
      <c r="P52" s="57">
        <f t="shared" si="24"/>
        <v>0</v>
      </c>
      <c r="Q52" s="57">
        <f t="shared" si="24"/>
        <v>0</v>
      </c>
      <c r="R52" s="57">
        <f t="shared" si="24"/>
        <v>0</v>
      </c>
      <c r="S52" s="57">
        <f t="shared" si="24"/>
        <v>0</v>
      </c>
      <c r="T52" s="57">
        <f t="shared" si="24"/>
        <v>0</v>
      </c>
      <c r="U52" s="57">
        <f t="shared" si="24"/>
        <v>0</v>
      </c>
      <c r="V52" s="57">
        <f t="shared" si="24"/>
        <v>0</v>
      </c>
      <c r="W52" s="57">
        <f t="shared" si="24"/>
        <v>0</v>
      </c>
      <c r="X52" s="41">
        <f t="shared" si="24"/>
        <v>0</v>
      </c>
      <c r="Y52" s="41">
        <f t="shared" si="24"/>
        <v>0</v>
      </c>
      <c r="Z52" s="41">
        <f t="shared" si="24"/>
        <v>0</v>
      </c>
      <c r="AA52" s="43">
        <f>SUM(G52:Z52)</f>
        <v>0</v>
      </c>
      <c r="AB52" s="37" t="str">
        <f>IF(ABS(F52-AA52)&lt;0.01,"ok","err")</f>
        <v>ok</v>
      </c>
    </row>
    <row r="53" spans="1:28">
      <c r="F53" s="58"/>
    </row>
    <row r="54" spans="1:28">
      <c r="A54" s="44" t="s">
        <v>368</v>
      </c>
      <c r="F54" s="58"/>
    </row>
    <row r="55" spans="1:28">
      <c r="A55" s="45" t="s">
        <v>1199</v>
      </c>
      <c r="C55" s="39" t="s">
        <v>1064</v>
      </c>
      <c r="D55" s="39" t="s">
        <v>412</v>
      </c>
      <c r="E55" s="39" t="s">
        <v>985</v>
      </c>
      <c r="F55" s="57">
        <f>VLOOKUP(C55,'Functional Assignment'!$C$2:$AP$725,'Functional Assignment'!$AD$2,)</f>
        <v>0</v>
      </c>
      <c r="G55" s="57">
        <f t="shared" ref="G55:Z55" si="25">IF(VLOOKUP($E55,$D$6:$AN$1197,3,)=0,0,(VLOOKUP($E55,$D$6:$AN$1197,G$2,)/VLOOKUP($E55,$D$6:$AN$1197,3,))*$F55)</f>
        <v>0</v>
      </c>
      <c r="H55" s="57">
        <f t="shared" si="25"/>
        <v>0</v>
      </c>
      <c r="I55" s="57">
        <f t="shared" si="25"/>
        <v>0</v>
      </c>
      <c r="J55" s="57">
        <f t="shared" si="25"/>
        <v>0</v>
      </c>
      <c r="K55" s="57">
        <f t="shared" si="25"/>
        <v>0</v>
      </c>
      <c r="L55" s="57">
        <f t="shared" si="25"/>
        <v>0</v>
      </c>
      <c r="M55" s="57">
        <f t="shared" si="25"/>
        <v>0</v>
      </c>
      <c r="N55" s="57">
        <f t="shared" si="25"/>
        <v>0</v>
      </c>
      <c r="O55" s="57">
        <f t="shared" si="25"/>
        <v>0</v>
      </c>
      <c r="P55" s="57">
        <f t="shared" si="25"/>
        <v>0</v>
      </c>
      <c r="Q55" s="57">
        <f t="shared" si="25"/>
        <v>0</v>
      </c>
      <c r="R55" s="57">
        <f t="shared" si="25"/>
        <v>0</v>
      </c>
      <c r="S55" s="57">
        <f t="shared" si="25"/>
        <v>0</v>
      </c>
      <c r="T55" s="57">
        <f t="shared" si="25"/>
        <v>0</v>
      </c>
      <c r="U55" s="57">
        <f t="shared" si="25"/>
        <v>0</v>
      </c>
      <c r="V55" s="57">
        <f t="shared" si="25"/>
        <v>0</v>
      </c>
      <c r="W55" s="57">
        <f t="shared" si="25"/>
        <v>0</v>
      </c>
      <c r="X55" s="41">
        <f t="shared" si="25"/>
        <v>0</v>
      </c>
      <c r="Y55" s="41">
        <f t="shared" si="25"/>
        <v>0</v>
      </c>
      <c r="Z55" s="41">
        <f t="shared" si="25"/>
        <v>0</v>
      </c>
      <c r="AA55" s="43">
        <f>SUM(G55:Z55)</f>
        <v>0</v>
      </c>
      <c r="AB55" s="37" t="str">
        <f>IF(ABS(F55-AA55)&lt;0.01,"ok","err")</f>
        <v>ok</v>
      </c>
    </row>
    <row r="56" spans="1:28">
      <c r="F56" s="58"/>
    </row>
    <row r="57" spans="1:28">
      <c r="A57" s="44" t="s">
        <v>367</v>
      </c>
      <c r="F57" s="58"/>
    </row>
    <row r="58" spans="1:28">
      <c r="A58" s="45" t="s">
        <v>1199</v>
      </c>
      <c r="C58" s="39" t="s">
        <v>1064</v>
      </c>
      <c r="D58" s="39" t="s">
        <v>413</v>
      </c>
      <c r="E58" s="39" t="s">
        <v>985</v>
      </c>
      <c r="F58" s="57">
        <f>VLOOKUP(C58,'Functional Assignment'!$C$2:$AP$725,'Functional Assignment'!$AE$2,)</f>
        <v>0</v>
      </c>
      <c r="G58" s="57">
        <f t="shared" ref="G58:Z58" si="26">IF(VLOOKUP($E58,$D$6:$AN$1197,3,)=0,0,(VLOOKUP($E58,$D$6:$AN$1197,G$2,)/VLOOKUP($E58,$D$6:$AN$1197,3,))*$F58)</f>
        <v>0</v>
      </c>
      <c r="H58" s="57">
        <f t="shared" si="26"/>
        <v>0</v>
      </c>
      <c r="I58" s="57">
        <f t="shared" si="26"/>
        <v>0</v>
      </c>
      <c r="J58" s="57">
        <f t="shared" si="26"/>
        <v>0</v>
      </c>
      <c r="K58" s="57">
        <f t="shared" si="26"/>
        <v>0</v>
      </c>
      <c r="L58" s="57">
        <f t="shared" si="26"/>
        <v>0</v>
      </c>
      <c r="M58" s="57">
        <f t="shared" si="26"/>
        <v>0</v>
      </c>
      <c r="N58" s="57">
        <f t="shared" si="26"/>
        <v>0</v>
      </c>
      <c r="O58" s="57">
        <f t="shared" si="26"/>
        <v>0</v>
      </c>
      <c r="P58" s="57">
        <f t="shared" si="26"/>
        <v>0</v>
      </c>
      <c r="Q58" s="57">
        <f t="shared" si="26"/>
        <v>0</v>
      </c>
      <c r="R58" s="57">
        <f t="shared" si="26"/>
        <v>0</v>
      </c>
      <c r="S58" s="57">
        <f t="shared" si="26"/>
        <v>0</v>
      </c>
      <c r="T58" s="57">
        <f t="shared" si="26"/>
        <v>0</v>
      </c>
      <c r="U58" s="57">
        <f t="shared" si="26"/>
        <v>0</v>
      </c>
      <c r="V58" s="57">
        <f t="shared" si="26"/>
        <v>0</v>
      </c>
      <c r="W58" s="57">
        <f t="shared" si="26"/>
        <v>0</v>
      </c>
      <c r="X58" s="41">
        <f t="shared" si="26"/>
        <v>0</v>
      </c>
      <c r="Y58" s="41">
        <f t="shared" si="26"/>
        <v>0</v>
      </c>
      <c r="Z58" s="41">
        <f t="shared" si="26"/>
        <v>0</v>
      </c>
      <c r="AA58" s="43">
        <f>SUM(G58:Z58)</f>
        <v>0</v>
      </c>
      <c r="AB58" s="37" t="str">
        <f>IF(ABS(F58-AA58)&lt;0.01,"ok","err")</f>
        <v>ok</v>
      </c>
    </row>
    <row r="59" spans="1:28">
      <c r="F59" s="58"/>
    </row>
    <row r="60" spans="1:28">
      <c r="A60" s="39" t="s">
        <v>1026</v>
      </c>
      <c r="D60" s="39" t="s">
        <v>1206</v>
      </c>
      <c r="F60" s="57">
        <f>F15+F21+F24+F27+F35+F40+F43+F46+F49+F52+F55+F58</f>
        <v>3934849118.1870999</v>
      </c>
      <c r="G60" s="57">
        <f t="shared" ref="G60:Z60" si="27">G15+G21+G24+G27+G35+G40+G43+G46+G49+G52+G55+G58</f>
        <v>1893900473.60181</v>
      </c>
      <c r="H60" s="57">
        <f t="shared" si="27"/>
        <v>514158521.62313712</v>
      </c>
      <c r="I60" s="57">
        <f t="shared" si="27"/>
        <v>53256074.997063175</v>
      </c>
      <c r="J60" s="57">
        <f t="shared" si="27"/>
        <v>614214110.77939713</v>
      </c>
      <c r="K60" s="57">
        <f t="shared" si="27"/>
        <v>412618265.18577158</v>
      </c>
      <c r="L60" s="57">
        <f t="shared" si="27"/>
        <v>152667695.58378068</v>
      </c>
      <c r="M60" s="57">
        <f t="shared" si="27"/>
        <v>0</v>
      </c>
      <c r="N60" s="57">
        <f t="shared" si="27"/>
        <v>0</v>
      </c>
      <c r="O60" s="57">
        <f>O15+O21+O24+O27+O35+O40+O43+O46+O49+O52+O55+O58</f>
        <v>0</v>
      </c>
      <c r="P60" s="57">
        <f t="shared" si="27"/>
        <v>109325019.87334685</v>
      </c>
      <c r="Q60" s="57">
        <f t="shared" si="27"/>
        <v>58136978.23876673</v>
      </c>
      <c r="R60" s="57">
        <f t="shared" si="27"/>
        <v>12853721.262051281</v>
      </c>
      <c r="S60" s="57">
        <f t="shared" si="27"/>
        <v>112297495.4323592</v>
      </c>
      <c r="T60" s="57">
        <f t="shared" si="27"/>
        <v>499868.04449303926</v>
      </c>
      <c r="U60" s="57">
        <f t="shared" si="27"/>
        <v>920893.56512303266</v>
      </c>
      <c r="V60" s="57">
        <f t="shared" si="27"/>
        <v>0</v>
      </c>
      <c r="W60" s="57">
        <f t="shared" si="27"/>
        <v>0</v>
      </c>
      <c r="X60" s="41">
        <f t="shared" si="27"/>
        <v>0</v>
      </c>
      <c r="Y60" s="41">
        <f t="shared" si="27"/>
        <v>0</v>
      </c>
      <c r="Z60" s="41">
        <f t="shared" si="27"/>
        <v>0</v>
      </c>
      <c r="AA60" s="43">
        <f>SUM(G60:Z60)</f>
        <v>3934849118.1870995</v>
      </c>
      <c r="AB60" s="37" t="str">
        <f>IF(ABS(F60-AA60)&lt;0.01,"ok","err")</f>
        <v>ok</v>
      </c>
    </row>
    <row r="61" spans="1:28">
      <c r="A61" s="44" t="s">
        <v>1076</v>
      </c>
    </row>
    <row r="63" spans="1:28">
      <c r="A63" s="44" t="s">
        <v>384</v>
      </c>
    </row>
    <row r="64" spans="1:28">
      <c r="A64" s="45" t="s">
        <v>376</v>
      </c>
      <c r="C64" s="39" t="s">
        <v>1077</v>
      </c>
      <c r="D64" s="39" t="s">
        <v>414</v>
      </c>
      <c r="E64" s="39" t="s">
        <v>939</v>
      </c>
      <c r="F64" s="57">
        <f>VLOOKUP(C64,'Functional Assignment'!$C$2:$AP$725,'Functional Assignment'!$H$2,)</f>
        <v>486258467.1453203</v>
      </c>
      <c r="G64" s="57">
        <f t="shared" ref="G64:P69" si="28">IF(VLOOKUP($E64,$D$6:$AN$1197,3,)=0,0,(VLOOKUP($E64,$D$6:$AN$1197,G$2,)/VLOOKUP($E64,$D$6:$AN$1197,3,))*$F64)</f>
        <v>177763528.09515524</v>
      </c>
      <c r="H64" s="57">
        <f t="shared" si="28"/>
        <v>58632051.210300557</v>
      </c>
      <c r="I64" s="57">
        <f t="shared" si="28"/>
        <v>9596309.389083419</v>
      </c>
      <c r="J64" s="57">
        <f t="shared" si="28"/>
        <v>97763814.137003899</v>
      </c>
      <c r="K64" s="57">
        <f t="shared" si="28"/>
        <v>78619585.387487113</v>
      </c>
      <c r="L64" s="57">
        <f t="shared" si="28"/>
        <v>26581290.328516819</v>
      </c>
      <c r="M64" s="57">
        <f t="shared" si="28"/>
        <v>0</v>
      </c>
      <c r="N64" s="57">
        <f t="shared" si="28"/>
        <v>0</v>
      </c>
      <c r="O64" s="57">
        <f t="shared" si="28"/>
        <v>0</v>
      </c>
      <c r="P64" s="57">
        <f t="shared" si="28"/>
        <v>21284606.187114142</v>
      </c>
      <c r="Q64" s="57">
        <f t="shared" ref="Q64:Z69" si="29">IF(VLOOKUP($E64,$D$6:$AN$1197,3,)=0,0,(VLOOKUP($E64,$D$6:$AN$1197,Q$2,)/VLOOKUP($E64,$D$6:$AN$1197,3,))*$F64)</f>
        <v>8934878.8761014044</v>
      </c>
      <c r="R64" s="57">
        <f t="shared" si="29"/>
        <v>2401150.993392874</v>
      </c>
      <c r="S64" s="57">
        <f t="shared" si="29"/>
        <v>4392389.0883722091</v>
      </c>
      <c r="T64" s="57">
        <f t="shared" si="29"/>
        <v>158770.83430168772</v>
      </c>
      <c r="U64" s="57">
        <f t="shared" si="29"/>
        <v>130092.61849087177</v>
      </c>
      <c r="V64" s="57">
        <f t="shared" si="29"/>
        <v>0</v>
      </c>
      <c r="W64" s="57">
        <f t="shared" si="29"/>
        <v>0</v>
      </c>
      <c r="X64" s="41">
        <f t="shared" si="29"/>
        <v>0</v>
      </c>
      <c r="Y64" s="41">
        <f t="shared" si="29"/>
        <v>0</v>
      </c>
      <c r="Z64" s="41">
        <f t="shared" si="29"/>
        <v>0</v>
      </c>
      <c r="AA64" s="43">
        <f t="shared" ref="AA64:AA70" si="30">SUM(G64:Z64)</f>
        <v>486258467.1453203</v>
      </c>
      <c r="AB64" s="37" t="str">
        <f t="shared" ref="AB64:AB70" si="31">IF(ABS(F64-AA64)&lt;0.01,"ok","err")</f>
        <v>ok</v>
      </c>
    </row>
    <row r="65" spans="1:28">
      <c r="A65" s="45" t="s">
        <v>1391</v>
      </c>
      <c r="C65" s="39" t="s">
        <v>1077</v>
      </c>
      <c r="D65" s="39" t="s">
        <v>415</v>
      </c>
      <c r="E65" s="39" t="s">
        <v>204</v>
      </c>
      <c r="F65" s="58">
        <f>VLOOKUP(C65,'Functional Assignment'!$C$2:$AP$725,'Functional Assignment'!$I$2,)</f>
        <v>458385037.06699389</v>
      </c>
      <c r="G65" s="58">
        <f t="shared" si="28"/>
        <v>184837538.53043196</v>
      </c>
      <c r="H65" s="58">
        <f t="shared" si="28"/>
        <v>72962780.677314669</v>
      </c>
      <c r="I65" s="58">
        <f t="shared" si="28"/>
        <v>7430267.6448003147</v>
      </c>
      <c r="J65" s="58">
        <f t="shared" si="28"/>
        <v>85567685.451706499</v>
      </c>
      <c r="K65" s="58">
        <f t="shared" si="28"/>
        <v>56291824.003121346</v>
      </c>
      <c r="L65" s="58">
        <f t="shared" si="28"/>
        <v>21502701.249544095</v>
      </c>
      <c r="M65" s="58">
        <f t="shared" si="28"/>
        <v>0</v>
      </c>
      <c r="N65" s="58">
        <f t="shared" si="28"/>
        <v>0</v>
      </c>
      <c r="O65" s="58">
        <f t="shared" si="28"/>
        <v>0</v>
      </c>
      <c r="P65" s="58">
        <f t="shared" si="28"/>
        <v>19925105.948151257</v>
      </c>
      <c r="Q65" s="58">
        <f t="shared" si="29"/>
        <v>8179952.770408418</v>
      </c>
      <c r="R65" s="58">
        <f t="shared" si="29"/>
        <v>1583087.6375989125</v>
      </c>
      <c r="S65" s="58">
        <f t="shared" si="29"/>
        <v>0</v>
      </c>
      <c r="T65" s="58">
        <f t="shared" si="29"/>
        <v>3205.8395883744838</v>
      </c>
      <c r="U65" s="58">
        <f t="shared" si="29"/>
        <v>100887.31432807713</v>
      </c>
      <c r="V65" s="58">
        <f t="shared" si="29"/>
        <v>0</v>
      </c>
      <c r="W65" s="58">
        <f t="shared" si="29"/>
        <v>0</v>
      </c>
      <c r="X65" s="42">
        <f t="shared" si="29"/>
        <v>0</v>
      </c>
      <c r="Y65" s="42">
        <f t="shared" si="29"/>
        <v>0</v>
      </c>
      <c r="Z65" s="42">
        <f t="shared" si="29"/>
        <v>0</v>
      </c>
      <c r="AA65" s="42">
        <f t="shared" si="30"/>
        <v>458385037.06699395</v>
      </c>
      <c r="AB65" s="37" t="str">
        <f t="shared" si="31"/>
        <v>ok</v>
      </c>
    </row>
    <row r="66" spans="1:28">
      <c r="A66" s="45" t="s">
        <v>1392</v>
      </c>
      <c r="C66" s="39" t="s">
        <v>1077</v>
      </c>
      <c r="D66" s="39" t="s">
        <v>416</v>
      </c>
      <c r="E66" s="39" t="s">
        <v>207</v>
      </c>
      <c r="F66" s="58">
        <f>VLOOKUP(C66,'Functional Assignment'!$C$2:$AP$725,'Functional Assignment'!$J$2,)</f>
        <v>470764597.48255223</v>
      </c>
      <c r="G66" s="58">
        <f t="shared" si="28"/>
        <v>229859972.28102359</v>
      </c>
      <c r="H66" s="58">
        <f t="shared" si="28"/>
        <v>61531458.919696324</v>
      </c>
      <c r="I66" s="58">
        <f t="shared" si="28"/>
        <v>6902438.6385145774</v>
      </c>
      <c r="J66" s="58">
        <f t="shared" si="28"/>
        <v>82320688.751937002</v>
      </c>
      <c r="K66" s="58">
        <f t="shared" si="28"/>
        <v>48621226.860759974</v>
      </c>
      <c r="L66" s="58">
        <f t="shared" si="28"/>
        <v>18566150.786786936</v>
      </c>
      <c r="M66" s="58">
        <f t="shared" si="28"/>
        <v>0</v>
      </c>
      <c r="N66" s="58">
        <f t="shared" si="28"/>
        <v>0</v>
      </c>
      <c r="O66" s="58">
        <f t="shared" si="28"/>
        <v>0</v>
      </c>
      <c r="P66" s="58">
        <f t="shared" si="28"/>
        <v>12418625.948342228</v>
      </c>
      <c r="Q66" s="58">
        <f t="shared" si="29"/>
        <v>8777793.0013846382</v>
      </c>
      <c r="R66" s="58">
        <f t="shared" si="29"/>
        <v>1696253.2597739487</v>
      </c>
      <c r="S66" s="58">
        <f t="shared" si="29"/>
        <v>0</v>
      </c>
      <c r="T66" s="58">
        <f t="shared" si="29"/>
        <v>3985.9401193021417</v>
      </c>
      <c r="U66" s="58">
        <f t="shared" si="29"/>
        <v>66003.09421365305</v>
      </c>
      <c r="V66" s="58">
        <f t="shared" si="29"/>
        <v>0</v>
      </c>
      <c r="W66" s="58">
        <f t="shared" si="29"/>
        <v>0</v>
      </c>
      <c r="X66" s="42">
        <f t="shared" si="29"/>
        <v>0</v>
      </c>
      <c r="Y66" s="42">
        <f t="shared" si="29"/>
        <v>0</v>
      </c>
      <c r="Z66" s="42">
        <f t="shared" si="29"/>
        <v>0</v>
      </c>
      <c r="AA66" s="42">
        <f t="shared" si="30"/>
        <v>470764597.48255217</v>
      </c>
      <c r="AB66" s="37" t="str">
        <f t="shared" si="31"/>
        <v>ok</v>
      </c>
    </row>
    <row r="67" spans="1:28">
      <c r="A67" s="45" t="s">
        <v>1393</v>
      </c>
      <c r="C67" s="39" t="s">
        <v>1077</v>
      </c>
      <c r="D67" s="39" t="s">
        <v>417</v>
      </c>
      <c r="E67" s="39" t="s">
        <v>1197</v>
      </c>
      <c r="F67" s="58">
        <f>VLOOKUP(C67,'Functional Assignment'!$C$2:$AP$725,'Functional Assignment'!$K$2,)</f>
        <v>0</v>
      </c>
      <c r="G67" s="58">
        <f t="shared" si="28"/>
        <v>0</v>
      </c>
      <c r="H67" s="58">
        <f t="shared" si="28"/>
        <v>0</v>
      </c>
      <c r="I67" s="58">
        <f t="shared" si="28"/>
        <v>0</v>
      </c>
      <c r="J67" s="58">
        <f t="shared" si="28"/>
        <v>0</v>
      </c>
      <c r="K67" s="58">
        <f t="shared" si="28"/>
        <v>0</v>
      </c>
      <c r="L67" s="58">
        <f t="shared" si="28"/>
        <v>0</v>
      </c>
      <c r="M67" s="58">
        <f t="shared" si="28"/>
        <v>0</v>
      </c>
      <c r="N67" s="58">
        <f t="shared" si="28"/>
        <v>0</v>
      </c>
      <c r="O67" s="58">
        <f t="shared" si="28"/>
        <v>0</v>
      </c>
      <c r="P67" s="58">
        <f t="shared" si="28"/>
        <v>0</v>
      </c>
      <c r="Q67" s="58">
        <f t="shared" si="29"/>
        <v>0</v>
      </c>
      <c r="R67" s="58">
        <f t="shared" si="29"/>
        <v>0</v>
      </c>
      <c r="S67" s="58">
        <f t="shared" si="29"/>
        <v>0</v>
      </c>
      <c r="T67" s="58">
        <f t="shared" si="29"/>
        <v>0</v>
      </c>
      <c r="U67" s="58">
        <f t="shared" si="29"/>
        <v>0</v>
      </c>
      <c r="V67" s="58">
        <f t="shared" si="29"/>
        <v>0</v>
      </c>
      <c r="W67" s="58">
        <f t="shared" si="29"/>
        <v>0</v>
      </c>
      <c r="X67" s="42">
        <f t="shared" si="29"/>
        <v>0</v>
      </c>
      <c r="Y67" s="42">
        <f t="shared" si="29"/>
        <v>0</v>
      </c>
      <c r="Z67" s="42">
        <f t="shared" si="29"/>
        <v>0</v>
      </c>
      <c r="AA67" s="42">
        <f t="shared" si="30"/>
        <v>0</v>
      </c>
      <c r="AB67" s="37" t="str">
        <f t="shared" si="31"/>
        <v>ok</v>
      </c>
    </row>
    <row r="68" spans="1:28">
      <c r="A68" s="45" t="s">
        <v>1394</v>
      </c>
      <c r="C68" s="39" t="s">
        <v>1077</v>
      </c>
      <c r="D68" s="39" t="s">
        <v>418</v>
      </c>
      <c r="E68" s="39" t="s">
        <v>1197</v>
      </c>
      <c r="F68" s="58">
        <f>VLOOKUP(C68,'Functional Assignment'!$C$2:$AP$725,'Functional Assignment'!$L$2,)</f>
        <v>0</v>
      </c>
      <c r="G68" s="58">
        <f t="shared" si="28"/>
        <v>0</v>
      </c>
      <c r="H68" s="58">
        <f t="shared" si="28"/>
        <v>0</v>
      </c>
      <c r="I68" s="58">
        <f t="shared" si="28"/>
        <v>0</v>
      </c>
      <c r="J68" s="58">
        <f t="shared" si="28"/>
        <v>0</v>
      </c>
      <c r="K68" s="58">
        <f t="shared" si="28"/>
        <v>0</v>
      </c>
      <c r="L68" s="58">
        <f t="shared" si="28"/>
        <v>0</v>
      </c>
      <c r="M68" s="58">
        <f t="shared" si="28"/>
        <v>0</v>
      </c>
      <c r="N68" s="58">
        <f t="shared" si="28"/>
        <v>0</v>
      </c>
      <c r="O68" s="58">
        <f t="shared" si="28"/>
        <v>0</v>
      </c>
      <c r="P68" s="58">
        <f t="shared" si="28"/>
        <v>0</v>
      </c>
      <c r="Q68" s="58">
        <f t="shared" si="29"/>
        <v>0</v>
      </c>
      <c r="R68" s="58">
        <f t="shared" si="29"/>
        <v>0</v>
      </c>
      <c r="S68" s="58">
        <f t="shared" si="29"/>
        <v>0</v>
      </c>
      <c r="T68" s="58">
        <f t="shared" si="29"/>
        <v>0</v>
      </c>
      <c r="U68" s="58">
        <f t="shared" si="29"/>
        <v>0</v>
      </c>
      <c r="V68" s="58">
        <f t="shared" si="29"/>
        <v>0</v>
      </c>
      <c r="W68" s="58">
        <f t="shared" si="29"/>
        <v>0</v>
      </c>
      <c r="X68" s="42">
        <f t="shared" si="29"/>
        <v>0</v>
      </c>
      <c r="Y68" s="42">
        <f t="shared" si="29"/>
        <v>0</v>
      </c>
      <c r="Z68" s="42">
        <f t="shared" si="29"/>
        <v>0</v>
      </c>
      <c r="AA68" s="42">
        <f t="shared" si="30"/>
        <v>0</v>
      </c>
      <c r="AB68" s="37" t="str">
        <f t="shared" si="31"/>
        <v>ok</v>
      </c>
    </row>
    <row r="69" spans="1:28">
      <c r="A69" s="45" t="s">
        <v>1394</v>
      </c>
      <c r="C69" s="39" t="s">
        <v>1077</v>
      </c>
      <c r="D69" s="39" t="s">
        <v>419</v>
      </c>
      <c r="E69" s="39" t="s">
        <v>1197</v>
      </c>
      <c r="F69" s="58">
        <f>VLOOKUP(C69,'Functional Assignment'!$C$2:$AP$725,'Functional Assignment'!$M$2,)</f>
        <v>0</v>
      </c>
      <c r="G69" s="58">
        <f t="shared" si="28"/>
        <v>0</v>
      </c>
      <c r="H69" s="58">
        <f t="shared" si="28"/>
        <v>0</v>
      </c>
      <c r="I69" s="58">
        <f t="shared" si="28"/>
        <v>0</v>
      </c>
      <c r="J69" s="58">
        <f t="shared" si="28"/>
        <v>0</v>
      </c>
      <c r="K69" s="58">
        <f t="shared" si="28"/>
        <v>0</v>
      </c>
      <c r="L69" s="58">
        <f t="shared" si="28"/>
        <v>0</v>
      </c>
      <c r="M69" s="58">
        <f t="shared" si="28"/>
        <v>0</v>
      </c>
      <c r="N69" s="58">
        <f t="shared" si="28"/>
        <v>0</v>
      </c>
      <c r="O69" s="58">
        <f t="shared" si="28"/>
        <v>0</v>
      </c>
      <c r="P69" s="58">
        <f t="shared" si="28"/>
        <v>0</v>
      </c>
      <c r="Q69" s="58">
        <f t="shared" si="29"/>
        <v>0</v>
      </c>
      <c r="R69" s="58">
        <f t="shared" si="29"/>
        <v>0</v>
      </c>
      <c r="S69" s="58">
        <f t="shared" si="29"/>
        <v>0</v>
      </c>
      <c r="T69" s="58">
        <f t="shared" si="29"/>
        <v>0</v>
      </c>
      <c r="U69" s="58">
        <f t="shared" si="29"/>
        <v>0</v>
      </c>
      <c r="V69" s="58">
        <f t="shared" si="29"/>
        <v>0</v>
      </c>
      <c r="W69" s="58">
        <f t="shared" si="29"/>
        <v>0</v>
      </c>
      <c r="X69" s="42">
        <f t="shared" si="29"/>
        <v>0</v>
      </c>
      <c r="Y69" s="42">
        <f t="shared" si="29"/>
        <v>0</v>
      </c>
      <c r="Z69" s="42">
        <f t="shared" si="29"/>
        <v>0</v>
      </c>
      <c r="AA69" s="42">
        <f t="shared" si="30"/>
        <v>0</v>
      </c>
      <c r="AB69" s="37" t="str">
        <f t="shared" si="31"/>
        <v>ok</v>
      </c>
    </row>
    <row r="70" spans="1:28">
      <c r="A70" s="39" t="s">
        <v>407</v>
      </c>
      <c r="D70" s="39" t="s">
        <v>420</v>
      </c>
      <c r="F70" s="57">
        <f>SUM(F64:F69)</f>
        <v>1415408101.6948664</v>
      </c>
      <c r="G70" s="57">
        <f t="shared" ref="G70:P70" si="32">SUM(G64:G69)</f>
        <v>592461038.90661085</v>
      </c>
      <c r="H70" s="57">
        <f t="shared" si="32"/>
        <v>193126290.80731156</v>
      </c>
      <c r="I70" s="57">
        <f t="shared" si="32"/>
        <v>23929015.672398314</v>
      </c>
      <c r="J70" s="57">
        <f t="shared" si="32"/>
        <v>265652188.3406474</v>
      </c>
      <c r="K70" s="57">
        <f t="shared" si="32"/>
        <v>183532636.25136843</v>
      </c>
      <c r="L70" s="57">
        <f t="shared" si="32"/>
        <v>66650142.364847846</v>
      </c>
      <c r="M70" s="57">
        <f t="shared" si="32"/>
        <v>0</v>
      </c>
      <c r="N70" s="57">
        <f t="shared" si="32"/>
        <v>0</v>
      </c>
      <c r="O70" s="57">
        <f>SUM(O64:O69)</f>
        <v>0</v>
      </c>
      <c r="P70" s="57">
        <f t="shared" si="32"/>
        <v>53628338.083607621</v>
      </c>
      <c r="Q70" s="57">
        <f t="shared" ref="Q70:W70" si="33">SUM(Q64:Q69)</f>
        <v>25892624.647894461</v>
      </c>
      <c r="R70" s="57">
        <f t="shared" si="33"/>
        <v>5680491.8907657359</v>
      </c>
      <c r="S70" s="57">
        <f t="shared" si="33"/>
        <v>4392389.0883722091</v>
      </c>
      <c r="T70" s="57">
        <f t="shared" si="33"/>
        <v>165962.61400936433</v>
      </c>
      <c r="U70" s="57">
        <f t="shared" si="33"/>
        <v>296983.02703260194</v>
      </c>
      <c r="V70" s="57">
        <f t="shared" si="33"/>
        <v>0</v>
      </c>
      <c r="W70" s="57">
        <f t="shared" si="33"/>
        <v>0</v>
      </c>
      <c r="X70" s="41">
        <f>SUM(X64:X69)</f>
        <v>0</v>
      </c>
      <c r="Y70" s="41">
        <f>SUM(Y64:Y69)</f>
        <v>0</v>
      </c>
      <c r="Z70" s="41">
        <f>SUM(Z64:Z69)</f>
        <v>0</v>
      </c>
      <c r="AA70" s="43">
        <f t="shared" si="30"/>
        <v>1415408101.6948664</v>
      </c>
      <c r="AB70" s="37" t="str">
        <f t="shared" si="31"/>
        <v>ok</v>
      </c>
    </row>
    <row r="71" spans="1:28">
      <c r="F71" s="58"/>
      <c r="G71" s="58"/>
    </row>
    <row r="72" spans="1:28">
      <c r="A72" s="44" t="s">
        <v>1237</v>
      </c>
      <c r="F72" s="58"/>
      <c r="G72" s="58"/>
    </row>
    <row r="73" spans="1:28">
      <c r="A73" s="45" t="s">
        <v>377</v>
      </c>
      <c r="C73" s="39" t="s">
        <v>1077</v>
      </c>
      <c r="D73" s="39" t="s">
        <v>421</v>
      </c>
      <c r="E73" s="39" t="s">
        <v>939</v>
      </c>
      <c r="F73" s="57">
        <f>VLOOKUP(C73,'Functional Assignment'!$C$2:$AP$725,'Functional Assignment'!$N$2,)</f>
        <v>49775638.85252887</v>
      </c>
      <c r="G73" s="57">
        <f t="shared" ref="G73:P75" si="34">IF(VLOOKUP($E73,$D$6:$AN$1197,3,)=0,0,(VLOOKUP($E73,$D$6:$AN$1197,G$2,)/VLOOKUP($E73,$D$6:$AN$1197,3,))*$F73)</f>
        <v>18196687.098451015</v>
      </c>
      <c r="H73" s="57">
        <f t="shared" si="34"/>
        <v>6001844.7048546905</v>
      </c>
      <c r="I73" s="57">
        <f t="shared" si="34"/>
        <v>982322.08329936781</v>
      </c>
      <c r="J73" s="57">
        <f t="shared" si="34"/>
        <v>10007550.786514042</v>
      </c>
      <c r="K73" s="57">
        <f t="shared" si="34"/>
        <v>8047860.0443858122</v>
      </c>
      <c r="L73" s="57">
        <f t="shared" si="34"/>
        <v>2720982.3520277287</v>
      </c>
      <c r="M73" s="57">
        <f t="shared" si="34"/>
        <v>0</v>
      </c>
      <c r="N73" s="57">
        <f t="shared" si="34"/>
        <v>0</v>
      </c>
      <c r="O73" s="57">
        <f t="shared" si="34"/>
        <v>0</v>
      </c>
      <c r="P73" s="57">
        <f t="shared" si="34"/>
        <v>2178789.5579645974</v>
      </c>
      <c r="Q73" s="57">
        <f t="shared" ref="Q73:Z75" si="35">IF(VLOOKUP($E73,$D$6:$AN$1197,3,)=0,0,(VLOOKUP($E73,$D$6:$AN$1197,Q$2,)/VLOOKUP($E73,$D$6:$AN$1197,3,))*$F73)</f>
        <v>914615.03331519454</v>
      </c>
      <c r="R73" s="57">
        <f t="shared" si="35"/>
        <v>245792.78871825986</v>
      </c>
      <c r="S73" s="57">
        <f t="shared" si="35"/>
        <v>449625.01989145612</v>
      </c>
      <c r="T73" s="57">
        <f t="shared" si="35"/>
        <v>16252.508166924508</v>
      </c>
      <c r="U73" s="57">
        <f t="shared" si="35"/>
        <v>13316.874939776093</v>
      </c>
      <c r="V73" s="57">
        <f t="shared" si="35"/>
        <v>0</v>
      </c>
      <c r="W73" s="57">
        <f t="shared" si="35"/>
        <v>0</v>
      </c>
      <c r="X73" s="41">
        <f t="shared" si="35"/>
        <v>0</v>
      </c>
      <c r="Y73" s="41">
        <f t="shared" si="35"/>
        <v>0</v>
      </c>
      <c r="Z73" s="41">
        <f t="shared" si="35"/>
        <v>0</v>
      </c>
      <c r="AA73" s="43">
        <f>SUM(G73:Z73)</f>
        <v>49775638.85252887</v>
      </c>
      <c r="AB73" s="37" t="str">
        <f>IF(ABS(F73-AA73)&lt;0.01,"ok","err")</f>
        <v>ok</v>
      </c>
    </row>
    <row r="74" spans="1:28">
      <c r="A74" s="45" t="s">
        <v>379</v>
      </c>
      <c r="C74" s="39" t="s">
        <v>1077</v>
      </c>
      <c r="D74" s="39" t="s">
        <v>422</v>
      </c>
      <c r="E74" s="39" t="s">
        <v>204</v>
      </c>
      <c r="F74" s="58">
        <f>VLOOKUP(C74,'Functional Assignment'!$C$2:$AP$725,'Functional Assignment'!$O$2,)</f>
        <v>46922387.170753278</v>
      </c>
      <c r="G74" s="58">
        <f t="shared" si="34"/>
        <v>18920815.134169348</v>
      </c>
      <c r="H74" s="58">
        <f t="shared" si="34"/>
        <v>7468803.6631862195</v>
      </c>
      <c r="I74" s="58">
        <f t="shared" si="34"/>
        <v>760596.15174717444</v>
      </c>
      <c r="J74" s="58">
        <f t="shared" si="34"/>
        <v>8759099.319124151</v>
      </c>
      <c r="K74" s="58">
        <f t="shared" si="34"/>
        <v>5762288.3533092383</v>
      </c>
      <c r="L74" s="58">
        <f t="shared" si="34"/>
        <v>2201114.765228881</v>
      </c>
      <c r="M74" s="58">
        <f t="shared" si="34"/>
        <v>0</v>
      </c>
      <c r="N74" s="58">
        <f t="shared" si="34"/>
        <v>0</v>
      </c>
      <c r="O74" s="58">
        <f t="shared" si="34"/>
        <v>0</v>
      </c>
      <c r="P74" s="58">
        <f t="shared" si="34"/>
        <v>2039624.9007159236</v>
      </c>
      <c r="Q74" s="58">
        <f t="shared" si="35"/>
        <v>837337.34719504649</v>
      </c>
      <c r="R74" s="58">
        <f t="shared" si="35"/>
        <v>162052.08514647224</v>
      </c>
      <c r="S74" s="58">
        <f t="shared" si="35"/>
        <v>0</v>
      </c>
      <c r="T74" s="58">
        <f t="shared" si="35"/>
        <v>328.16439065189394</v>
      </c>
      <c r="U74" s="58">
        <f t="shared" si="35"/>
        <v>10327.286540174859</v>
      </c>
      <c r="V74" s="58">
        <f t="shared" si="35"/>
        <v>0</v>
      </c>
      <c r="W74" s="58">
        <f t="shared" si="35"/>
        <v>0</v>
      </c>
      <c r="X74" s="42">
        <f t="shared" si="35"/>
        <v>0</v>
      </c>
      <c r="Y74" s="42">
        <f t="shared" si="35"/>
        <v>0</v>
      </c>
      <c r="Z74" s="42">
        <f t="shared" si="35"/>
        <v>0</v>
      </c>
      <c r="AA74" s="42">
        <f>SUM(G74:Z74)</f>
        <v>46922387.170753278</v>
      </c>
      <c r="AB74" s="37" t="str">
        <f>IF(ABS(F74-AA74)&lt;0.01,"ok","err")</f>
        <v>ok</v>
      </c>
    </row>
    <row r="75" spans="1:28">
      <c r="A75" s="45" t="s">
        <v>378</v>
      </c>
      <c r="C75" s="39" t="s">
        <v>1077</v>
      </c>
      <c r="D75" s="39" t="s">
        <v>423</v>
      </c>
      <c r="E75" s="39" t="s">
        <v>207</v>
      </c>
      <c r="F75" s="58">
        <f>VLOOKUP(C75,'Functional Assignment'!$C$2:$AP$725,'Functional Assignment'!$P$2,)</f>
        <v>48189615.548318468</v>
      </c>
      <c r="G75" s="58">
        <f t="shared" si="34"/>
        <v>23529517.201174423</v>
      </c>
      <c r="H75" s="58">
        <f t="shared" si="34"/>
        <v>6298641.328009408</v>
      </c>
      <c r="I75" s="58">
        <f t="shared" si="34"/>
        <v>706565.16253477242</v>
      </c>
      <c r="J75" s="58">
        <f t="shared" si="34"/>
        <v>8426721.8984657302</v>
      </c>
      <c r="K75" s="58">
        <f t="shared" si="34"/>
        <v>4977090.9759084787</v>
      </c>
      <c r="L75" s="58">
        <f t="shared" si="34"/>
        <v>1900516.0401011945</v>
      </c>
      <c r="M75" s="58">
        <f t="shared" si="34"/>
        <v>0</v>
      </c>
      <c r="N75" s="58">
        <f t="shared" si="34"/>
        <v>0</v>
      </c>
      <c r="O75" s="58">
        <f t="shared" si="34"/>
        <v>0</v>
      </c>
      <c r="P75" s="58">
        <f t="shared" si="34"/>
        <v>1271227.3040267518</v>
      </c>
      <c r="Q75" s="58">
        <f t="shared" si="35"/>
        <v>898535.00531148922</v>
      </c>
      <c r="R75" s="58">
        <f t="shared" si="35"/>
        <v>173636.23538857579</v>
      </c>
      <c r="S75" s="58">
        <f t="shared" si="35"/>
        <v>0</v>
      </c>
      <c r="T75" s="58">
        <f t="shared" si="35"/>
        <v>408.01904598382185</v>
      </c>
      <c r="U75" s="58">
        <f t="shared" si="35"/>
        <v>6756.3783516522126</v>
      </c>
      <c r="V75" s="58">
        <f t="shared" si="35"/>
        <v>0</v>
      </c>
      <c r="W75" s="58">
        <f t="shared" si="35"/>
        <v>0</v>
      </c>
      <c r="X75" s="42">
        <f t="shared" si="35"/>
        <v>0</v>
      </c>
      <c r="Y75" s="42">
        <f t="shared" si="35"/>
        <v>0</v>
      </c>
      <c r="Z75" s="42">
        <f t="shared" si="35"/>
        <v>0</v>
      </c>
      <c r="AA75" s="42">
        <f>SUM(G75:Z75)</f>
        <v>48189615.548318461</v>
      </c>
      <c r="AB75" s="37" t="str">
        <f>IF(ABS(F75-AA75)&lt;0.01,"ok","err")</f>
        <v>ok</v>
      </c>
    </row>
    <row r="76" spans="1:28">
      <c r="A76" s="39" t="s">
        <v>1239</v>
      </c>
      <c r="D76" s="39" t="s">
        <v>424</v>
      </c>
      <c r="F76" s="57">
        <f>SUM(F73:F75)</f>
        <v>144887641.57160062</v>
      </c>
      <c r="G76" s="57">
        <f t="shared" ref="G76:W76" si="36">SUM(G73:G75)</f>
        <v>60647019.433794782</v>
      </c>
      <c r="H76" s="57">
        <f t="shared" si="36"/>
        <v>19769289.696050316</v>
      </c>
      <c r="I76" s="57">
        <f t="shared" si="36"/>
        <v>2449483.3975813147</v>
      </c>
      <c r="J76" s="57">
        <f t="shared" si="36"/>
        <v>27193372.004103921</v>
      </c>
      <c r="K76" s="57">
        <f t="shared" si="36"/>
        <v>18787239.37360353</v>
      </c>
      <c r="L76" s="57">
        <f t="shared" si="36"/>
        <v>6822613.1573578045</v>
      </c>
      <c r="M76" s="57">
        <f t="shared" si="36"/>
        <v>0</v>
      </c>
      <c r="N76" s="57">
        <f t="shared" si="36"/>
        <v>0</v>
      </c>
      <c r="O76" s="57">
        <f>SUM(O73:O75)</f>
        <v>0</v>
      </c>
      <c r="P76" s="57">
        <f t="shared" si="36"/>
        <v>5489641.7627072725</v>
      </c>
      <c r="Q76" s="57">
        <f t="shared" si="36"/>
        <v>2650487.3858217304</v>
      </c>
      <c r="R76" s="57">
        <f t="shared" si="36"/>
        <v>581481.10925330792</v>
      </c>
      <c r="S76" s="57">
        <f t="shared" si="36"/>
        <v>449625.01989145612</v>
      </c>
      <c r="T76" s="57">
        <f t="shared" si="36"/>
        <v>16988.691603560226</v>
      </c>
      <c r="U76" s="57">
        <f t="shared" si="36"/>
        <v>30400.539831603164</v>
      </c>
      <c r="V76" s="57">
        <f t="shared" si="36"/>
        <v>0</v>
      </c>
      <c r="W76" s="57">
        <f t="shared" si="36"/>
        <v>0</v>
      </c>
      <c r="X76" s="41">
        <f>SUM(X73:X75)</f>
        <v>0</v>
      </c>
      <c r="Y76" s="41">
        <f>SUM(Y73:Y75)</f>
        <v>0</v>
      </c>
      <c r="Z76" s="41">
        <f>SUM(Z73:Z75)</f>
        <v>0</v>
      </c>
      <c r="AA76" s="43">
        <f>SUM(G76:Z76)</f>
        <v>144887641.57160062</v>
      </c>
      <c r="AB76" s="37" t="str">
        <f>IF(ABS(F76-AA76)&lt;0.01,"ok","err")</f>
        <v>ok</v>
      </c>
    </row>
    <row r="77" spans="1:28">
      <c r="F77" s="58"/>
      <c r="G77" s="58"/>
    </row>
    <row r="78" spans="1:28">
      <c r="A78" s="44" t="s">
        <v>365</v>
      </c>
      <c r="F78" s="58"/>
      <c r="G78" s="58"/>
    </row>
    <row r="79" spans="1:28">
      <c r="A79" s="45" t="s">
        <v>392</v>
      </c>
      <c r="C79" s="39" t="s">
        <v>1077</v>
      </c>
      <c r="D79" s="39" t="s">
        <v>425</v>
      </c>
      <c r="E79" s="39" t="s">
        <v>1472</v>
      </c>
      <c r="F79" s="57">
        <f>VLOOKUP(C79,'Functional Assignment'!$C$2:$AP$725,'Functional Assignment'!$Q$2,)</f>
        <v>0</v>
      </c>
      <c r="G79" s="57">
        <f t="shared" ref="G79:Z79" si="37">IF(VLOOKUP($E79,$D$6:$AN$1197,3,)=0,0,(VLOOKUP($E79,$D$6:$AN$1197,G$2,)/VLOOKUP($E79,$D$6:$AN$1197,3,))*$F79)</f>
        <v>0</v>
      </c>
      <c r="H79" s="57">
        <f t="shared" si="37"/>
        <v>0</v>
      </c>
      <c r="I79" s="57">
        <f t="shared" si="37"/>
        <v>0</v>
      </c>
      <c r="J79" s="57">
        <f t="shared" si="37"/>
        <v>0</v>
      </c>
      <c r="K79" s="57">
        <f t="shared" si="37"/>
        <v>0</v>
      </c>
      <c r="L79" s="57">
        <f t="shared" si="37"/>
        <v>0</v>
      </c>
      <c r="M79" s="57">
        <f t="shared" si="37"/>
        <v>0</v>
      </c>
      <c r="N79" s="57">
        <f t="shared" si="37"/>
        <v>0</v>
      </c>
      <c r="O79" s="57">
        <f t="shared" si="37"/>
        <v>0</v>
      </c>
      <c r="P79" s="57">
        <f t="shared" si="37"/>
        <v>0</v>
      </c>
      <c r="Q79" s="57">
        <f t="shared" si="37"/>
        <v>0</v>
      </c>
      <c r="R79" s="57">
        <f t="shared" si="37"/>
        <v>0</v>
      </c>
      <c r="S79" s="57">
        <f t="shared" si="37"/>
        <v>0</v>
      </c>
      <c r="T79" s="57">
        <f t="shared" si="37"/>
        <v>0</v>
      </c>
      <c r="U79" s="57">
        <f t="shared" si="37"/>
        <v>0</v>
      </c>
      <c r="V79" s="57">
        <f t="shared" si="37"/>
        <v>0</v>
      </c>
      <c r="W79" s="57">
        <f t="shared" si="37"/>
        <v>0</v>
      </c>
      <c r="X79" s="41">
        <f t="shared" si="37"/>
        <v>0</v>
      </c>
      <c r="Y79" s="41">
        <f t="shared" si="37"/>
        <v>0</v>
      </c>
      <c r="Z79" s="41">
        <f t="shared" si="37"/>
        <v>0</v>
      </c>
      <c r="AA79" s="43">
        <f>SUM(G79:Z79)</f>
        <v>0</v>
      </c>
      <c r="AB79" s="37" t="str">
        <f>IF(ABS(F79-AA79)&lt;0.01,"ok","err")</f>
        <v>ok</v>
      </c>
    </row>
    <row r="80" spans="1:28">
      <c r="F80" s="58"/>
    </row>
    <row r="81" spans="1:28">
      <c r="A81" s="44" t="s">
        <v>366</v>
      </c>
      <c r="F81" s="58"/>
      <c r="G81" s="58"/>
    </row>
    <row r="82" spans="1:28">
      <c r="A82" s="45" t="s">
        <v>394</v>
      </c>
      <c r="C82" s="39" t="s">
        <v>1077</v>
      </c>
      <c r="D82" s="39" t="s">
        <v>426</v>
      </c>
      <c r="E82" s="39" t="s">
        <v>1471</v>
      </c>
      <c r="F82" s="57">
        <f>VLOOKUP(C82,'Functional Assignment'!$C$2:$AP$725,'Functional Assignment'!$R$2,)</f>
        <v>70940439.177705228</v>
      </c>
      <c r="G82" s="57">
        <f t="shared" ref="G82:Z82" si="38">IF(VLOOKUP($E82,$D$6:$AN$1197,3,)=0,0,(VLOOKUP($E82,$D$6:$AN$1197,G$2,)/VLOOKUP($E82,$D$6:$AN$1197,3,))*$F82)</f>
        <v>34033975.648221202</v>
      </c>
      <c r="H82" s="57">
        <f t="shared" si="38"/>
        <v>9655488.3656870238</v>
      </c>
      <c r="I82" s="57">
        <f t="shared" si="38"/>
        <v>1006248.8354513623</v>
      </c>
      <c r="J82" s="57">
        <f t="shared" si="38"/>
        <v>11772192.312531903</v>
      </c>
      <c r="K82" s="57">
        <f t="shared" si="38"/>
        <v>9420543.8674628381</v>
      </c>
      <c r="L82" s="57">
        <f t="shared" si="38"/>
        <v>2822500.5420555826</v>
      </c>
      <c r="M82" s="57">
        <f t="shared" si="38"/>
        <v>0</v>
      </c>
      <c r="N82" s="57">
        <f t="shared" si="38"/>
        <v>0</v>
      </c>
      <c r="O82" s="57">
        <f t="shared" si="38"/>
        <v>0</v>
      </c>
      <c r="P82" s="57">
        <f t="shared" si="38"/>
        <v>0</v>
      </c>
      <c r="Q82" s="57">
        <f t="shared" si="38"/>
        <v>1319596.5561779006</v>
      </c>
      <c r="R82" s="57">
        <f t="shared" si="38"/>
        <v>297944.65347915876</v>
      </c>
      <c r="S82" s="57">
        <f t="shared" si="38"/>
        <v>582375.67380160314</v>
      </c>
      <c r="T82" s="57">
        <f t="shared" si="38"/>
        <v>20959.478649250563</v>
      </c>
      <c r="U82" s="57">
        <f t="shared" si="38"/>
        <v>8613.2441873997032</v>
      </c>
      <c r="V82" s="57">
        <f t="shared" si="38"/>
        <v>0</v>
      </c>
      <c r="W82" s="57">
        <f t="shared" si="38"/>
        <v>0</v>
      </c>
      <c r="X82" s="41">
        <f t="shared" si="38"/>
        <v>0</v>
      </c>
      <c r="Y82" s="41">
        <f t="shared" si="38"/>
        <v>0</v>
      </c>
      <c r="Z82" s="41">
        <f t="shared" si="38"/>
        <v>0</v>
      </c>
      <c r="AA82" s="43">
        <f>SUM(G82:Z82)</f>
        <v>70940439.177705213</v>
      </c>
      <c r="AB82" s="37" t="str">
        <f>IF(ABS(F82-AA82)&lt;0.01,"ok","err")</f>
        <v>ok</v>
      </c>
    </row>
    <row r="83" spans="1:28">
      <c r="F83" s="58"/>
    </row>
    <row r="84" spans="1:28">
      <c r="A84" s="44" t="s">
        <v>393</v>
      </c>
      <c r="F84" s="58"/>
    </row>
    <row r="85" spans="1:28">
      <c r="A85" s="45" t="s">
        <v>644</v>
      </c>
      <c r="C85" s="39" t="s">
        <v>1077</v>
      </c>
      <c r="D85" s="39" t="s">
        <v>427</v>
      </c>
      <c r="E85" s="39" t="s">
        <v>1472</v>
      </c>
      <c r="F85" s="57">
        <f>VLOOKUP(C85,'Functional Assignment'!$C$2:$AP$725,'Functional Assignment'!$S$2,)</f>
        <v>0</v>
      </c>
      <c r="G85" s="57">
        <f t="shared" ref="G85:P89" si="39">IF(VLOOKUP($E85,$D$6:$AN$1197,3,)=0,0,(VLOOKUP($E85,$D$6:$AN$1197,G$2,)/VLOOKUP($E85,$D$6:$AN$1197,3,))*$F85)</f>
        <v>0</v>
      </c>
      <c r="H85" s="57">
        <f t="shared" si="39"/>
        <v>0</v>
      </c>
      <c r="I85" s="57">
        <f t="shared" si="39"/>
        <v>0</v>
      </c>
      <c r="J85" s="57">
        <f t="shared" si="39"/>
        <v>0</v>
      </c>
      <c r="K85" s="57">
        <f t="shared" si="39"/>
        <v>0</v>
      </c>
      <c r="L85" s="57">
        <f t="shared" si="39"/>
        <v>0</v>
      </c>
      <c r="M85" s="57">
        <f t="shared" si="39"/>
        <v>0</v>
      </c>
      <c r="N85" s="57">
        <f t="shared" si="39"/>
        <v>0</v>
      </c>
      <c r="O85" s="57">
        <f t="shared" si="39"/>
        <v>0</v>
      </c>
      <c r="P85" s="57">
        <f t="shared" si="39"/>
        <v>0</v>
      </c>
      <c r="Q85" s="57">
        <f t="shared" ref="Q85:Z89" si="40">IF(VLOOKUP($E85,$D$6:$AN$1197,3,)=0,0,(VLOOKUP($E85,$D$6:$AN$1197,Q$2,)/VLOOKUP($E85,$D$6:$AN$1197,3,))*$F85)</f>
        <v>0</v>
      </c>
      <c r="R85" s="57">
        <f t="shared" si="40"/>
        <v>0</v>
      </c>
      <c r="S85" s="57">
        <f t="shared" si="40"/>
        <v>0</v>
      </c>
      <c r="T85" s="57">
        <f t="shared" si="40"/>
        <v>0</v>
      </c>
      <c r="U85" s="57">
        <f t="shared" si="40"/>
        <v>0</v>
      </c>
      <c r="V85" s="57">
        <f t="shared" si="40"/>
        <v>0</v>
      </c>
      <c r="W85" s="57">
        <f t="shared" si="40"/>
        <v>0</v>
      </c>
      <c r="X85" s="41">
        <f t="shared" si="40"/>
        <v>0</v>
      </c>
      <c r="Y85" s="41">
        <f t="shared" si="40"/>
        <v>0</v>
      </c>
      <c r="Z85" s="41">
        <f t="shared" si="40"/>
        <v>0</v>
      </c>
      <c r="AA85" s="43">
        <f t="shared" ref="AA85:AA90" si="41">SUM(G85:Z85)</f>
        <v>0</v>
      </c>
      <c r="AB85" s="37" t="str">
        <f t="shared" ref="AB85:AB90" si="42">IF(ABS(F85-AA85)&lt;0.01,"ok","err")</f>
        <v>ok</v>
      </c>
    </row>
    <row r="86" spans="1:28">
      <c r="A86" s="45" t="s">
        <v>645</v>
      </c>
      <c r="C86" s="39" t="s">
        <v>1077</v>
      </c>
      <c r="D86" s="39" t="s">
        <v>428</v>
      </c>
      <c r="E86" s="39" t="s">
        <v>1472</v>
      </c>
      <c r="F86" s="58">
        <f>VLOOKUP(C86,'Functional Assignment'!$C$2:$AP$725,'Functional Assignment'!$T$2,)</f>
        <v>109233752.42327797</v>
      </c>
      <c r="G86" s="58">
        <f t="shared" si="39"/>
        <v>52405354.590841495</v>
      </c>
      <c r="H86" s="58">
        <f t="shared" si="39"/>
        <v>14867475.27769414</v>
      </c>
      <c r="I86" s="58">
        <f t="shared" si="39"/>
        <v>1549417.1933805814</v>
      </c>
      <c r="J86" s="58">
        <f t="shared" si="39"/>
        <v>18126765.994852457</v>
      </c>
      <c r="K86" s="58">
        <f t="shared" si="39"/>
        <v>14505708.851524375</v>
      </c>
      <c r="L86" s="58">
        <f t="shared" si="39"/>
        <v>4346072.9733170597</v>
      </c>
      <c r="M86" s="58">
        <f t="shared" si="39"/>
        <v>0</v>
      </c>
      <c r="N86" s="58">
        <f t="shared" si="39"/>
        <v>0</v>
      </c>
      <c r="O86" s="58">
        <f t="shared" si="39"/>
        <v>0</v>
      </c>
      <c r="P86" s="58">
        <f t="shared" si="39"/>
        <v>0</v>
      </c>
      <c r="Q86" s="58">
        <f t="shared" si="40"/>
        <v>2031908.5304090981</v>
      </c>
      <c r="R86" s="58">
        <f t="shared" si="40"/>
        <v>458773.76699706184</v>
      </c>
      <c r="S86" s="58">
        <f t="shared" si="40"/>
        <v>896739.30563114712</v>
      </c>
      <c r="T86" s="58">
        <f t="shared" si="40"/>
        <v>32273.306004746904</v>
      </c>
      <c r="U86" s="58">
        <f t="shared" si="40"/>
        <v>13262.632625811888</v>
      </c>
      <c r="V86" s="58">
        <f t="shared" si="40"/>
        <v>0</v>
      </c>
      <c r="W86" s="58">
        <f t="shared" si="40"/>
        <v>0</v>
      </c>
      <c r="X86" s="42">
        <f t="shared" si="40"/>
        <v>0</v>
      </c>
      <c r="Y86" s="42">
        <f t="shared" si="40"/>
        <v>0</v>
      </c>
      <c r="Z86" s="42">
        <f t="shared" si="40"/>
        <v>0</v>
      </c>
      <c r="AA86" s="42">
        <f t="shared" si="41"/>
        <v>109233752.42327797</v>
      </c>
      <c r="AB86" s="37" t="str">
        <f t="shared" si="42"/>
        <v>ok</v>
      </c>
    </row>
    <row r="87" spans="1:28">
      <c r="A87" s="45" t="s">
        <v>646</v>
      </c>
      <c r="C87" s="39" t="s">
        <v>1077</v>
      </c>
      <c r="D87" s="39" t="s">
        <v>429</v>
      </c>
      <c r="E87" s="39" t="s">
        <v>987</v>
      </c>
      <c r="F87" s="58">
        <f>VLOOKUP(C87,'Functional Assignment'!$C$2:$AP$725,'Functional Assignment'!$U$2,)</f>
        <v>178825172.10415453</v>
      </c>
      <c r="G87" s="58">
        <f t="shared" si="39"/>
        <v>154170147.90141037</v>
      </c>
      <c r="H87" s="58">
        <f t="shared" si="39"/>
        <v>19381839.771623626</v>
      </c>
      <c r="I87" s="58">
        <f t="shared" si="39"/>
        <v>37166.818133556117</v>
      </c>
      <c r="J87" s="58">
        <f t="shared" si="39"/>
        <v>1267607.1266962255</v>
      </c>
      <c r="K87" s="58">
        <f t="shared" si="39"/>
        <v>41102.128288873821</v>
      </c>
      <c r="L87" s="58">
        <f t="shared" si="39"/>
        <v>68649.299376097755</v>
      </c>
      <c r="M87" s="58">
        <f t="shared" si="39"/>
        <v>0</v>
      </c>
      <c r="N87" s="58">
        <f t="shared" si="39"/>
        <v>0</v>
      </c>
      <c r="O87" s="58">
        <f t="shared" si="39"/>
        <v>0</v>
      </c>
      <c r="P87" s="58">
        <f t="shared" si="39"/>
        <v>0</v>
      </c>
      <c r="Q87" s="58">
        <f t="shared" si="40"/>
        <v>437.25668392418953</v>
      </c>
      <c r="R87" s="58">
        <f t="shared" si="40"/>
        <v>874.51336784837906</v>
      </c>
      <c r="S87" s="58">
        <f t="shared" si="40"/>
        <v>3805270.0175186521</v>
      </c>
      <c r="T87" s="58">
        <f t="shared" si="40"/>
        <v>7564.5406318884789</v>
      </c>
      <c r="U87" s="58">
        <f t="shared" si="40"/>
        <v>44512.730423482499</v>
      </c>
      <c r="V87" s="58">
        <f t="shared" si="40"/>
        <v>0</v>
      </c>
      <c r="W87" s="58">
        <f t="shared" si="40"/>
        <v>0</v>
      </c>
      <c r="X87" s="42">
        <f t="shared" si="40"/>
        <v>0</v>
      </c>
      <c r="Y87" s="42">
        <f t="shared" si="40"/>
        <v>0</v>
      </c>
      <c r="Z87" s="42">
        <f t="shared" si="40"/>
        <v>0</v>
      </c>
      <c r="AA87" s="42">
        <f t="shared" si="41"/>
        <v>178825172.10415456</v>
      </c>
      <c r="AB87" s="37" t="str">
        <f t="shared" si="42"/>
        <v>ok</v>
      </c>
    </row>
    <row r="88" spans="1:28">
      <c r="A88" s="45" t="s">
        <v>647</v>
      </c>
      <c r="C88" s="39" t="s">
        <v>1077</v>
      </c>
      <c r="D88" s="39" t="s">
        <v>430</v>
      </c>
      <c r="E88" s="39" t="s">
        <v>711</v>
      </c>
      <c r="F88" s="58">
        <f>VLOOKUP(C88,'Functional Assignment'!$C$2:$AP$725,'Functional Assignment'!$V$2,)</f>
        <v>36411250.8077593</v>
      </c>
      <c r="G88" s="58">
        <f t="shared" si="39"/>
        <v>25200243.878214028</v>
      </c>
      <c r="H88" s="58">
        <f t="shared" si="39"/>
        <v>4857483.1612474238</v>
      </c>
      <c r="I88" s="58">
        <f t="shared" si="39"/>
        <v>0</v>
      </c>
      <c r="J88" s="58">
        <f t="shared" si="39"/>
        <v>4842677.9936395716</v>
      </c>
      <c r="K88" s="58">
        <f t="shared" si="39"/>
        <v>0</v>
      </c>
      <c r="L88" s="58">
        <f t="shared" si="39"/>
        <v>1299448.9056163768</v>
      </c>
      <c r="M88" s="58">
        <f t="shared" si="39"/>
        <v>0</v>
      </c>
      <c r="N88" s="58">
        <f t="shared" si="39"/>
        <v>0</v>
      </c>
      <c r="O88" s="58">
        <f t="shared" si="39"/>
        <v>0</v>
      </c>
      <c r="P88" s="58">
        <f t="shared" si="39"/>
        <v>0</v>
      </c>
      <c r="Q88" s="58">
        <f t="shared" si="40"/>
        <v>0</v>
      </c>
      <c r="R88" s="58">
        <f t="shared" si="40"/>
        <v>0</v>
      </c>
      <c r="S88" s="58">
        <f t="shared" si="40"/>
        <v>200958.88987920876</v>
      </c>
      <c r="T88" s="58">
        <f t="shared" si="40"/>
        <v>7465.8289372930039</v>
      </c>
      <c r="U88" s="58">
        <f t="shared" si="40"/>
        <v>2972.1502254025418</v>
      </c>
      <c r="V88" s="58">
        <f t="shared" si="40"/>
        <v>0</v>
      </c>
      <c r="W88" s="58">
        <f t="shared" si="40"/>
        <v>0</v>
      </c>
      <c r="X88" s="42">
        <f t="shared" si="40"/>
        <v>0</v>
      </c>
      <c r="Y88" s="42">
        <f t="shared" si="40"/>
        <v>0</v>
      </c>
      <c r="Z88" s="42">
        <f t="shared" si="40"/>
        <v>0</v>
      </c>
      <c r="AA88" s="42">
        <f t="shared" si="41"/>
        <v>36411250.807759307</v>
      </c>
      <c r="AB88" s="37" t="str">
        <f t="shared" si="42"/>
        <v>ok</v>
      </c>
    </row>
    <row r="89" spans="1:28">
      <c r="A89" s="45" t="s">
        <v>648</v>
      </c>
      <c r="C89" s="39" t="s">
        <v>1077</v>
      </c>
      <c r="D89" s="39" t="s">
        <v>431</v>
      </c>
      <c r="E89" s="39" t="s">
        <v>986</v>
      </c>
      <c r="F89" s="58">
        <f>VLOOKUP(C89,'Functional Assignment'!$C$2:$AP$725,'Functional Assignment'!$W$2,)</f>
        <v>59608390.701384842</v>
      </c>
      <c r="G89" s="58">
        <f t="shared" si="39"/>
        <v>51412929.064447664</v>
      </c>
      <c r="H89" s="58">
        <f t="shared" si="39"/>
        <v>6463489.6371391499</v>
      </c>
      <c r="I89" s="58">
        <f t="shared" si="39"/>
        <v>0</v>
      </c>
      <c r="J89" s="58">
        <f t="shared" si="39"/>
        <v>422723.82931160933</v>
      </c>
      <c r="K89" s="58">
        <f t="shared" si="39"/>
        <v>0</v>
      </c>
      <c r="L89" s="58">
        <f t="shared" si="39"/>
        <v>22893.287755061287</v>
      </c>
      <c r="M89" s="58">
        <f t="shared" si="39"/>
        <v>0</v>
      </c>
      <c r="N89" s="58">
        <f t="shared" si="39"/>
        <v>0</v>
      </c>
      <c r="O89" s="58">
        <f t="shared" si="39"/>
        <v>0</v>
      </c>
      <c r="P89" s="58">
        <f t="shared" si="39"/>
        <v>0</v>
      </c>
      <c r="Q89" s="58">
        <f t="shared" si="40"/>
        <v>0</v>
      </c>
      <c r="R89" s="58">
        <f t="shared" si="40"/>
        <v>0</v>
      </c>
      <c r="S89" s="58">
        <f t="shared" si="40"/>
        <v>1268988.0638037983</v>
      </c>
      <c r="T89" s="58">
        <f t="shared" si="40"/>
        <v>2522.636166640511</v>
      </c>
      <c r="U89" s="58">
        <f t="shared" si="40"/>
        <v>14844.182760925089</v>
      </c>
      <c r="V89" s="58">
        <f t="shared" si="40"/>
        <v>0</v>
      </c>
      <c r="W89" s="58">
        <f t="shared" si="40"/>
        <v>0</v>
      </c>
      <c r="X89" s="42">
        <f t="shared" si="40"/>
        <v>0</v>
      </c>
      <c r="Y89" s="42">
        <f t="shared" si="40"/>
        <v>0</v>
      </c>
      <c r="Z89" s="42">
        <f t="shared" si="40"/>
        <v>0</v>
      </c>
      <c r="AA89" s="42">
        <f t="shared" si="41"/>
        <v>59608390.70138485</v>
      </c>
      <c r="AB89" s="37" t="str">
        <f t="shared" si="42"/>
        <v>ok</v>
      </c>
    </row>
    <row r="90" spans="1:28">
      <c r="A90" s="39" t="s">
        <v>398</v>
      </c>
      <c r="D90" s="39" t="s">
        <v>432</v>
      </c>
      <c r="F90" s="57">
        <f>SUM(F85:F89)</f>
        <v>384078566.03657663</v>
      </c>
      <c r="G90" s="57">
        <f t="shared" ref="G90:W90" si="43">SUM(G85:G89)</f>
        <v>283188675.43491358</v>
      </c>
      <c r="H90" s="57">
        <f t="shared" si="43"/>
        <v>45570287.847704336</v>
      </c>
      <c r="I90" s="57">
        <f t="shared" si="43"/>
        <v>1586584.0115141375</v>
      </c>
      <c r="J90" s="57">
        <f t="shared" si="43"/>
        <v>24659774.944499865</v>
      </c>
      <c r="K90" s="57">
        <f t="shared" si="43"/>
        <v>14546810.97981325</v>
      </c>
      <c r="L90" s="57">
        <f t="shared" si="43"/>
        <v>5737064.4660645947</v>
      </c>
      <c r="M90" s="57">
        <f t="shared" si="43"/>
        <v>0</v>
      </c>
      <c r="N90" s="57">
        <f t="shared" si="43"/>
        <v>0</v>
      </c>
      <c r="O90" s="57">
        <f>SUM(O85:O89)</f>
        <v>0</v>
      </c>
      <c r="P90" s="57">
        <f t="shared" si="43"/>
        <v>0</v>
      </c>
      <c r="Q90" s="57">
        <f t="shared" si="43"/>
        <v>2032345.7870930224</v>
      </c>
      <c r="R90" s="57">
        <f t="shared" si="43"/>
        <v>459648.2803649102</v>
      </c>
      <c r="S90" s="57">
        <f t="shared" si="43"/>
        <v>6171956.2768328069</v>
      </c>
      <c r="T90" s="57">
        <f t="shared" si="43"/>
        <v>49826.311740568897</v>
      </c>
      <c r="U90" s="57">
        <f t="shared" si="43"/>
        <v>75591.696035622008</v>
      </c>
      <c r="V90" s="57">
        <f t="shared" si="43"/>
        <v>0</v>
      </c>
      <c r="W90" s="57">
        <f t="shared" si="43"/>
        <v>0</v>
      </c>
      <c r="X90" s="41">
        <f>SUM(X85:X89)</f>
        <v>0</v>
      </c>
      <c r="Y90" s="41">
        <f>SUM(Y85:Y89)</f>
        <v>0</v>
      </c>
      <c r="Z90" s="41">
        <f>SUM(Z85:Z89)</f>
        <v>0</v>
      </c>
      <c r="AA90" s="43">
        <f t="shared" si="41"/>
        <v>384078566.03657675</v>
      </c>
      <c r="AB90" s="37" t="str">
        <f t="shared" si="42"/>
        <v>ok</v>
      </c>
    </row>
    <row r="91" spans="1:28">
      <c r="F91" s="58"/>
    </row>
    <row r="92" spans="1:28">
      <c r="A92" s="44" t="s">
        <v>666</v>
      </c>
      <c r="F92" s="58"/>
    </row>
    <row r="93" spans="1:28">
      <c r="A93" s="45" t="s">
        <v>1196</v>
      </c>
      <c r="C93" s="39" t="s">
        <v>1077</v>
      </c>
      <c r="D93" s="39" t="s">
        <v>433</v>
      </c>
      <c r="E93" s="39" t="s">
        <v>711</v>
      </c>
      <c r="F93" s="57">
        <f>VLOOKUP(C93,'Functional Assignment'!$C$2:$AP$725,'Functional Assignment'!$X$2,)</f>
        <v>50999550.741109118</v>
      </c>
      <c r="G93" s="57">
        <f t="shared" ref="G93:P94" si="44">IF(VLOOKUP($E93,$D$6:$AN$1197,3,)=0,0,(VLOOKUP($E93,$D$6:$AN$1197,G$2,)/VLOOKUP($E93,$D$6:$AN$1197,3,))*$F93)</f>
        <v>35296813.150989644</v>
      </c>
      <c r="H93" s="57">
        <f t="shared" si="44"/>
        <v>6803651.4390582144</v>
      </c>
      <c r="I93" s="57">
        <f t="shared" si="44"/>
        <v>0</v>
      </c>
      <c r="J93" s="57">
        <f t="shared" si="44"/>
        <v>6782914.5272549428</v>
      </c>
      <c r="K93" s="57">
        <f t="shared" si="44"/>
        <v>0</v>
      </c>
      <c r="L93" s="57">
        <f t="shared" si="44"/>
        <v>1820077.8310900154</v>
      </c>
      <c r="M93" s="57">
        <f t="shared" si="44"/>
        <v>0</v>
      </c>
      <c r="N93" s="57">
        <f t="shared" si="44"/>
        <v>0</v>
      </c>
      <c r="O93" s="57">
        <f t="shared" si="44"/>
        <v>0</v>
      </c>
      <c r="P93" s="57">
        <f t="shared" si="44"/>
        <v>0</v>
      </c>
      <c r="Q93" s="57">
        <f t="shared" ref="Q93:Z94" si="45">IF(VLOOKUP($E93,$D$6:$AN$1197,3,)=0,0,(VLOOKUP($E93,$D$6:$AN$1197,Q$2,)/VLOOKUP($E93,$D$6:$AN$1197,3,))*$F93)</f>
        <v>0</v>
      </c>
      <c r="R93" s="57">
        <f t="shared" si="45"/>
        <v>0</v>
      </c>
      <c r="S93" s="57">
        <f t="shared" si="45"/>
        <v>281473.79927655839</v>
      </c>
      <c r="T93" s="57">
        <f t="shared" si="45"/>
        <v>10457.040427481716</v>
      </c>
      <c r="U93" s="57">
        <f t="shared" si="45"/>
        <v>4162.9530122682363</v>
      </c>
      <c r="V93" s="57">
        <f t="shared" si="45"/>
        <v>0</v>
      </c>
      <c r="W93" s="57">
        <f t="shared" si="45"/>
        <v>0</v>
      </c>
      <c r="X93" s="41">
        <f t="shared" si="45"/>
        <v>0</v>
      </c>
      <c r="Y93" s="41">
        <f t="shared" si="45"/>
        <v>0</v>
      </c>
      <c r="Z93" s="41">
        <f t="shared" si="45"/>
        <v>0</v>
      </c>
      <c r="AA93" s="43">
        <f>SUM(G93:Z93)</f>
        <v>50999550.741109133</v>
      </c>
      <c r="AB93" s="37" t="str">
        <f>IF(ABS(F93-AA93)&lt;0.01,"ok","err")</f>
        <v>ok</v>
      </c>
    </row>
    <row r="94" spans="1:28">
      <c r="A94" s="45" t="s">
        <v>1199</v>
      </c>
      <c r="C94" s="39" t="s">
        <v>1077</v>
      </c>
      <c r="D94" s="39" t="s">
        <v>434</v>
      </c>
      <c r="E94" s="39" t="s">
        <v>986</v>
      </c>
      <c r="F94" s="58">
        <f>VLOOKUP(C94,'Functional Assignment'!$C$2:$AP$725,'Functional Assignment'!$Y$2,)</f>
        <v>40561581.648673847</v>
      </c>
      <c r="G94" s="58">
        <f t="shared" si="44"/>
        <v>34984835.113097966</v>
      </c>
      <c r="H94" s="58">
        <f t="shared" si="44"/>
        <v>4398195.6158746975</v>
      </c>
      <c r="I94" s="58">
        <f t="shared" si="44"/>
        <v>0</v>
      </c>
      <c r="J94" s="58">
        <f t="shared" si="44"/>
        <v>287649.89149530185</v>
      </c>
      <c r="K94" s="58">
        <f t="shared" si="44"/>
        <v>0</v>
      </c>
      <c r="L94" s="58">
        <f t="shared" si="44"/>
        <v>15578.14176087009</v>
      </c>
      <c r="M94" s="58">
        <f t="shared" si="44"/>
        <v>0</v>
      </c>
      <c r="N94" s="58">
        <f t="shared" si="44"/>
        <v>0</v>
      </c>
      <c r="O94" s="58">
        <f t="shared" si="44"/>
        <v>0</v>
      </c>
      <c r="P94" s="58">
        <f t="shared" si="44"/>
        <v>0</v>
      </c>
      <c r="Q94" s="58">
        <f t="shared" si="45"/>
        <v>0</v>
      </c>
      <c r="R94" s="58">
        <f t="shared" si="45"/>
        <v>0</v>
      </c>
      <c r="S94" s="58">
        <f t="shared" si="45"/>
        <v>863505.32794998749</v>
      </c>
      <c r="T94" s="58">
        <f t="shared" si="45"/>
        <v>1716.5723086818632</v>
      </c>
      <c r="U94" s="58">
        <f t="shared" si="45"/>
        <v>10100.986186347613</v>
      </c>
      <c r="V94" s="58">
        <f t="shared" si="45"/>
        <v>0</v>
      </c>
      <c r="W94" s="58">
        <f t="shared" si="45"/>
        <v>0</v>
      </c>
      <c r="X94" s="42">
        <f t="shared" si="45"/>
        <v>0</v>
      </c>
      <c r="Y94" s="42">
        <f t="shared" si="45"/>
        <v>0</v>
      </c>
      <c r="Z94" s="42">
        <f t="shared" si="45"/>
        <v>0</v>
      </c>
      <c r="AA94" s="42">
        <f>SUM(G94:Z94)</f>
        <v>40561581.648673855</v>
      </c>
      <c r="AB94" s="37" t="str">
        <f>IF(ABS(F94-AA94)&lt;0.01,"ok","err")</f>
        <v>ok</v>
      </c>
    </row>
    <row r="95" spans="1:28">
      <c r="A95" s="39" t="s">
        <v>773</v>
      </c>
      <c r="D95" s="39" t="s">
        <v>435</v>
      </c>
      <c r="F95" s="57">
        <f>F93+F94</f>
        <v>91561132.389782965</v>
      </c>
      <c r="G95" s="57">
        <f t="shared" ref="G95:W95" si="46">G93+G94</f>
        <v>70281648.264087617</v>
      </c>
      <c r="H95" s="57">
        <f t="shared" si="46"/>
        <v>11201847.054932911</v>
      </c>
      <c r="I95" s="57">
        <f t="shared" si="46"/>
        <v>0</v>
      </c>
      <c r="J95" s="57">
        <f t="shared" si="46"/>
        <v>7070564.4187502451</v>
      </c>
      <c r="K95" s="57">
        <f t="shared" si="46"/>
        <v>0</v>
      </c>
      <c r="L95" s="57">
        <f t="shared" si="46"/>
        <v>1835655.9728508855</v>
      </c>
      <c r="M95" s="57">
        <f t="shared" si="46"/>
        <v>0</v>
      </c>
      <c r="N95" s="57">
        <f t="shared" si="46"/>
        <v>0</v>
      </c>
      <c r="O95" s="57">
        <f>O93+O94</f>
        <v>0</v>
      </c>
      <c r="P95" s="57">
        <f t="shared" si="46"/>
        <v>0</v>
      </c>
      <c r="Q95" s="57">
        <f t="shared" si="46"/>
        <v>0</v>
      </c>
      <c r="R95" s="57">
        <f t="shared" si="46"/>
        <v>0</v>
      </c>
      <c r="S95" s="57">
        <f t="shared" si="46"/>
        <v>1144979.1272265459</v>
      </c>
      <c r="T95" s="57">
        <f t="shared" si="46"/>
        <v>12173.612736163579</v>
      </c>
      <c r="U95" s="57">
        <f t="shared" si="46"/>
        <v>14263.939198615848</v>
      </c>
      <c r="V95" s="57">
        <f t="shared" si="46"/>
        <v>0</v>
      </c>
      <c r="W95" s="57">
        <f t="shared" si="46"/>
        <v>0</v>
      </c>
      <c r="X95" s="41">
        <f>X93+X94</f>
        <v>0</v>
      </c>
      <c r="Y95" s="41">
        <f>Y93+Y94</f>
        <v>0</v>
      </c>
      <c r="Z95" s="41">
        <f>Z93+Z94</f>
        <v>0</v>
      </c>
      <c r="AA95" s="43">
        <f>SUM(G95:Z95)</f>
        <v>91561132.38978298</v>
      </c>
      <c r="AB95" s="37" t="str">
        <f>IF(ABS(F95-AA95)&lt;0.01,"ok","err")</f>
        <v>ok</v>
      </c>
    </row>
    <row r="96" spans="1:28">
      <c r="F96" s="58"/>
    </row>
    <row r="97" spans="1:28">
      <c r="A97" s="44" t="s">
        <v>371</v>
      </c>
      <c r="F97" s="58"/>
    </row>
    <row r="98" spans="1:28">
      <c r="A98" s="45" t="s">
        <v>1199</v>
      </c>
      <c r="C98" s="39" t="s">
        <v>1077</v>
      </c>
      <c r="D98" s="39" t="s">
        <v>436</v>
      </c>
      <c r="E98" s="39" t="s">
        <v>1201</v>
      </c>
      <c r="F98" s="57">
        <f>VLOOKUP(C98,'Functional Assignment'!$C$2:$AP$725,'Functional Assignment'!$Z$2,)</f>
        <v>18571543.461173866</v>
      </c>
      <c r="G98" s="57">
        <f t="shared" ref="G98:Z98" si="47">IF(VLOOKUP($E98,$D$6:$AN$1197,3,)=0,0,(VLOOKUP($E98,$D$6:$AN$1197,G$2,)/VLOOKUP($E98,$D$6:$AN$1197,3,))*$F98)</f>
        <v>15362276.20165012</v>
      </c>
      <c r="H98" s="57">
        <f t="shared" si="47"/>
        <v>2565650.2146536494</v>
      </c>
      <c r="I98" s="57">
        <f t="shared" si="47"/>
        <v>0</v>
      </c>
      <c r="J98" s="57">
        <f t="shared" si="47"/>
        <v>548080.68989307678</v>
      </c>
      <c r="K98" s="57">
        <f t="shared" si="47"/>
        <v>0</v>
      </c>
      <c r="L98" s="57">
        <f t="shared" si="47"/>
        <v>43643.985885407266</v>
      </c>
      <c r="M98" s="57">
        <f t="shared" si="47"/>
        <v>0</v>
      </c>
      <c r="N98" s="57">
        <f t="shared" si="47"/>
        <v>0</v>
      </c>
      <c r="O98" s="57">
        <f t="shared" si="47"/>
        <v>0</v>
      </c>
      <c r="P98" s="57">
        <f t="shared" si="47"/>
        <v>0</v>
      </c>
      <c r="Q98" s="57">
        <f t="shared" si="47"/>
        <v>0</v>
      </c>
      <c r="R98" s="57">
        <f t="shared" si="47"/>
        <v>0</v>
      </c>
      <c r="S98" s="57">
        <f t="shared" si="47"/>
        <v>0</v>
      </c>
      <c r="T98" s="57">
        <f t="shared" si="47"/>
        <v>7537.6824960944759</v>
      </c>
      <c r="U98" s="57">
        <f t="shared" si="47"/>
        <v>44354.686595515464</v>
      </c>
      <c r="V98" s="57">
        <f t="shared" si="47"/>
        <v>0</v>
      </c>
      <c r="W98" s="57">
        <f t="shared" si="47"/>
        <v>0</v>
      </c>
      <c r="X98" s="41">
        <f t="shared" si="47"/>
        <v>0</v>
      </c>
      <c r="Y98" s="41">
        <f t="shared" si="47"/>
        <v>0</v>
      </c>
      <c r="Z98" s="41">
        <f t="shared" si="47"/>
        <v>0</v>
      </c>
      <c r="AA98" s="43">
        <f>SUM(G98:Z98)</f>
        <v>18571543.461173862</v>
      </c>
      <c r="AB98" s="37" t="str">
        <f>IF(ABS(F98-AA98)&lt;0.01,"ok","err")</f>
        <v>ok</v>
      </c>
    </row>
    <row r="99" spans="1:28">
      <c r="F99" s="58"/>
    </row>
    <row r="100" spans="1:28">
      <c r="A100" s="44" t="s">
        <v>370</v>
      </c>
      <c r="F100" s="58"/>
    </row>
    <row r="101" spans="1:28">
      <c r="A101" s="45" t="s">
        <v>1199</v>
      </c>
      <c r="C101" s="39" t="s">
        <v>1077</v>
      </c>
      <c r="D101" s="39" t="s">
        <v>437</v>
      </c>
      <c r="E101" s="39" t="s">
        <v>1202</v>
      </c>
      <c r="F101" s="57">
        <f>VLOOKUP(C101,'Functional Assignment'!$C$2:$AP$725,'Functional Assignment'!$AA$2,)</f>
        <v>25025828.961523879</v>
      </c>
      <c r="G101" s="57">
        <f t="shared" ref="G101:Z101" si="48">IF(VLOOKUP($E101,$D$6:$AN$1197,3,)=0,0,(VLOOKUP($E101,$D$6:$AN$1197,G$2,)/VLOOKUP($E101,$D$6:$AN$1197,3,))*$F101)</f>
        <v>17515335.725804247</v>
      </c>
      <c r="H101" s="57">
        <f t="shared" si="48"/>
        <v>5201688.4940999877</v>
      </c>
      <c r="I101" s="57">
        <f t="shared" si="48"/>
        <v>237353.06768664133</v>
      </c>
      <c r="J101" s="57">
        <f t="shared" si="48"/>
        <v>1362860.7940180954</v>
      </c>
      <c r="K101" s="57">
        <f t="shared" si="48"/>
        <v>267102.90321538778</v>
      </c>
      <c r="L101" s="57">
        <f t="shared" si="48"/>
        <v>81880.171463655235</v>
      </c>
      <c r="M101" s="57">
        <f t="shared" si="48"/>
        <v>0</v>
      </c>
      <c r="N101" s="57">
        <f t="shared" si="48"/>
        <v>0</v>
      </c>
      <c r="O101" s="57">
        <f t="shared" si="48"/>
        <v>0</v>
      </c>
      <c r="P101" s="57">
        <f t="shared" si="48"/>
        <v>236062.0407148443</v>
      </c>
      <c r="Q101" s="57">
        <f t="shared" si="48"/>
        <v>21460.185519531296</v>
      </c>
      <c r="R101" s="57">
        <f t="shared" si="48"/>
        <v>42920.371039062593</v>
      </c>
      <c r="S101" s="57">
        <f t="shared" si="48"/>
        <v>0</v>
      </c>
      <c r="T101" s="57">
        <f t="shared" si="48"/>
        <v>8594.1066141898682</v>
      </c>
      <c r="U101" s="57">
        <f t="shared" si="48"/>
        <v>50571.101348238648</v>
      </c>
      <c r="V101" s="57">
        <f t="shared" si="48"/>
        <v>0</v>
      </c>
      <c r="W101" s="57">
        <f t="shared" si="48"/>
        <v>0</v>
      </c>
      <c r="X101" s="41">
        <f t="shared" si="48"/>
        <v>0</v>
      </c>
      <c r="Y101" s="41">
        <f t="shared" si="48"/>
        <v>0</v>
      </c>
      <c r="Z101" s="41">
        <f t="shared" si="48"/>
        <v>0</v>
      </c>
      <c r="AA101" s="43">
        <f>SUM(G101:Z101)</f>
        <v>25025828.961523883</v>
      </c>
      <c r="AB101" s="37" t="str">
        <f>IF(ABS(F101-AA101)&lt;0.01,"ok","err")</f>
        <v>ok</v>
      </c>
    </row>
    <row r="102" spans="1:28">
      <c r="F102" s="58"/>
    </row>
    <row r="103" spans="1:28">
      <c r="A103" s="44" t="s">
        <v>391</v>
      </c>
      <c r="F103" s="58"/>
    </row>
    <row r="104" spans="1:28">
      <c r="A104" s="45" t="s">
        <v>1199</v>
      </c>
      <c r="C104" s="39" t="s">
        <v>1077</v>
      </c>
      <c r="D104" s="39" t="s">
        <v>438</v>
      </c>
      <c r="E104" s="39" t="s">
        <v>983</v>
      </c>
      <c r="F104" s="57">
        <f>VLOOKUP(C104,'Functional Assignment'!$C$2:$AP$725,'Functional Assignment'!$AB$2,)</f>
        <v>55044333.138970509</v>
      </c>
      <c r="G104" s="57">
        <f t="shared" ref="G104:Z104" si="49">IF(VLOOKUP($E104,$D$6:$AN$1197,3,)=0,0,(VLOOKUP($E104,$D$6:$AN$1197,G$2,)/VLOOKUP($E104,$D$6:$AN$1197,3,))*$F104)</f>
        <v>0</v>
      </c>
      <c r="H104" s="57">
        <f t="shared" si="49"/>
        <v>0</v>
      </c>
      <c r="I104" s="57">
        <f t="shared" si="49"/>
        <v>0</v>
      </c>
      <c r="J104" s="57">
        <f t="shared" si="49"/>
        <v>0</v>
      </c>
      <c r="K104" s="57">
        <f t="shared" si="49"/>
        <v>0</v>
      </c>
      <c r="L104" s="57">
        <f t="shared" si="49"/>
        <v>0</v>
      </c>
      <c r="M104" s="57">
        <f t="shared" si="49"/>
        <v>0</v>
      </c>
      <c r="N104" s="57">
        <f t="shared" si="49"/>
        <v>0</v>
      </c>
      <c r="O104" s="57">
        <f t="shared" si="49"/>
        <v>0</v>
      </c>
      <c r="P104" s="57">
        <f t="shared" si="49"/>
        <v>0</v>
      </c>
      <c r="Q104" s="57">
        <f t="shared" si="49"/>
        <v>0</v>
      </c>
      <c r="R104" s="57">
        <f t="shared" si="49"/>
        <v>0</v>
      </c>
      <c r="S104" s="57">
        <f t="shared" si="49"/>
        <v>55044333.138970509</v>
      </c>
      <c r="T104" s="57">
        <f t="shared" si="49"/>
        <v>0</v>
      </c>
      <c r="U104" s="57">
        <f t="shared" si="49"/>
        <v>0</v>
      </c>
      <c r="V104" s="57">
        <f t="shared" si="49"/>
        <v>0</v>
      </c>
      <c r="W104" s="57">
        <f t="shared" si="49"/>
        <v>0</v>
      </c>
      <c r="X104" s="41">
        <f t="shared" si="49"/>
        <v>0</v>
      </c>
      <c r="Y104" s="41">
        <f t="shared" si="49"/>
        <v>0</v>
      </c>
      <c r="Z104" s="41">
        <f t="shared" si="49"/>
        <v>0</v>
      </c>
      <c r="AA104" s="43">
        <f>SUM(G104:Z104)</f>
        <v>55044333.138970509</v>
      </c>
      <c r="AB104" s="37" t="str">
        <f>IF(ABS(F104-AA104)&lt;0.01,"ok","err")</f>
        <v>ok</v>
      </c>
    </row>
    <row r="105" spans="1:28">
      <c r="F105" s="58"/>
    </row>
    <row r="106" spans="1:28">
      <c r="A106" s="44" t="s">
        <v>1129</v>
      </c>
      <c r="F106" s="58"/>
    </row>
    <row r="107" spans="1:28">
      <c r="A107" s="45" t="s">
        <v>1199</v>
      </c>
      <c r="C107" s="39" t="s">
        <v>1077</v>
      </c>
      <c r="D107" s="39" t="s">
        <v>439</v>
      </c>
      <c r="E107" s="39" t="s">
        <v>982</v>
      </c>
      <c r="F107" s="57">
        <f>VLOOKUP(C107,'Functional Assignment'!$C$2:$AP$725,'Functional Assignment'!$AC$2,)</f>
        <v>0</v>
      </c>
      <c r="G107" s="57">
        <f t="shared" ref="G107:Z107" si="50">IF(VLOOKUP($E107,$D$6:$AN$1197,3,)=0,0,(VLOOKUP($E107,$D$6:$AN$1197,G$2,)/VLOOKUP($E107,$D$6:$AN$1197,3,))*$F107)</f>
        <v>0</v>
      </c>
      <c r="H107" s="57">
        <f t="shared" si="50"/>
        <v>0</v>
      </c>
      <c r="I107" s="57">
        <f t="shared" si="50"/>
        <v>0</v>
      </c>
      <c r="J107" s="57">
        <f t="shared" si="50"/>
        <v>0</v>
      </c>
      <c r="K107" s="57">
        <f t="shared" si="50"/>
        <v>0</v>
      </c>
      <c r="L107" s="57">
        <f t="shared" si="50"/>
        <v>0</v>
      </c>
      <c r="M107" s="57">
        <f t="shared" si="50"/>
        <v>0</v>
      </c>
      <c r="N107" s="57">
        <f t="shared" si="50"/>
        <v>0</v>
      </c>
      <c r="O107" s="57">
        <f t="shared" si="50"/>
        <v>0</v>
      </c>
      <c r="P107" s="57">
        <f t="shared" si="50"/>
        <v>0</v>
      </c>
      <c r="Q107" s="57">
        <f t="shared" si="50"/>
        <v>0</v>
      </c>
      <c r="R107" s="57">
        <f t="shared" si="50"/>
        <v>0</v>
      </c>
      <c r="S107" s="57">
        <f t="shared" si="50"/>
        <v>0</v>
      </c>
      <c r="T107" s="57">
        <f t="shared" si="50"/>
        <v>0</v>
      </c>
      <c r="U107" s="57">
        <f t="shared" si="50"/>
        <v>0</v>
      </c>
      <c r="V107" s="57">
        <f t="shared" si="50"/>
        <v>0</v>
      </c>
      <c r="W107" s="57">
        <f t="shared" si="50"/>
        <v>0</v>
      </c>
      <c r="X107" s="41">
        <f t="shared" si="50"/>
        <v>0</v>
      </c>
      <c r="Y107" s="41">
        <f t="shared" si="50"/>
        <v>0</v>
      </c>
      <c r="Z107" s="41">
        <f t="shared" si="50"/>
        <v>0</v>
      </c>
      <c r="AA107" s="43">
        <f>SUM(G107:Z107)</f>
        <v>0</v>
      </c>
      <c r="AB107" s="37" t="str">
        <f>IF(ABS(F107-AA107)&lt;0.01,"ok","err")</f>
        <v>ok</v>
      </c>
    </row>
    <row r="108" spans="1:28">
      <c r="F108" s="58"/>
    </row>
    <row r="109" spans="1:28">
      <c r="A109" s="44" t="s">
        <v>368</v>
      </c>
      <c r="F109" s="58"/>
    </row>
    <row r="110" spans="1:28">
      <c r="A110" s="45" t="s">
        <v>1199</v>
      </c>
      <c r="C110" s="39" t="s">
        <v>1077</v>
      </c>
      <c r="D110" s="39" t="s">
        <v>440</v>
      </c>
      <c r="E110" s="39" t="s">
        <v>985</v>
      </c>
      <c r="F110" s="57">
        <f>VLOOKUP(C110,'Functional Assignment'!$C$2:$AP$725,'Functional Assignment'!$AD$2,)</f>
        <v>0</v>
      </c>
      <c r="G110" s="57">
        <f t="shared" ref="G110:Z110" si="51">IF(VLOOKUP($E110,$D$6:$AN$1197,3,)=0,0,(VLOOKUP($E110,$D$6:$AN$1197,G$2,)/VLOOKUP($E110,$D$6:$AN$1197,3,))*$F110)</f>
        <v>0</v>
      </c>
      <c r="H110" s="57">
        <f t="shared" si="51"/>
        <v>0</v>
      </c>
      <c r="I110" s="57">
        <f t="shared" si="51"/>
        <v>0</v>
      </c>
      <c r="J110" s="57">
        <f t="shared" si="51"/>
        <v>0</v>
      </c>
      <c r="K110" s="57">
        <f t="shared" si="51"/>
        <v>0</v>
      </c>
      <c r="L110" s="57">
        <f t="shared" si="51"/>
        <v>0</v>
      </c>
      <c r="M110" s="57">
        <f t="shared" si="51"/>
        <v>0</v>
      </c>
      <c r="N110" s="57">
        <f t="shared" si="51"/>
        <v>0</v>
      </c>
      <c r="O110" s="57">
        <f t="shared" si="51"/>
        <v>0</v>
      </c>
      <c r="P110" s="57">
        <f t="shared" si="51"/>
        <v>0</v>
      </c>
      <c r="Q110" s="57">
        <f t="shared" si="51"/>
        <v>0</v>
      </c>
      <c r="R110" s="57">
        <f t="shared" si="51"/>
        <v>0</v>
      </c>
      <c r="S110" s="57">
        <f t="shared" si="51"/>
        <v>0</v>
      </c>
      <c r="T110" s="57">
        <f t="shared" si="51"/>
        <v>0</v>
      </c>
      <c r="U110" s="57">
        <f t="shared" si="51"/>
        <v>0</v>
      </c>
      <c r="V110" s="57">
        <f t="shared" si="51"/>
        <v>0</v>
      </c>
      <c r="W110" s="57">
        <f t="shared" si="51"/>
        <v>0</v>
      </c>
      <c r="X110" s="41">
        <f t="shared" si="51"/>
        <v>0</v>
      </c>
      <c r="Y110" s="41">
        <f t="shared" si="51"/>
        <v>0</v>
      </c>
      <c r="Z110" s="41">
        <f t="shared" si="51"/>
        <v>0</v>
      </c>
      <c r="AA110" s="43">
        <f>SUM(G110:Z110)</f>
        <v>0</v>
      </c>
      <c r="AB110" s="37" t="str">
        <f>IF(ABS(F110-AA110)&lt;0.01,"ok","err")</f>
        <v>ok</v>
      </c>
    </row>
    <row r="111" spans="1:28">
      <c r="F111" s="58"/>
    </row>
    <row r="112" spans="1:28">
      <c r="A112" s="44" t="s">
        <v>367</v>
      </c>
      <c r="F112" s="58"/>
    </row>
    <row r="113" spans="1:28">
      <c r="A113" s="45" t="s">
        <v>1199</v>
      </c>
      <c r="C113" s="39" t="s">
        <v>1077</v>
      </c>
      <c r="D113" s="39" t="s">
        <v>441</v>
      </c>
      <c r="E113" s="39" t="s">
        <v>985</v>
      </c>
      <c r="F113" s="57">
        <f>VLOOKUP(C113,'Functional Assignment'!$C$2:$AP$725,'Functional Assignment'!$AE$2,)</f>
        <v>0</v>
      </c>
      <c r="G113" s="57">
        <f t="shared" ref="G113:Z113" si="52">IF(VLOOKUP($E113,$D$6:$AN$1197,3,)=0,0,(VLOOKUP($E113,$D$6:$AN$1197,G$2,)/VLOOKUP($E113,$D$6:$AN$1197,3,))*$F113)</f>
        <v>0</v>
      </c>
      <c r="H113" s="57">
        <f t="shared" si="52"/>
        <v>0</v>
      </c>
      <c r="I113" s="57">
        <f t="shared" si="52"/>
        <v>0</v>
      </c>
      <c r="J113" s="57">
        <f t="shared" si="52"/>
        <v>0</v>
      </c>
      <c r="K113" s="57">
        <f t="shared" si="52"/>
        <v>0</v>
      </c>
      <c r="L113" s="57">
        <f t="shared" si="52"/>
        <v>0</v>
      </c>
      <c r="M113" s="57">
        <f t="shared" si="52"/>
        <v>0</v>
      </c>
      <c r="N113" s="57">
        <f t="shared" si="52"/>
        <v>0</v>
      </c>
      <c r="O113" s="57">
        <f t="shared" si="52"/>
        <v>0</v>
      </c>
      <c r="P113" s="57">
        <f t="shared" si="52"/>
        <v>0</v>
      </c>
      <c r="Q113" s="57">
        <f t="shared" si="52"/>
        <v>0</v>
      </c>
      <c r="R113" s="57">
        <f t="shared" si="52"/>
        <v>0</v>
      </c>
      <c r="S113" s="57">
        <f t="shared" si="52"/>
        <v>0</v>
      </c>
      <c r="T113" s="57">
        <f t="shared" si="52"/>
        <v>0</v>
      </c>
      <c r="U113" s="57">
        <f t="shared" si="52"/>
        <v>0</v>
      </c>
      <c r="V113" s="57">
        <f t="shared" si="52"/>
        <v>0</v>
      </c>
      <c r="W113" s="57">
        <f t="shared" si="52"/>
        <v>0</v>
      </c>
      <c r="X113" s="41">
        <f t="shared" si="52"/>
        <v>0</v>
      </c>
      <c r="Y113" s="41">
        <f t="shared" si="52"/>
        <v>0</v>
      </c>
      <c r="Z113" s="41">
        <f t="shared" si="52"/>
        <v>0</v>
      </c>
      <c r="AA113" s="43">
        <f>SUM(G113:Z113)</f>
        <v>0</v>
      </c>
      <c r="AB113" s="37" t="str">
        <f>IF(ABS(F113-AA113)&lt;0.01,"ok","err")</f>
        <v>ok</v>
      </c>
    </row>
    <row r="114" spans="1:28">
      <c r="F114" s="58"/>
    </row>
    <row r="115" spans="1:28">
      <c r="A115" s="39" t="s">
        <v>1026</v>
      </c>
      <c r="D115" s="39" t="s">
        <v>442</v>
      </c>
      <c r="F115" s="57">
        <f>F70+F76+F79+F82+F90+F95+F98+F101+F104+F107+F110+F113</f>
        <v>2205517586.4322</v>
      </c>
      <c r="G115" s="57">
        <f t="shared" ref="G115:Y115" si="53">G70+G76+G79+G82+G90+G95+G98+G101+G104+G107+G110+G113</f>
        <v>1073489969.6150824</v>
      </c>
      <c r="H115" s="57">
        <f t="shared" si="53"/>
        <v>287090542.48043978</v>
      </c>
      <c r="I115" s="57">
        <f t="shared" si="53"/>
        <v>29208684.984631769</v>
      </c>
      <c r="J115" s="57">
        <f t="shared" si="53"/>
        <v>338259033.50444442</v>
      </c>
      <c r="K115" s="57">
        <f t="shared" si="53"/>
        <v>226554333.37546343</v>
      </c>
      <c r="L115" s="57">
        <f t="shared" si="53"/>
        <v>83993500.660525784</v>
      </c>
      <c r="M115" s="57">
        <f t="shared" si="53"/>
        <v>0</v>
      </c>
      <c r="N115" s="57">
        <f t="shared" si="53"/>
        <v>0</v>
      </c>
      <c r="O115" s="57">
        <f>O70+O76+O79+O82+O90+O95+O98+O101+O104+O107+O110+O113</f>
        <v>0</v>
      </c>
      <c r="P115" s="57">
        <f t="shared" si="53"/>
        <v>59354041.887029737</v>
      </c>
      <c r="Q115" s="57">
        <f t="shared" si="53"/>
        <v>31916514.562506642</v>
      </c>
      <c r="R115" s="57">
        <f t="shared" si="53"/>
        <v>7062486.3049021754</v>
      </c>
      <c r="S115" s="57">
        <f t="shared" si="53"/>
        <v>67785658.325095132</v>
      </c>
      <c r="T115" s="57">
        <f t="shared" si="53"/>
        <v>282042.49784919195</v>
      </c>
      <c r="U115" s="57">
        <f t="shared" si="53"/>
        <v>520778.2342295968</v>
      </c>
      <c r="V115" s="57">
        <f t="shared" si="53"/>
        <v>0</v>
      </c>
      <c r="W115" s="57">
        <f t="shared" si="53"/>
        <v>0</v>
      </c>
      <c r="X115" s="41">
        <f t="shared" si="53"/>
        <v>0</v>
      </c>
      <c r="Y115" s="41">
        <f t="shared" si="53"/>
        <v>0</v>
      </c>
      <c r="Z115" s="41">
        <f>Z70+Z76+Z79+Z82+Z90+Z95+Z98+Z101+Z104+Z107+Z110+Z113</f>
        <v>0</v>
      </c>
      <c r="AA115" s="43">
        <f>SUM(G115:Z115)</f>
        <v>2205517586.4321995</v>
      </c>
      <c r="AB115" s="37" t="str">
        <f>IF(ABS(F115-AA115)&lt;0.01,"ok","err")</f>
        <v>ok</v>
      </c>
    </row>
    <row r="116" spans="1:28">
      <c r="A116" s="44" t="s">
        <v>1208</v>
      </c>
    </row>
    <row r="118" spans="1:28">
      <c r="A118" s="44" t="s">
        <v>384</v>
      </c>
    </row>
    <row r="119" spans="1:28">
      <c r="A119" s="45" t="s">
        <v>376</v>
      </c>
      <c r="C119" s="39" t="s">
        <v>1088</v>
      </c>
      <c r="D119" s="39" t="s">
        <v>443</v>
      </c>
      <c r="E119" s="39" t="s">
        <v>939</v>
      </c>
      <c r="F119" s="57">
        <f>VLOOKUP(C119,'Functional Assignment'!$C$2:$AP$725,'Functional Assignment'!$H$2,)</f>
        <v>407601400.47975105</v>
      </c>
      <c r="G119" s="57">
        <f t="shared" ref="G119:P124" si="54">IF(VLOOKUP($E119,$D$6:$AN$1197,3,)=0,0,(VLOOKUP($E119,$D$6:$AN$1197,G$2,)/VLOOKUP($E119,$D$6:$AN$1197,3,))*$F119)</f>
        <v>149008537.43725738</v>
      </c>
      <c r="H119" s="57">
        <f t="shared" si="54"/>
        <v>49147743.023622923</v>
      </c>
      <c r="I119" s="57">
        <f t="shared" si="54"/>
        <v>8044012.4146124693</v>
      </c>
      <c r="J119" s="57">
        <f t="shared" si="54"/>
        <v>81949560.266630664</v>
      </c>
      <c r="K119" s="57">
        <f t="shared" si="54"/>
        <v>65902097.905269392</v>
      </c>
      <c r="L119" s="57">
        <f t="shared" si="54"/>
        <v>22281506.434363768</v>
      </c>
      <c r="M119" s="57">
        <f t="shared" si="54"/>
        <v>0</v>
      </c>
      <c r="N119" s="57">
        <f t="shared" si="54"/>
        <v>0</v>
      </c>
      <c r="O119" s="57">
        <f t="shared" si="54"/>
        <v>0</v>
      </c>
      <c r="P119" s="57">
        <f t="shared" si="54"/>
        <v>17841612.797942191</v>
      </c>
      <c r="Q119" s="57">
        <f t="shared" ref="Q119:Z124" si="55">IF(VLOOKUP($E119,$D$6:$AN$1197,3,)=0,0,(VLOOKUP($E119,$D$6:$AN$1197,Q$2,)/VLOOKUP($E119,$D$6:$AN$1197,3,))*$F119)</f>
        <v>7489574.7613326171</v>
      </c>
      <c r="R119" s="57">
        <f t="shared" si="55"/>
        <v>2012741.3172175954</v>
      </c>
      <c r="S119" s="57">
        <f t="shared" si="55"/>
        <v>3681877.1596576395</v>
      </c>
      <c r="T119" s="57">
        <f t="shared" si="55"/>
        <v>133088.09776954693</v>
      </c>
      <c r="U119" s="57">
        <f t="shared" si="55"/>
        <v>109048.86407481368</v>
      </c>
      <c r="V119" s="57">
        <f t="shared" si="55"/>
        <v>0</v>
      </c>
      <c r="W119" s="57">
        <f t="shared" si="55"/>
        <v>0</v>
      </c>
      <c r="X119" s="41">
        <f t="shared" si="55"/>
        <v>0</v>
      </c>
      <c r="Y119" s="41">
        <f t="shared" si="55"/>
        <v>0</v>
      </c>
      <c r="Z119" s="41">
        <f t="shared" si="55"/>
        <v>0</v>
      </c>
      <c r="AA119" s="43">
        <f t="shared" ref="AA119:AA125" si="56">SUM(G119:Z119)</f>
        <v>407601400.47975111</v>
      </c>
      <c r="AB119" s="37" t="str">
        <f t="shared" ref="AB119:AB125" si="57">IF(ABS(F119-AA119)&lt;0.01,"ok","err")</f>
        <v>ok</v>
      </c>
    </row>
    <row r="120" spans="1:28">
      <c r="A120" s="45" t="s">
        <v>1391</v>
      </c>
      <c r="C120" s="39" t="s">
        <v>1088</v>
      </c>
      <c r="D120" s="39" t="s">
        <v>444</v>
      </c>
      <c r="E120" s="39" t="s">
        <v>204</v>
      </c>
      <c r="F120" s="58">
        <f>VLOOKUP(C120,'Functional Assignment'!$C$2:$AP$725,'Functional Assignment'!$I$2,)</f>
        <v>384236770.5478574</v>
      </c>
      <c r="G120" s="58">
        <f t="shared" si="54"/>
        <v>154938257.44265822</v>
      </c>
      <c r="H120" s="58">
        <f t="shared" si="54"/>
        <v>61160336.727015883</v>
      </c>
      <c r="I120" s="58">
        <f t="shared" si="54"/>
        <v>6228349.1241601026</v>
      </c>
      <c r="J120" s="58">
        <f t="shared" si="54"/>
        <v>71726274.774569839</v>
      </c>
      <c r="K120" s="58">
        <f t="shared" si="54"/>
        <v>47186070.473863505</v>
      </c>
      <c r="L120" s="58">
        <f t="shared" si="54"/>
        <v>18024428.84926166</v>
      </c>
      <c r="M120" s="58">
        <f t="shared" si="54"/>
        <v>0</v>
      </c>
      <c r="N120" s="58">
        <f t="shared" si="54"/>
        <v>0</v>
      </c>
      <c r="O120" s="58">
        <f t="shared" si="54"/>
        <v>0</v>
      </c>
      <c r="P120" s="58">
        <f t="shared" si="54"/>
        <v>16702025.029718868</v>
      </c>
      <c r="Q120" s="58">
        <f t="shared" si="55"/>
        <v>6856765.3426182158</v>
      </c>
      <c r="R120" s="58">
        <f t="shared" si="55"/>
        <v>1327007.7166073411</v>
      </c>
      <c r="S120" s="58">
        <f t="shared" si="55"/>
        <v>0</v>
      </c>
      <c r="T120" s="58">
        <f t="shared" si="55"/>
        <v>2687.2636554919964</v>
      </c>
      <c r="U120" s="58">
        <f t="shared" si="55"/>
        <v>84567.803728291008</v>
      </c>
      <c r="V120" s="58">
        <f t="shared" si="55"/>
        <v>0</v>
      </c>
      <c r="W120" s="58">
        <f t="shared" si="55"/>
        <v>0</v>
      </c>
      <c r="X120" s="42">
        <f t="shared" si="55"/>
        <v>0</v>
      </c>
      <c r="Y120" s="42">
        <f t="shared" si="55"/>
        <v>0</v>
      </c>
      <c r="Z120" s="42">
        <f t="shared" si="55"/>
        <v>0</v>
      </c>
      <c r="AA120" s="42">
        <f t="shared" si="56"/>
        <v>384236770.5478574</v>
      </c>
      <c r="AB120" s="37" t="str">
        <f t="shared" si="57"/>
        <v>ok</v>
      </c>
    </row>
    <row r="121" spans="1:28">
      <c r="A121" s="45" t="s">
        <v>1392</v>
      </c>
      <c r="C121" s="39" t="s">
        <v>1088</v>
      </c>
      <c r="D121" s="39" t="s">
        <v>445</v>
      </c>
      <c r="E121" s="39" t="s">
        <v>207</v>
      </c>
      <c r="F121" s="58">
        <f>VLOOKUP(C121,'Functional Assignment'!$C$2:$AP$725,'Functional Assignment'!$J$2,)</f>
        <v>394613815.89233935</v>
      </c>
      <c r="G121" s="58">
        <f t="shared" si="54"/>
        <v>192677871.84460884</v>
      </c>
      <c r="H121" s="58">
        <f t="shared" si="54"/>
        <v>51578143.155983619</v>
      </c>
      <c r="I121" s="58">
        <f t="shared" si="54"/>
        <v>5785901.626147476</v>
      </c>
      <c r="J121" s="58">
        <f t="shared" si="54"/>
        <v>69004511.57330583</v>
      </c>
      <c r="K121" s="58">
        <f t="shared" si="54"/>
        <v>40756267.500770822</v>
      </c>
      <c r="L121" s="58">
        <f t="shared" si="54"/>
        <v>15562894.167457206</v>
      </c>
      <c r="M121" s="58">
        <f t="shared" si="54"/>
        <v>0</v>
      </c>
      <c r="N121" s="58">
        <f t="shared" si="54"/>
        <v>0</v>
      </c>
      <c r="O121" s="58">
        <f t="shared" si="54"/>
        <v>0</v>
      </c>
      <c r="P121" s="58">
        <f t="shared" si="54"/>
        <v>10409791.644956004</v>
      </c>
      <c r="Q121" s="58">
        <f t="shared" si="55"/>
        <v>7357899.0644423747</v>
      </c>
      <c r="R121" s="58">
        <f t="shared" si="55"/>
        <v>1421867.6917055682</v>
      </c>
      <c r="S121" s="58">
        <f t="shared" si="55"/>
        <v>0</v>
      </c>
      <c r="T121" s="58">
        <f t="shared" si="55"/>
        <v>3341.1752897465503</v>
      </c>
      <c r="U121" s="58">
        <f t="shared" si="55"/>
        <v>55326.44767179319</v>
      </c>
      <c r="V121" s="58">
        <f t="shared" si="55"/>
        <v>0</v>
      </c>
      <c r="W121" s="58">
        <f t="shared" si="55"/>
        <v>0</v>
      </c>
      <c r="X121" s="42">
        <f t="shared" si="55"/>
        <v>0</v>
      </c>
      <c r="Y121" s="42">
        <f t="shared" si="55"/>
        <v>0</v>
      </c>
      <c r="Z121" s="42">
        <f t="shared" si="55"/>
        <v>0</v>
      </c>
      <c r="AA121" s="42">
        <f t="shared" si="56"/>
        <v>394613815.89233929</v>
      </c>
      <c r="AB121" s="37" t="str">
        <f t="shared" si="57"/>
        <v>ok</v>
      </c>
    </row>
    <row r="122" spans="1:28">
      <c r="A122" s="45" t="s">
        <v>1393</v>
      </c>
      <c r="C122" s="39" t="s">
        <v>1088</v>
      </c>
      <c r="D122" s="39" t="s">
        <v>446</v>
      </c>
      <c r="E122" s="39" t="s">
        <v>1197</v>
      </c>
      <c r="F122" s="58">
        <f>VLOOKUP(C122,'Functional Assignment'!$C$2:$AP$725,'Functional Assignment'!$K$2,)</f>
        <v>55761560.788281642</v>
      </c>
      <c r="G122" s="58">
        <f t="shared" si="54"/>
        <v>20450212.014819715</v>
      </c>
      <c r="H122" s="58">
        <f t="shared" si="54"/>
        <v>6828473.8656259235</v>
      </c>
      <c r="I122" s="58">
        <f t="shared" si="54"/>
        <v>1113807.534617377</v>
      </c>
      <c r="J122" s="58">
        <f t="shared" si="54"/>
        <v>11225828.909734106</v>
      </c>
      <c r="K122" s="58">
        <f t="shared" si="54"/>
        <v>8991070.1644824781</v>
      </c>
      <c r="L122" s="58">
        <f t="shared" si="54"/>
        <v>2874938.00763204</v>
      </c>
      <c r="M122" s="58">
        <f t="shared" si="54"/>
        <v>0</v>
      </c>
      <c r="N122" s="58">
        <f t="shared" si="54"/>
        <v>0</v>
      </c>
      <c r="O122" s="58">
        <f t="shared" si="54"/>
        <v>0</v>
      </c>
      <c r="P122" s="58">
        <f t="shared" si="54"/>
        <v>2440806.7179305842</v>
      </c>
      <c r="Q122" s="58">
        <f t="shared" si="55"/>
        <v>1024604.7658716145</v>
      </c>
      <c r="R122" s="58">
        <f t="shared" si="55"/>
        <v>275351.51670082804</v>
      </c>
      <c r="S122" s="58">
        <f t="shared" si="55"/>
        <v>503696.01173838991</v>
      </c>
      <c r="T122" s="58">
        <f t="shared" si="55"/>
        <v>17852.794609555956</v>
      </c>
      <c r="U122" s="58">
        <f t="shared" si="55"/>
        <v>14918.48451903844</v>
      </c>
      <c r="V122" s="58">
        <f t="shared" si="55"/>
        <v>0</v>
      </c>
      <c r="W122" s="58">
        <f t="shared" si="55"/>
        <v>0</v>
      </c>
      <c r="X122" s="42">
        <f t="shared" si="55"/>
        <v>0</v>
      </c>
      <c r="Y122" s="42">
        <f t="shared" si="55"/>
        <v>0</v>
      </c>
      <c r="Z122" s="42">
        <f t="shared" si="55"/>
        <v>0</v>
      </c>
      <c r="AA122" s="42">
        <f t="shared" si="56"/>
        <v>55761560.788281649</v>
      </c>
      <c r="AB122" s="37" t="str">
        <f t="shared" si="57"/>
        <v>ok</v>
      </c>
    </row>
    <row r="123" spans="1:28">
      <c r="A123" s="45" t="s">
        <v>1394</v>
      </c>
      <c r="C123" s="39" t="s">
        <v>1088</v>
      </c>
      <c r="D123" s="39" t="s">
        <v>447</v>
      </c>
      <c r="E123" s="39" t="s">
        <v>1197</v>
      </c>
      <c r="F123" s="58">
        <f>VLOOKUP(C123,'Functional Assignment'!$C$2:$AP$725,'Functional Assignment'!$L$2,)</f>
        <v>0</v>
      </c>
      <c r="G123" s="58">
        <f t="shared" si="54"/>
        <v>0</v>
      </c>
      <c r="H123" s="58">
        <f t="shared" si="54"/>
        <v>0</v>
      </c>
      <c r="I123" s="58">
        <f t="shared" si="54"/>
        <v>0</v>
      </c>
      <c r="J123" s="58">
        <f t="shared" si="54"/>
        <v>0</v>
      </c>
      <c r="K123" s="58">
        <f t="shared" si="54"/>
        <v>0</v>
      </c>
      <c r="L123" s="58">
        <f t="shared" si="54"/>
        <v>0</v>
      </c>
      <c r="M123" s="58">
        <f t="shared" si="54"/>
        <v>0</v>
      </c>
      <c r="N123" s="58">
        <f t="shared" si="54"/>
        <v>0</v>
      </c>
      <c r="O123" s="58">
        <f t="shared" si="54"/>
        <v>0</v>
      </c>
      <c r="P123" s="58">
        <f t="shared" si="54"/>
        <v>0</v>
      </c>
      <c r="Q123" s="58">
        <f t="shared" si="55"/>
        <v>0</v>
      </c>
      <c r="R123" s="58">
        <f t="shared" si="55"/>
        <v>0</v>
      </c>
      <c r="S123" s="58">
        <f t="shared" si="55"/>
        <v>0</v>
      </c>
      <c r="T123" s="58">
        <f t="shared" si="55"/>
        <v>0</v>
      </c>
      <c r="U123" s="58">
        <f t="shared" si="55"/>
        <v>0</v>
      </c>
      <c r="V123" s="58">
        <f t="shared" si="55"/>
        <v>0</v>
      </c>
      <c r="W123" s="58">
        <f t="shared" si="55"/>
        <v>0</v>
      </c>
      <c r="X123" s="42">
        <f t="shared" si="55"/>
        <v>0</v>
      </c>
      <c r="Y123" s="42">
        <f t="shared" si="55"/>
        <v>0</v>
      </c>
      <c r="Z123" s="42">
        <f t="shared" si="55"/>
        <v>0</v>
      </c>
      <c r="AA123" s="42">
        <f t="shared" si="56"/>
        <v>0</v>
      </c>
      <c r="AB123" s="37" t="str">
        <f t="shared" si="57"/>
        <v>ok</v>
      </c>
    </row>
    <row r="124" spans="1:28">
      <c r="A124" s="45" t="s">
        <v>1394</v>
      </c>
      <c r="C124" s="39" t="s">
        <v>1088</v>
      </c>
      <c r="D124" s="39" t="s">
        <v>448</v>
      </c>
      <c r="E124" s="39" t="s">
        <v>1197</v>
      </c>
      <c r="F124" s="58">
        <f>VLOOKUP(C124,'Functional Assignment'!$C$2:$AP$725,'Functional Assignment'!$M$2,)</f>
        <v>0</v>
      </c>
      <c r="G124" s="58">
        <f t="shared" si="54"/>
        <v>0</v>
      </c>
      <c r="H124" s="58">
        <f t="shared" si="54"/>
        <v>0</v>
      </c>
      <c r="I124" s="58">
        <f t="shared" si="54"/>
        <v>0</v>
      </c>
      <c r="J124" s="58">
        <f t="shared" si="54"/>
        <v>0</v>
      </c>
      <c r="K124" s="58">
        <f t="shared" si="54"/>
        <v>0</v>
      </c>
      <c r="L124" s="58">
        <f t="shared" si="54"/>
        <v>0</v>
      </c>
      <c r="M124" s="58">
        <f t="shared" si="54"/>
        <v>0</v>
      </c>
      <c r="N124" s="58">
        <f t="shared" si="54"/>
        <v>0</v>
      </c>
      <c r="O124" s="58">
        <f t="shared" si="54"/>
        <v>0</v>
      </c>
      <c r="P124" s="58">
        <f t="shared" si="54"/>
        <v>0</v>
      </c>
      <c r="Q124" s="58">
        <f t="shared" si="55"/>
        <v>0</v>
      </c>
      <c r="R124" s="58">
        <f t="shared" si="55"/>
        <v>0</v>
      </c>
      <c r="S124" s="58">
        <f t="shared" si="55"/>
        <v>0</v>
      </c>
      <c r="T124" s="58">
        <f t="shared" si="55"/>
        <v>0</v>
      </c>
      <c r="U124" s="58">
        <f t="shared" si="55"/>
        <v>0</v>
      </c>
      <c r="V124" s="58">
        <f t="shared" si="55"/>
        <v>0</v>
      </c>
      <c r="W124" s="58">
        <f t="shared" si="55"/>
        <v>0</v>
      </c>
      <c r="X124" s="42">
        <f t="shared" si="55"/>
        <v>0</v>
      </c>
      <c r="Y124" s="42">
        <f t="shared" si="55"/>
        <v>0</v>
      </c>
      <c r="Z124" s="42">
        <f t="shared" si="55"/>
        <v>0</v>
      </c>
      <c r="AA124" s="42">
        <f t="shared" si="56"/>
        <v>0</v>
      </c>
      <c r="AB124" s="37" t="str">
        <f t="shared" si="57"/>
        <v>ok</v>
      </c>
    </row>
    <row r="125" spans="1:28">
      <c r="A125" s="39" t="s">
        <v>407</v>
      </c>
      <c r="D125" s="39" t="s">
        <v>1209</v>
      </c>
      <c r="F125" s="57">
        <f>SUM(F119:F124)</f>
        <v>1242213547.7082293</v>
      </c>
      <c r="G125" s="57">
        <f t="shared" ref="G125:P125" si="58">SUM(G119:G124)</f>
        <v>517074878.73934418</v>
      </c>
      <c r="H125" s="57">
        <f t="shared" si="58"/>
        <v>168714696.77224836</v>
      </c>
      <c r="I125" s="57">
        <f t="shared" si="58"/>
        <v>21172070.699537423</v>
      </c>
      <c r="J125" s="57">
        <f t="shared" si="58"/>
        <v>233906175.52424046</v>
      </c>
      <c r="K125" s="57">
        <f t="shared" si="58"/>
        <v>162835506.04438621</v>
      </c>
      <c r="L125" s="57">
        <f t="shared" si="58"/>
        <v>58743767.458714671</v>
      </c>
      <c r="M125" s="57">
        <f t="shared" si="58"/>
        <v>0</v>
      </c>
      <c r="N125" s="57">
        <f t="shared" si="58"/>
        <v>0</v>
      </c>
      <c r="O125" s="57">
        <f>SUM(O119:O124)</f>
        <v>0</v>
      </c>
      <c r="P125" s="57">
        <f t="shared" si="58"/>
        <v>47394236.190547645</v>
      </c>
      <c r="Q125" s="57">
        <f t="shared" ref="Q125:W125" si="59">SUM(Q119:Q124)</f>
        <v>22728843.93426482</v>
      </c>
      <c r="R125" s="57">
        <f t="shared" si="59"/>
        <v>5036968.2422313336</v>
      </c>
      <c r="S125" s="57">
        <f t="shared" si="59"/>
        <v>4185573.1713960292</v>
      </c>
      <c r="T125" s="57">
        <f t="shared" si="59"/>
        <v>156969.33132434142</v>
      </c>
      <c r="U125" s="57">
        <f t="shared" si="59"/>
        <v>263861.59999393631</v>
      </c>
      <c r="V125" s="57">
        <f t="shared" si="59"/>
        <v>0</v>
      </c>
      <c r="W125" s="57">
        <f t="shared" si="59"/>
        <v>0</v>
      </c>
      <c r="X125" s="41">
        <f>SUM(X119:X124)</f>
        <v>0</v>
      </c>
      <c r="Y125" s="41">
        <f>SUM(Y119:Y124)</f>
        <v>0</v>
      </c>
      <c r="Z125" s="41">
        <f>SUM(Z119:Z124)</f>
        <v>0</v>
      </c>
      <c r="AA125" s="43">
        <f t="shared" si="56"/>
        <v>1242213547.7082295</v>
      </c>
      <c r="AB125" s="37" t="str">
        <f t="shared" si="57"/>
        <v>ok</v>
      </c>
    </row>
    <row r="126" spans="1:28">
      <c r="F126" s="58"/>
      <c r="G126" s="58"/>
    </row>
    <row r="127" spans="1:28">
      <c r="A127" s="44" t="s">
        <v>1237</v>
      </c>
      <c r="F127" s="58"/>
      <c r="G127" s="58"/>
    </row>
    <row r="128" spans="1:28">
      <c r="A128" s="45" t="s">
        <v>377</v>
      </c>
      <c r="C128" s="39" t="s">
        <v>1088</v>
      </c>
      <c r="D128" s="39" t="s">
        <v>449</v>
      </c>
      <c r="E128" s="39" t="s">
        <v>939</v>
      </c>
      <c r="F128" s="57">
        <f>VLOOKUP(C128,'Functional Assignment'!$C$2:$AP$725,'Functional Assignment'!$N$2,)</f>
        <v>41811671.28128925</v>
      </c>
      <c r="G128" s="57">
        <f t="shared" ref="G128:P130" si="60">IF(VLOOKUP($E128,$D$6:$AN$1197,3,)=0,0,(VLOOKUP($E128,$D$6:$AN$1197,G$2,)/VLOOKUP($E128,$D$6:$AN$1197,3,))*$F128)</f>
        <v>15285266.385491231</v>
      </c>
      <c r="H128" s="57">
        <f t="shared" si="60"/>
        <v>5041565.7873164862</v>
      </c>
      <c r="I128" s="57">
        <f t="shared" si="60"/>
        <v>825153.20719339594</v>
      </c>
      <c r="J128" s="57">
        <f t="shared" si="60"/>
        <v>8406369.7315112259</v>
      </c>
      <c r="K128" s="57">
        <f t="shared" si="60"/>
        <v>6760224.207078876</v>
      </c>
      <c r="L128" s="57">
        <f t="shared" si="60"/>
        <v>2285632.5360732679</v>
      </c>
      <c r="M128" s="57">
        <f t="shared" si="60"/>
        <v>0</v>
      </c>
      <c r="N128" s="57">
        <f t="shared" si="60"/>
        <v>0</v>
      </c>
      <c r="O128" s="57">
        <f t="shared" si="60"/>
        <v>0</v>
      </c>
      <c r="P128" s="57">
        <f t="shared" si="60"/>
        <v>1830189.1224062701</v>
      </c>
      <c r="Q128" s="57">
        <f t="shared" ref="Q128:Z130" si="61">IF(VLOOKUP($E128,$D$6:$AN$1197,3,)=0,0,(VLOOKUP($E128,$D$6:$AN$1197,Q$2,)/VLOOKUP($E128,$D$6:$AN$1197,3,))*$F128)</f>
        <v>768279.10205631552</v>
      </c>
      <c r="R128" s="57">
        <f t="shared" si="61"/>
        <v>206466.60740301348</v>
      </c>
      <c r="S128" s="57">
        <f t="shared" si="61"/>
        <v>377686.23296312714</v>
      </c>
      <c r="T128" s="57">
        <f t="shared" si="61"/>
        <v>13652.150823924421</v>
      </c>
      <c r="U128" s="57">
        <f t="shared" si="61"/>
        <v>11186.210972110268</v>
      </c>
      <c r="V128" s="57">
        <f t="shared" si="61"/>
        <v>0</v>
      </c>
      <c r="W128" s="57">
        <f t="shared" si="61"/>
        <v>0</v>
      </c>
      <c r="X128" s="41">
        <f t="shared" si="61"/>
        <v>0</v>
      </c>
      <c r="Y128" s="41">
        <f t="shared" si="61"/>
        <v>0</v>
      </c>
      <c r="Z128" s="41">
        <f t="shared" si="61"/>
        <v>0</v>
      </c>
      <c r="AA128" s="43">
        <f>SUM(G128:Z128)</f>
        <v>41811671.281289235</v>
      </c>
      <c r="AB128" s="37" t="str">
        <f>IF(ABS(F128-AA128)&lt;0.01,"ok","err")</f>
        <v>ok</v>
      </c>
    </row>
    <row r="129" spans="1:28">
      <c r="A129" s="45" t="s">
        <v>379</v>
      </c>
      <c r="C129" s="39" t="s">
        <v>1088</v>
      </c>
      <c r="D129" s="39" t="s">
        <v>450</v>
      </c>
      <c r="E129" s="39" t="s">
        <v>204</v>
      </c>
      <c r="F129" s="58">
        <f>VLOOKUP(C129,'Functional Assignment'!$C$2:$AP$725,'Functional Assignment'!$O$2,)</f>
        <v>39414932.150433764</v>
      </c>
      <c r="G129" s="58">
        <f t="shared" si="60"/>
        <v>15893535.894290965</v>
      </c>
      <c r="H129" s="58">
        <f t="shared" si="60"/>
        <v>6273815.2804997219</v>
      </c>
      <c r="I129" s="58">
        <f t="shared" si="60"/>
        <v>638902.82491172396</v>
      </c>
      <c r="J129" s="58">
        <f t="shared" si="60"/>
        <v>7357667.1217907816</v>
      </c>
      <c r="K129" s="58">
        <f t="shared" si="60"/>
        <v>4840337.8040084532</v>
      </c>
      <c r="L129" s="58">
        <f t="shared" si="60"/>
        <v>1848942.3568988792</v>
      </c>
      <c r="M129" s="58">
        <f t="shared" si="60"/>
        <v>0</v>
      </c>
      <c r="N129" s="58">
        <f t="shared" si="60"/>
        <v>0</v>
      </c>
      <c r="O129" s="58">
        <f t="shared" si="60"/>
        <v>0</v>
      </c>
      <c r="P129" s="58">
        <f t="shared" si="60"/>
        <v>1713290.4338712217</v>
      </c>
      <c r="Q129" s="58">
        <f t="shared" si="61"/>
        <v>703365.63667604909</v>
      </c>
      <c r="R129" s="58">
        <f t="shared" si="61"/>
        <v>136124.18988063984</v>
      </c>
      <c r="S129" s="58">
        <f t="shared" si="61"/>
        <v>0</v>
      </c>
      <c r="T129" s="58">
        <f t="shared" si="61"/>
        <v>275.65897584586151</v>
      </c>
      <c r="U129" s="58">
        <f t="shared" si="61"/>
        <v>8674.9486294847702</v>
      </c>
      <c r="V129" s="58">
        <f t="shared" si="61"/>
        <v>0</v>
      </c>
      <c r="W129" s="58">
        <f t="shared" si="61"/>
        <v>0</v>
      </c>
      <c r="X129" s="42">
        <f t="shared" si="61"/>
        <v>0</v>
      </c>
      <c r="Y129" s="42">
        <f t="shared" si="61"/>
        <v>0</v>
      </c>
      <c r="Z129" s="42">
        <f t="shared" si="61"/>
        <v>0</v>
      </c>
      <c r="AA129" s="42">
        <f>SUM(G129:Z129)</f>
        <v>39414932.150433771</v>
      </c>
      <c r="AB129" s="37" t="str">
        <f>IF(ABS(F129-AA129)&lt;0.01,"ok","err")</f>
        <v>ok</v>
      </c>
    </row>
    <row r="130" spans="1:28">
      <c r="A130" s="45" t="s">
        <v>378</v>
      </c>
      <c r="C130" s="39" t="s">
        <v>1088</v>
      </c>
      <c r="D130" s="39" t="s">
        <v>451</v>
      </c>
      <c r="E130" s="39" t="s">
        <v>207</v>
      </c>
      <c r="F130" s="58">
        <f>VLOOKUP(C130,'Functional Assignment'!$C$2:$AP$725,'Functional Assignment'!$P$2,)</f>
        <v>40479407.415493786</v>
      </c>
      <c r="G130" s="58">
        <f t="shared" si="60"/>
        <v>19764858.097305235</v>
      </c>
      <c r="H130" s="58">
        <f t="shared" si="60"/>
        <v>5290875.7536136108</v>
      </c>
      <c r="I130" s="58">
        <f t="shared" si="60"/>
        <v>593516.64781724242</v>
      </c>
      <c r="J130" s="58">
        <f t="shared" si="60"/>
        <v>7078469.1893430194</v>
      </c>
      <c r="K130" s="58">
        <f t="shared" si="60"/>
        <v>4180769.8830003841</v>
      </c>
      <c r="L130" s="58">
        <f t="shared" si="60"/>
        <v>1596438.6146596191</v>
      </c>
      <c r="M130" s="58">
        <f t="shared" si="60"/>
        <v>0</v>
      </c>
      <c r="N130" s="58">
        <f t="shared" si="60"/>
        <v>0</v>
      </c>
      <c r="O130" s="58">
        <f t="shared" si="60"/>
        <v>0</v>
      </c>
      <c r="P130" s="58">
        <f t="shared" si="60"/>
        <v>1067834.3741049883</v>
      </c>
      <c r="Q130" s="58">
        <f t="shared" si="61"/>
        <v>754771.83503606135</v>
      </c>
      <c r="R130" s="58">
        <f t="shared" si="61"/>
        <v>145854.90741961313</v>
      </c>
      <c r="S130" s="58">
        <f t="shared" si="61"/>
        <v>0</v>
      </c>
      <c r="T130" s="58">
        <f t="shared" si="61"/>
        <v>342.7371023348316</v>
      </c>
      <c r="U130" s="58">
        <f t="shared" si="61"/>
        <v>5675.3760916711772</v>
      </c>
      <c r="V130" s="58">
        <f t="shared" si="61"/>
        <v>0</v>
      </c>
      <c r="W130" s="58">
        <f t="shared" si="61"/>
        <v>0</v>
      </c>
      <c r="X130" s="42">
        <f t="shared" si="61"/>
        <v>0</v>
      </c>
      <c r="Y130" s="42">
        <f t="shared" si="61"/>
        <v>0</v>
      </c>
      <c r="Z130" s="42">
        <f t="shared" si="61"/>
        <v>0</v>
      </c>
      <c r="AA130" s="42">
        <f>SUM(G130:Z130)</f>
        <v>40479407.415493794</v>
      </c>
      <c r="AB130" s="37" t="str">
        <f>IF(ABS(F130-AA130)&lt;0.01,"ok","err")</f>
        <v>ok</v>
      </c>
    </row>
    <row r="131" spans="1:28">
      <c r="A131" s="39" t="s">
        <v>1239</v>
      </c>
      <c r="D131" s="39" t="s">
        <v>452</v>
      </c>
      <c r="F131" s="57">
        <f>SUM(F128:F130)</f>
        <v>121706010.8472168</v>
      </c>
      <c r="G131" s="57">
        <f t="shared" ref="G131:W131" si="62">SUM(G128:G130)</f>
        <v>50943660.377087429</v>
      </c>
      <c r="H131" s="57">
        <f t="shared" si="62"/>
        <v>16606256.821429819</v>
      </c>
      <c r="I131" s="57">
        <f t="shared" si="62"/>
        <v>2057572.6799223623</v>
      </c>
      <c r="J131" s="57">
        <f t="shared" si="62"/>
        <v>22842506.042645026</v>
      </c>
      <c r="K131" s="57">
        <f t="shared" si="62"/>
        <v>15781331.894087713</v>
      </c>
      <c r="L131" s="57">
        <f t="shared" si="62"/>
        <v>5731013.5076317657</v>
      </c>
      <c r="M131" s="57">
        <f t="shared" si="62"/>
        <v>0</v>
      </c>
      <c r="N131" s="57">
        <f t="shared" si="62"/>
        <v>0</v>
      </c>
      <c r="O131" s="57">
        <f>SUM(O128:O130)</f>
        <v>0</v>
      </c>
      <c r="P131" s="57">
        <f t="shared" si="62"/>
        <v>4611313.9303824808</v>
      </c>
      <c r="Q131" s="57">
        <f t="shared" si="62"/>
        <v>2226416.5737684257</v>
      </c>
      <c r="R131" s="57">
        <f t="shared" si="62"/>
        <v>488445.70470326638</v>
      </c>
      <c r="S131" s="57">
        <f t="shared" si="62"/>
        <v>377686.23296312714</v>
      </c>
      <c r="T131" s="57">
        <f t="shared" si="62"/>
        <v>14270.546902105114</v>
      </c>
      <c r="U131" s="57">
        <f t="shared" si="62"/>
        <v>25536.535693266214</v>
      </c>
      <c r="V131" s="57">
        <f t="shared" si="62"/>
        <v>0</v>
      </c>
      <c r="W131" s="57">
        <f t="shared" si="62"/>
        <v>0</v>
      </c>
      <c r="X131" s="41">
        <f>SUM(X128:X130)</f>
        <v>0</v>
      </c>
      <c r="Y131" s="41">
        <f>SUM(Y128:Y130)</f>
        <v>0</v>
      </c>
      <c r="Z131" s="41">
        <f>SUM(Z128:Z130)</f>
        <v>0</v>
      </c>
      <c r="AA131" s="43">
        <f>SUM(G131:Z131)</f>
        <v>121706010.84721678</v>
      </c>
      <c r="AB131" s="37" t="str">
        <f>IF(ABS(F131-AA131)&lt;0.01,"ok","err")</f>
        <v>ok</v>
      </c>
    </row>
    <row r="132" spans="1:28">
      <c r="F132" s="58"/>
      <c r="G132" s="58"/>
    </row>
    <row r="133" spans="1:28">
      <c r="A133" s="44" t="s">
        <v>365</v>
      </c>
      <c r="F133" s="58"/>
      <c r="G133" s="58"/>
    </row>
    <row r="134" spans="1:28">
      <c r="A134" s="45" t="s">
        <v>392</v>
      </c>
      <c r="C134" s="39" t="s">
        <v>1088</v>
      </c>
      <c r="D134" s="39" t="s">
        <v>453</v>
      </c>
      <c r="E134" s="39" t="s">
        <v>1472</v>
      </c>
      <c r="F134" s="57">
        <f>VLOOKUP(C134,'Functional Assignment'!$C$2:$AP$725,'Functional Assignment'!$Q$2,)</f>
        <v>0</v>
      </c>
      <c r="G134" s="57">
        <f t="shared" ref="G134:Z134" si="63">IF(VLOOKUP($E134,$D$6:$AN$1197,3,)=0,0,(VLOOKUP($E134,$D$6:$AN$1197,G$2,)/VLOOKUP($E134,$D$6:$AN$1197,3,))*$F134)</f>
        <v>0</v>
      </c>
      <c r="H134" s="57">
        <f t="shared" si="63"/>
        <v>0</v>
      </c>
      <c r="I134" s="57">
        <f t="shared" si="63"/>
        <v>0</v>
      </c>
      <c r="J134" s="57">
        <f t="shared" si="63"/>
        <v>0</v>
      </c>
      <c r="K134" s="57">
        <f t="shared" si="63"/>
        <v>0</v>
      </c>
      <c r="L134" s="57">
        <f t="shared" si="63"/>
        <v>0</v>
      </c>
      <c r="M134" s="57">
        <f t="shared" si="63"/>
        <v>0</v>
      </c>
      <c r="N134" s="57">
        <f t="shared" si="63"/>
        <v>0</v>
      </c>
      <c r="O134" s="57">
        <f t="shared" si="63"/>
        <v>0</v>
      </c>
      <c r="P134" s="57">
        <f t="shared" si="63"/>
        <v>0</v>
      </c>
      <c r="Q134" s="57">
        <f t="shared" si="63"/>
        <v>0</v>
      </c>
      <c r="R134" s="57">
        <f t="shared" si="63"/>
        <v>0</v>
      </c>
      <c r="S134" s="57">
        <f t="shared" si="63"/>
        <v>0</v>
      </c>
      <c r="T134" s="57">
        <f t="shared" si="63"/>
        <v>0</v>
      </c>
      <c r="U134" s="57">
        <f t="shared" si="63"/>
        <v>0</v>
      </c>
      <c r="V134" s="57">
        <f t="shared" si="63"/>
        <v>0</v>
      </c>
      <c r="W134" s="57">
        <f t="shared" si="63"/>
        <v>0</v>
      </c>
      <c r="X134" s="41">
        <f t="shared" si="63"/>
        <v>0</v>
      </c>
      <c r="Y134" s="41">
        <f t="shared" si="63"/>
        <v>0</v>
      </c>
      <c r="Z134" s="41">
        <f t="shared" si="63"/>
        <v>0</v>
      </c>
      <c r="AA134" s="43">
        <f>SUM(G134:Z134)</f>
        <v>0</v>
      </c>
      <c r="AB134" s="37" t="str">
        <f>IF(ABS(F134-AA134)&lt;0.01,"ok","err")</f>
        <v>ok</v>
      </c>
    </row>
    <row r="135" spans="1:28">
      <c r="F135" s="58"/>
    </row>
    <row r="136" spans="1:28">
      <c r="A136" s="44" t="s">
        <v>366</v>
      </c>
      <c r="F136" s="58"/>
      <c r="G136" s="58"/>
    </row>
    <row r="137" spans="1:28">
      <c r="A137" s="45" t="s">
        <v>394</v>
      </c>
      <c r="C137" s="39" t="s">
        <v>1088</v>
      </c>
      <c r="D137" s="39" t="s">
        <v>454</v>
      </c>
      <c r="E137" s="39" t="s">
        <v>1471</v>
      </c>
      <c r="F137" s="57">
        <f>VLOOKUP(C137,'Functional Assignment'!$C$2:$AP$725,'Functional Assignment'!$R$2,)</f>
        <v>60883654.87140166</v>
      </c>
      <c r="G137" s="57">
        <f t="shared" ref="G137:Z137" si="64">IF(VLOOKUP($E137,$D$6:$AN$1197,3,)=0,0,(VLOOKUP($E137,$D$6:$AN$1197,G$2,)/VLOOKUP($E137,$D$6:$AN$1197,3,))*$F137)</f>
        <v>29209190.854843207</v>
      </c>
      <c r="H137" s="57">
        <f t="shared" si="64"/>
        <v>8286689.9061441487</v>
      </c>
      <c r="I137" s="57">
        <f t="shared" si="64"/>
        <v>863599.20409999834</v>
      </c>
      <c r="J137" s="57">
        <f t="shared" si="64"/>
        <v>10103321.915452864</v>
      </c>
      <c r="K137" s="57">
        <f t="shared" si="64"/>
        <v>8085052.0264013428</v>
      </c>
      <c r="L137" s="57">
        <f t="shared" si="64"/>
        <v>2422372.2163093467</v>
      </c>
      <c r="M137" s="57">
        <f t="shared" si="64"/>
        <v>0</v>
      </c>
      <c r="N137" s="57">
        <f t="shared" si="64"/>
        <v>0</v>
      </c>
      <c r="O137" s="57">
        <f t="shared" si="64"/>
        <v>0</v>
      </c>
      <c r="P137" s="57">
        <f t="shared" si="64"/>
        <v>0</v>
      </c>
      <c r="Q137" s="57">
        <f t="shared" si="64"/>
        <v>1132525.5697187015</v>
      </c>
      <c r="R137" s="57">
        <f t="shared" si="64"/>
        <v>255706.89529795566</v>
      </c>
      <c r="S137" s="57">
        <f t="shared" si="64"/>
        <v>499815.90106056293</v>
      </c>
      <c r="T137" s="57">
        <f t="shared" si="64"/>
        <v>17988.183878716747</v>
      </c>
      <c r="U137" s="57">
        <f t="shared" si="64"/>
        <v>7392.1981948140701</v>
      </c>
      <c r="V137" s="57">
        <f t="shared" si="64"/>
        <v>0</v>
      </c>
      <c r="W137" s="57">
        <f t="shared" si="64"/>
        <v>0</v>
      </c>
      <c r="X137" s="41">
        <f t="shared" si="64"/>
        <v>0</v>
      </c>
      <c r="Y137" s="41">
        <f t="shared" si="64"/>
        <v>0</v>
      </c>
      <c r="Z137" s="41">
        <f t="shared" si="64"/>
        <v>0</v>
      </c>
      <c r="AA137" s="43">
        <f>SUM(G137:Z137)</f>
        <v>60883654.871401668</v>
      </c>
      <c r="AB137" s="37" t="str">
        <f>IF(ABS(F137-AA137)&lt;0.01,"ok","err")</f>
        <v>ok</v>
      </c>
    </row>
    <row r="138" spans="1:28">
      <c r="F138" s="58"/>
    </row>
    <row r="139" spans="1:28">
      <c r="A139" s="44" t="s">
        <v>393</v>
      </c>
      <c r="F139" s="58"/>
    </row>
    <row r="140" spans="1:28">
      <c r="A140" s="45" t="s">
        <v>644</v>
      </c>
      <c r="C140" s="39" t="s">
        <v>1088</v>
      </c>
      <c r="D140" s="39" t="s">
        <v>455</v>
      </c>
      <c r="E140" s="39" t="s">
        <v>1472</v>
      </c>
      <c r="F140" s="57">
        <f>VLOOKUP(C140,'Functional Assignment'!$C$2:$AP$725,'Functional Assignment'!$S$2,)</f>
        <v>0</v>
      </c>
      <c r="G140" s="57">
        <f t="shared" ref="G140:P144" si="65">IF(VLOOKUP($E140,$D$6:$AN$1197,3,)=0,0,(VLOOKUP($E140,$D$6:$AN$1197,G$2,)/VLOOKUP($E140,$D$6:$AN$1197,3,))*$F140)</f>
        <v>0</v>
      </c>
      <c r="H140" s="57">
        <f t="shared" si="65"/>
        <v>0</v>
      </c>
      <c r="I140" s="57">
        <f t="shared" si="65"/>
        <v>0</v>
      </c>
      <c r="J140" s="57">
        <f t="shared" si="65"/>
        <v>0</v>
      </c>
      <c r="K140" s="57">
        <f t="shared" si="65"/>
        <v>0</v>
      </c>
      <c r="L140" s="57">
        <f t="shared" si="65"/>
        <v>0</v>
      </c>
      <c r="M140" s="57">
        <f t="shared" si="65"/>
        <v>0</v>
      </c>
      <c r="N140" s="57">
        <f t="shared" si="65"/>
        <v>0</v>
      </c>
      <c r="O140" s="57">
        <f t="shared" si="65"/>
        <v>0</v>
      </c>
      <c r="P140" s="57">
        <f t="shared" si="65"/>
        <v>0</v>
      </c>
      <c r="Q140" s="57">
        <f t="shared" ref="Q140:Z144" si="66">IF(VLOOKUP($E140,$D$6:$AN$1197,3,)=0,0,(VLOOKUP($E140,$D$6:$AN$1197,Q$2,)/VLOOKUP($E140,$D$6:$AN$1197,3,))*$F140)</f>
        <v>0</v>
      </c>
      <c r="R140" s="57">
        <f t="shared" si="66"/>
        <v>0</v>
      </c>
      <c r="S140" s="57">
        <f t="shared" si="66"/>
        <v>0</v>
      </c>
      <c r="T140" s="57">
        <f t="shared" si="66"/>
        <v>0</v>
      </c>
      <c r="U140" s="57">
        <f t="shared" si="66"/>
        <v>0</v>
      </c>
      <c r="V140" s="57">
        <f t="shared" si="66"/>
        <v>0</v>
      </c>
      <c r="W140" s="57">
        <f t="shared" si="66"/>
        <v>0</v>
      </c>
      <c r="X140" s="41">
        <f t="shared" si="66"/>
        <v>0</v>
      </c>
      <c r="Y140" s="41">
        <f t="shared" si="66"/>
        <v>0</v>
      </c>
      <c r="Z140" s="41">
        <f t="shared" si="66"/>
        <v>0</v>
      </c>
      <c r="AA140" s="43">
        <f t="shared" ref="AA140:AA145" si="67">SUM(G140:Z140)</f>
        <v>0</v>
      </c>
      <c r="AB140" s="37" t="str">
        <f t="shared" ref="AB140:AB145" si="68">IF(ABS(F140-AA140)&lt;0.01,"ok","err")</f>
        <v>ok</v>
      </c>
    </row>
    <row r="141" spans="1:28">
      <c r="A141" s="45" t="s">
        <v>645</v>
      </c>
      <c r="C141" s="39" t="s">
        <v>1088</v>
      </c>
      <c r="D141" s="39" t="s">
        <v>456</v>
      </c>
      <c r="E141" s="39" t="s">
        <v>1472</v>
      </c>
      <c r="F141" s="58">
        <f>VLOOKUP(C141,'Functional Assignment'!$C$2:$AP$725,'Functional Assignment'!$T$2,)</f>
        <v>93915264.403267652</v>
      </c>
      <c r="G141" s="58">
        <f t="shared" si="65"/>
        <v>45056245.193102576</v>
      </c>
      <c r="H141" s="58">
        <f t="shared" si="65"/>
        <v>12782522.258350423</v>
      </c>
      <c r="I141" s="58">
        <f t="shared" si="65"/>
        <v>1332133.357677245</v>
      </c>
      <c r="J141" s="58">
        <f t="shared" si="65"/>
        <v>15584743.57436748</v>
      </c>
      <c r="K141" s="58">
        <f t="shared" si="65"/>
        <v>12471488.454125656</v>
      </c>
      <c r="L141" s="58">
        <f t="shared" si="65"/>
        <v>3736597.7397109619</v>
      </c>
      <c r="M141" s="58">
        <f t="shared" si="65"/>
        <v>0</v>
      </c>
      <c r="N141" s="58">
        <f t="shared" si="65"/>
        <v>0</v>
      </c>
      <c r="O141" s="58">
        <f t="shared" si="65"/>
        <v>0</v>
      </c>
      <c r="P141" s="58">
        <f t="shared" si="65"/>
        <v>0</v>
      </c>
      <c r="Q141" s="58">
        <f t="shared" si="66"/>
        <v>1746962.1123805658</v>
      </c>
      <c r="R141" s="58">
        <f t="shared" si="66"/>
        <v>394437.23824350163</v>
      </c>
      <c r="S141" s="58">
        <f t="shared" si="66"/>
        <v>770984.30769649975</v>
      </c>
      <c r="T141" s="58">
        <f t="shared" si="66"/>
        <v>27747.431534334686</v>
      </c>
      <c r="U141" s="58">
        <f t="shared" si="66"/>
        <v>11402.736078405513</v>
      </c>
      <c r="V141" s="58">
        <f t="shared" si="66"/>
        <v>0</v>
      </c>
      <c r="W141" s="58">
        <f t="shared" si="66"/>
        <v>0</v>
      </c>
      <c r="X141" s="42">
        <f t="shared" si="66"/>
        <v>0</v>
      </c>
      <c r="Y141" s="42">
        <f t="shared" si="66"/>
        <v>0</v>
      </c>
      <c r="Z141" s="42">
        <f t="shared" si="66"/>
        <v>0</v>
      </c>
      <c r="AA141" s="42">
        <f t="shared" si="67"/>
        <v>93915264.403267667</v>
      </c>
      <c r="AB141" s="37" t="str">
        <f t="shared" si="68"/>
        <v>ok</v>
      </c>
    </row>
    <row r="142" spans="1:28">
      <c r="A142" s="45" t="s">
        <v>646</v>
      </c>
      <c r="C142" s="39" t="s">
        <v>1088</v>
      </c>
      <c r="D142" s="39" t="s">
        <v>457</v>
      </c>
      <c r="E142" s="39" t="s">
        <v>987</v>
      </c>
      <c r="F142" s="58">
        <f>VLOOKUP(C142,'Functional Assignment'!$C$2:$AP$725,'Functional Assignment'!$U$2,)</f>
        <v>153262647.28720188</v>
      </c>
      <c r="G142" s="58">
        <f t="shared" si="65"/>
        <v>132131985.23453657</v>
      </c>
      <c r="H142" s="58">
        <f t="shared" si="65"/>
        <v>16611263.603120008</v>
      </c>
      <c r="I142" s="58">
        <f t="shared" si="65"/>
        <v>31853.932370735023</v>
      </c>
      <c r="J142" s="58">
        <f t="shared" si="65"/>
        <v>1086406.4699148333</v>
      </c>
      <c r="K142" s="58">
        <f t="shared" si="65"/>
        <v>35226.701680577557</v>
      </c>
      <c r="L142" s="58">
        <f t="shared" si="65"/>
        <v>58836.086849475272</v>
      </c>
      <c r="M142" s="58">
        <f t="shared" si="65"/>
        <v>0</v>
      </c>
      <c r="N142" s="58">
        <f t="shared" si="65"/>
        <v>0</v>
      </c>
      <c r="O142" s="58">
        <f t="shared" si="65"/>
        <v>0</v>
      </c>
      <c r="P142" s="58">
        <f t="shared" si="65"/>
        <v>0</v>
      </c>
      <c r="Q142" s="58">
        <f t="shared" si="66"/>
        <v>374.7521455380591</v>
      </c>
      <c r="R142" s="58">
        <f t="shared" si="66"/>
        <v>749.50429107611819</v>
      </c>
      <c r="S142" s="58">
        <f t="shared" si="66"/>
        <v>3261318.0217595133</v>
      </c>
      <c r="T142" s="58">
        <f t="shared" si="66"/>
        <v>6483.2121178084217</v>
      </c>
      <c r="U142" s="58">
        <f t="shared" si="66"/>
        <v>38149.768415774415</v>
      </c>
      <c r="V142" s="58">
        <f t="shared" si="66"/>
        <v>0</v>
      </c>
      <c r="W142" s="58">
        <f t="shared" si="66"/>
        <v>0</v>
      </c>
      <c r="X142" s="42">
        <f t="shared" si="66"/>
        <v>0</v>
      </c>
      <c r="Y142" s="42">
        <f t="shared" si="66"/>
        <v>0</v>
      </c>
      <c r="Z142" s="42">
        <f t="shared" si="66"/>
        <v>0</v>
      </c>
      <c r="AA142" s="42">
        <f t="shared" si="67"/>
        <v>153262647.28720191</v>
      </c>
      <c r="AB142" s="37" t="str">
        <f t="shared" si="68"/>
        <v>ok</v>
      </c>
    </row>
    <row r="143" spans="1:28">
      <c r="A143" s="45" t="s">
        <v>647</v>
      </c>
      <c r="C143" s="39" t="s">
        <v>1088</v>
      </c>
      <c r="D143" s="39" t="s">
        <v>458</v>
      </c>
      <c r="E143" s="39" t="s">
        <v>711</v>
      </c>
      <c r="F143" s="58">
        <f>VLOOKUP(C143,'Functional Assignment'!$C$2:$AP$725,'Functional Assignment'!$V$2,)</f>
        <v>31305088.134422526</v>
      </c>
      <c r="G143" s="58">
        <f t="shared" si="65"/>
        <v>21666266.280759484</v>
      </c>
      <c r="H143" s="58">
        <f t="shared" si="65"/>
        <v>4176289.885705296</v>
      </c>
      <c r="I143" s="58">
        <f t="shared" si="65"/>
        <v>0</v>
      </c>
      <c r="J143" s="58">
        <f t="shared" si="65"/>
        <v>4163560.9333478026</v>
      </c>
      <c r="K143" s="58">
        <f t="shared" si="65"/>
        <v>0</v>
      </c>
      <c r="L143" s="58">
        <f t="shared" si="65"/>
        <v>1117219.5849924148</v>
      </c>
      <c r="M143" s="58">
        <f t="shared" si="65"/>
        <v>0</v>
      </c>
      <c r="N143" s="58">
        <f t="shared" si="65"/>
        <v>0</v>
      </c>
      <c r="O143" s="58">
        <f t="shared" si="65"/>
        <v>0</v>
      </c>
      <c r="P143" s="58">
        <f t="shared" si="65"/>
        <v>0</v>
      </c>
      <c r="Q143" s="58">
        <f t="shared" si="66"/>
        <v>0</v>
      </c>
      <c r="R143" s="58">
        <f t="shared" si="66"/>
        <v>0</v>
      </c>
      <c r="S143" s="58">
        <f t="shared" si="66"/>
        <v>172777.24932546701</v>
      </c>
      <c r="T143" s="58">
        <f t="shared" si="66"/>
        <v>6418.8520771352833</v>
      </c>
      <c r="U143" s="58">
        <f t="shared" si="66"/>
        <v>2555.3482149298379</v>
      </c>
      <c r="V143" s="58">
        <f t="shared" si="66"/>
        <v>0</v>
      </c>
      <c r="W143" s="58">
        <f t="shared" si="66"/>
        <v>0</v>
      </c>
      <c r="X143" s="42">
        <f t="shared" si="66"/>
        <v>0</v>
      </c>
      <c r="Y143" s="42">
        <f t="shared" si="66"/>
        <v>0</v>
      </c>
      <c r="Z143" s="42">
        <f t="shared" si="66"/>
        <v>0</v>
      </c>
      <c r="AA143" s="42">
        <f t="shared" si="67"/>
        <v>31305088.134422526</v>
      </c>
      <c r="AB143" s="37" t="str">
        <f t="shared" si="68"/>
        <v>ok</v>
      </c>
    </row>
    <row r="144" spans="1:28">
      <c r="A144" s="45" t="s">
        <v>648</v>
      </c>
      <c r="C144" s="39" t="s">
        <v>1088</v>
      </c>
      <c r="D144" s="39" t="s">
        <v>459</v>
      </c>
      <c r="E144" s="39" t="s">
        <v>986</v>
      </c>
      <c r="F144" s="58">
        <f>VLOOKUP(C144,'Functional Assignment'!$C$2:$AP$725,'Functional Assignment'!$W$2,)</f>
        <v>51087549.095733956</v>
      </c>
      <c r="G144" s="58">
        <f t="shared" si="65"/>
        <v>44063604.248158909</v>
      </c>
      <c r="H144" s="58">
        <f t="shared" si="65"/>
        <v>5539553.0777086141</v>
      </c>
      <c r="I144" s="58">
        <f t="shared" si="65"/>
        <v>0</v>
      </c>
      <c r="J144" s="58">
        <f t="shared" si="65"/>
        <v>362296.71913272736</v>
      </c>
      <c r="K144" s="58">
        <f t="shared" si="65"/>
        <v>0</v>
      </c>
      <c r="L144" s="58">
        <f t="shared" si="65"/>
        <v>19620.760573935218</v>
      </c>
      <c r="M144" s="58">
        <f t="shared" si="65"/>
        <v>0</v>
      </c>
      <c r="N144" s="58">
        <f t="shared" si="65"/>
        <v>0</v>
      </c>
      <c r="O144" s="58">
        <f t="shared" si="65"/>
        <v>0</v>
      </c>
      <c r="P144" s="58">
        <f t="shared" si="65"/>
        <v>0</v>
      </c>
      <c r="Q144" s="58">
        <f t="shared" si="66"/>
        <v>0</v>
      </c>
      <c r="R144" s="58">
        <f t="shared" si="66"/>
        <v>0</v>
      </c>
      <c r="S144" s="58">
        <f t="shared" si="66"/>
        <v>1087590.0061829849</v>
      </c>
      <c r="T144" s="58">
        <f t="shared" si="66"/>
        <v>2162.0328530514603</v>
      </c>
      <c r="U144" s="58">
        <f t="shared" si="66"/>
        <v>12722.25112373634</v>
      </c>
      <c r="V144" s="58">
        <f t="shared" si="66"/>
        <v>0</v>
      </c>
      <c r="W144" s="58">
        <f t="shared" si="66"/>
        <v>0</v>
      </c>
      <c r="X144" s="42">
        <f t="shared" si="66"/>
        <v>0</v>
      </c>
      <c r="Y144" s="42">
        <f t="shared" si="66"/>
        <v>0</v>
      </c>
      <c r="Z144" s="42">
        <f t="shared" si="66"/>
        <v>0</v>
      </c>
      <c r="AA144" s="42">
        <f t="shared" si="67"/>
        <v>51087549.095733963</v>
      </c>
      <c r="AB144" s="37" t="str">
        <f t="shared" si="68"/>
        <v>ok</v>
      </c>
    </row>
    <row r="145" spans="1:28">
      <c r="A145" s="39" t="s">
        <v>398</v>
      </c>
      <c r="D145" s="39" t="s">
        <v>460</v>
      </c>
      <c r="F145" s="57">
        <f>SUM(F140:F144)</f>
        <v>329570548.92062598</v>
      </c>
      <c r="G145" s="57">
        <f t="shared" ref="G145:W145" si="69">SUM(G140:G144)</f>
        <v>242918100.95655754</v>
      </c>
      <c r="H145" s="57">
        <f t="shared" si="69"/>
        <v>39109628.82488434</v>
      </c>
      <c r="I145" s="57">
        <f t="shared" si="69"/>
        <v>1363987.2900479801</v>
      </c>
      <c r="J145" s="57">
        <f t="shared" si="69"/>
        <v>21197007.696762845</v>
      </c>
      <c r="K145" s="57">
        <f t="shared" si="69"/>
        <v>12506715.155806234</v>
      </c>
      <c r="L145" s="57">
        <f t="shared" si="69"/>
        <v>4932274.1721267868</v>
      </c>
      <c r="M145" s="57">
        <f t="shared" si="69"/>
        <v>0</v>
      </c>
      <c r="N145" s="57">
        <f t="shared" si="69"/>
        <v>0</v>
      </c>
      <c r="O145" s="57">
        <f>SUM(O140:O144)</f>
        <v>0</v>
      </c>
      <c r="P145" s="57">
        <f t="shared" si="69"/>
        <v>0</v>
      </c>
      <c r="Q145" s="57">
        <f t="shared" si="69"/>
        <v>1747336.8645261039</v>
      </c>
      <c r="R145" s="57">
        <f t="shared" si="69"/>
        <v>395186.74253457773</v>
      </c>
      <c r="S145" s="57">
        <f t="shared" si="69"/>
        <v>5292669.5849644653</v>
      </c>
      <c r="T145" s="57">
        <f t="shared" si="69"/>
        <v>42811.528582329855</v>
      </c>
      <c r="U145" s="57">
        <f t="shared" si="69"/>
        <v>64830.1038328461</v>
      </c>
      <c r="V145" s="57">
        <f t="shared" si="69"/>
        <v>0</v>
      </c>
      <c r="W145" s="57">
        <f t="shared" si="69"/>
        <v>0</v>
      </c>
      <c r="X145" s="41">
        <f>SUM(X140:X144)</f>
        <v>0</v>
      </c>
      <c r="Y145" s="41">
        <f>SUM(Y140:Y144)</f>
        <v>0</v>
      </c>
      <c r="Z145" s="41">
        <f>SUM(Z140:Z144)</f>
        <v>0</v>
      </c>
      <c r="AA145" s="43">
        <f t="shared" si="67"/>
        <v>329570548.92062604</v>
      </c>
      <c r="AB145" s="37" t="str">
        <f t="shared" si="68"/>
        <v>ok</v>
      </c>
    </row>
    <row r="146" spans="1:28">
      <c r="F146" s="58"/>
    </row>
    <row r="147" spans="1:28">
      <c r="A147" s="44" t="s">
        <v>666</v>
      </c>
      <c r="F147" s="58"/>
    </row>
    <row r="148" spans="1:28">
      <c r="A148" s="45" t="s">
        <v>1196</v>
      </c>
      <c r="C148" s="39" t="s">
        <v>1088</v>
      </c>
      <c r="D148" s="39" t="s">
        <v>461</v>
      </c>
      <c r="E148" s="39" t="s">
        <v>711</v>
      </c>
      <c r="F148" s="57">
        <f>VLOOKUP(C148,'Functional Assignment'!$C$2:$AP$725,'Functional Assignment'!$X$2,)</f>
        <v>43329311.930967972</v>
      </c>
      <c r="G148" s="57">
        <f t="shared" ref="G148:P149" si="70">IF(VLOOKUP($E148,$D$6:$AN$1197,3,)=0,0,(VLOOKUP($E148,$D$6:$AN$1197,G$2,)/VLOOKUP($E148,$D$6:$AN$1197,3,))*$F148)</f>
        <v>29988237.248441737</v>
      </c>
      <c r="H148" s="57">
        <f t="shared" si="70"/>
        <v>5780394.7522797603</v>
      </c>
      <c r="I148" s="57">
        <f t="shared" si="70"/>
        <v>0</v>
      </c>
      <c r="J148" s="57">
        <f t="shared" si="70"/>
        <v>5762776.6339443643</v>
      </c>
      <c r="K148" s="57">
        <f t="shared" si="70"/>
        <v>0</v>
      </c>
      <c r="L148" s="57">
        <f t="shared" si="70"/>
        <v>1546341.4664625698</v>
      </c>
      <c r="M148" s="57">
        <f t="shared" si="70"/>
        <v>0</v>
      </c>
      <c r="N148" s="57">
        <f t="shared" si="70"/>
        <v>0</v>
      </c>
      <c r="O148" s="57">
        <f t="shared" si="70"/>
        <v>0</v>
      </c>
      <c r="P148" s="57">
        <f t="shared" si="70"/>
        <v>0</v>
      </c>
      <c r="Q148" s="57">
        <f t="shared" ref="Q148:Z149" si="71">IF(VLOOKUP($E148,$D$6:$AN$1197,3,)=0,0,(VLOOKUP($E148,$D$6:$AN$1197,Q$2,)/VLOOKUP($E148,$D$6:$AN$1197,3,))*$F148)</f>
        <v>0</v>
      </c>
      <c r="R148" s="57">
        <f t="shared" si="71"/>
        <v>0</v>
      </c>
      <c r="S148" s="57">
        <f t="shared" si="71"/>
        <v>239140.65657480009</v>
      </c>
      <c r="T148" s="57">
        <f t="shared" si="71"/>
        <v>8884.3207434741453</v>
      </c>
      <c r="U148" s="57">
        <f t="shared" si="71"/>
        <v>3536.8525212740014</v>
      </c>
      <c r="V148" s="57">
        <f t="shared" si="71"/>
        <v>0</v>
      </c>
      <c r="W148" s="57">
        <f t="shared" si="71"/>
        <v>0</v>
      </c>
      <c r="X148" s="41">
        <f t="shared" si="71"/>
        <v>0</v>
      </c>
      <c r="Y148" s="41">
        <f t="shared" si="71"/>
        <v>0</v>
      </c>
      <c r="Z148" s="41">
        <f t="shared" si="71"/>
        <v>0</v>
      </c>
      <c r="AA148" s="43">
        <f>SUM(G148:Z148)</f>
        <v>43329311.930967972</v>
      </c>
      <c r="AB148" s="37" t="str">
        <f>IF(ABS(F148-AA148)&lt;0.01,"ok","err")</f>
        <v>ok</v>
      </c>
    </row>
    <row r="149" spans="1:28">
      <c r="A149" s="45" t="s">
        <v>1199</v>
      </c>
      <c r="C149" s="39" t="s">
        <v>1088</v>
      </c>
      <c r="D149" s="39" t="s">
        <v>462</v>
      </c>
      <c r="E149" s="39" t="s">
        <v>986</v>
      </c>
      <c r="F149" s="58">
        <f>VLOOKUP(C149,'Functional Assignment'!$C$2:$AP$725,'Functional Assignment'!$Y$2,)</f>
        <v>34461194.22875908</v>
      </c>
      <c r="G149" s="58">
        <f t="shared" si="70"/>
        <v>29723180.134742036</v>
      </c>
      <c r="H149" s="58">
        <f t="shared" si="70"/>
        <v>3736715.0691395705</v>
      </c>
      <c r="I149" s="58">
        <f t="shared" si="70"/>
        <v>0</v>
      </c>
      <c r="J149" s="58">
        <f t="shared" si="70"/>
        <v>244387.87586147216</v>
      </c>
      <c r="K149" s="58">
        <f t="shared" si="70"/>
        <v>0</v>
      </c>
      <c r="L149" s="58">
        <f t="shared" si="70"/>
        <v>13235.217837271863</v>
      </c>
      <c r="M149" s="58">
        <f t="shared" si="70"/>
        <v>0</v>
      </c>
      <c r="N149" s="58">
        <f t="shared" si="70"/>
        <v>0</v>
      </c>
      <c r="O149" s="58">
        <f t="shared" si="70"/>
        <v>0</v>
      </c>
      <c r="P149" s="58">
        <f t="shared" si="70"/>
        <v>0</v>
      </c>
      <c r="Q149" s="58">
        <f t="shared" si="71"/>
        <v>0</v>
      </c>
      <c r="R149" s="58">
        <f t="shared" si="71"/>
        <v>0</v>
      </c>
      <c r="S149" s="58">
        <f t="shared" si="71"/>
        <v>733635.71178752941</v>
      </c>
      <c r="T149" s="58">
        <f t="shared" si="71"/>
        <v>1458.4029846165811</v>
      </c>
      <c r="U149" s="58">
        <f t="shared" si="71"/>
        <v>8581.8164065877427</v>
      </c>
      <c r="V149" s="58">
        <f t="shared" si="71"/>
        <v>0</v>
      </c>
      <c r="W149" s="58">
        <f t="shared" si="71"/>
        <v>0</v>
      </c>
      <c r="X149" s="42">
        <f t="shared" si="71"/>
        <v>0</v>
      </c>
      <c r="Y149" s="42">
        <f t="shared" si="71"/>
        <v>0</v>
      </c>
      <c r="Z149" s="42">
        <f t="shared" si="71"/>
        <v>0</v>
      </c>
      <c r="AA149" s="42">
        <f>SUM(G149:Z149)</f>
        <v>34461194.228759088</v>
      </c>
      <c r="AB149" s="37" t="str">
        <f>IF(ABS(F149-AA149)&lt;0.01,"ok","err")</f>
        <v>ok</v>
      </c>
    </row>
    <row r="150" spans="1:28">
      <c r="A150" s="39" t="s">
        <v>773</v>
      </c>
      <c r="D150" s="39" t="s">
        <v>463</v>
      </c>
      <c r="F150" s="57">
        <f>F148+F149</f>
        <v>77790506.159727052</v>
      </c>
      <c r="G150" s="57">
        <f t="shared" ref="G150:W150" si="72">G148+G149</f>
        <v>59711417.383183777</v>
      </c>
      <c r="H150" s="57">
        <f t="shared" si="72"/>
        <v>9517109.8214193303</v>
      </c>
      <c r="I150" s="57">
        <f t="shared" si="72"/>
        <v>0</v>
      </c>
      <c r="J150" s="57">
        <f t="shared" si="72"/>
        <v>6007164.5098058367</v>
      </c>
      <c r="K150" s="57">
        <f t="shared" si="72"/>
        <v>0</v>
      </c>
      <c r="L150" s="57">
        <f t="shared" si="72"/>
        <v>1559576.6842998415</v>
      </c>
      <c r="M150" s="57">
        <f t="shared" si="72"/>
        <v>0</v>
      </c>
      <c r="N150" s="57">
        <f t="shared" si="72"/>
        <v>0</v>
      </c>
      <c r="O150" s="57">
        <f>O148+O149</f>
        <v>0</v>
      </c>
      <c r="P150" s="57">
        <f t="shared" si="72"/>
        <v>0</v>
      </c>
      <c r="Q150" s="57">
        <f t="shared" si="72"/>
        <v>0</v>
      </c>
      <c r="R150" s="57">
        <f t="shared" si="72"/>
        <v>0</v>
      </c>
      <c r="S150" s="57">
        <f t="shared" si="72"/>
        <v>972776.36836232943</v>
      </c>
      <c r="T150" s="57">
        <f t="shared" si="72"/>
        <v>10342.723728090727</v>
      </c>
      <c r="U150" s="57">
        <f t="shared" si="72"/>
        <v>12118.668927861745</v>
      </c>
      <c r="V150" s="57">
        <f t="shared" si="72"/>
        <v>0</v>
      </c>
      <c r="W150" s="57">
        <f t="shared" si="72"/>
        <v>0</v>
      </c>
      <c r="X150" s="41">
        <f>X148+X149</f>
        <v>0</v>
      </c>
      <c r="Y150" s="41">
        <f>Y148+Y149</f>
        <v>0</v>
      </c>
      <c r="Z150" s="41">
        <f>Z148+Z149</f>
        <v>0</v>
      </c>
      <c r="AA150" s="43">
        <f>SUM(G150:Z150)</f>
        <v>77790506.159727067</v>
      </c>
      <c r="AB150" s="37" t="str">
        <f>IF(ABS(F150-AA150)&lt;0.01,"ok","err")</f>
        <v>ok</v>
      </c>
    </row>
    <row r="151" spans="1:28">
      <c r="F151" s="58"/>
    </row>
    <row r="152" spans="1:28">
      <c r="A152" s="44" t="s">
        <v>371</v>
      </c>
      <c r="F152" s="58"/>
    </row>
    <row r="153" spans="1:28">
      <c r="A153" s="45" t="s">
        <v>1199</v>
      </c>
      <c r="C153" s="39" t="s">
        <v>1088</v>
      </c>
      <c r="D153" s="39" t="s">
        <v>464</v>
      </c>
      <c r="E153" s="39" t="s">
        <v>1201</v>
      </c>
      <c r="F153" s="57">
        <f>VLOOKUP(C153,'Functional Assignment'!$C$2:$AP$725,'Functional Assignment'!$Z$2,)</f>
        <v>15769162.16812823</v>
      </c>
      <c r="G153" s="57">
        <f t="shared" ref="G153:Z153" si="73">IF(VLOOKUP($E153,$D$6:$AN$1197,3,)=0,0,(VLOOKUP($E153,$D$6:$AN$1197,G$2,)/VLOOKUP($E153,$D$6:$AN$1197,3,))*$F153)</f>
        <v>13044162.17218844</v>
      </c>
      <c r="H153" s="57">
        <f t="shared" si="73"/>
        <v>2178502.5238289554</v>
      </c>
      <c r="I153" s="57">
        <f t="shared" si="73"/>
        <v>0</v>
      </c>
      <c r="J153" s="57">
        <f t="shared" si="73"/>
        <v>465377.22070394008</v>
      </c>
      <c r="K153" s="57">
        <f t="shared" si="73"/>
        <v>0</v>
      </c>
      <c r="L153" s="57">
        <f t="shared" si="73"/>
        <v>37058.260264114055</v>
      </c>
      <c r="M153" s="57">
        <f t="shared" si="73"/>
        <v>0</v>
      </c>
      <c r="N153" s="57">
        <f t="shared" si="73"/>
        <v>0</v>
      </c>
      <c r="O153" s="57">
        <f t="shared" si="73"/>
        <v>0</v>
      </c>
      <c r="P153" s="57">
        <f t="shared" si="73"/>
        <v>0</v>
      </c>
      <c r="Q153" s="57">
        <f t="shared" si="73"/>
        <v>0</v>
      </c>
      <c r="R153" s="57">
        <f t="shared" si="73"/>
        <v>0</v>
      </c>
      <c r="S153" s="57">
        <f t="shared" si="73"/>
        <v>0</v>
      </c>
      <c r="T153" s="57">
        <f t="shared" si="73"/>
        <v>6400.272432998001</v>
      </c>
      <c r="U153" s="57">
        <f t="shared" si="73"/>
        <v>37661.718709780143</v>
      </c>
      <c r="V153" s="57">
        <f t="shared" si="73"/>
        <v>0</v>
      </c>
      <c r="W153" s="57">
        <f t="shared" si="73"/>
        <v>0</v>
      </c>
      <c r="X153" s="41">
        <f t="shared" si="73"/>
        <v>0</v>
      </c>
      <c r="Y153" s="41">
        <f t="shared" si="73"/>
        <v>0</v>
      </c>
      <c r="Z153" s="41">
        <f t="shared" si="73"/>
        <v>0</v>
      </c>
      <c r="AA153" s="43">
        <f>SUM(G153:Z153)</f>
        <v>15769162.168128228</v>
      </c>
      <c r="AB153" s="37" t="str">
        <f>IF(ABS(F153-AA153)&lt;0.01,"ok","err")</f>
        <v>ok</v>
      </c>
    </row>
    <row r="154" spans="1:28">
      <c r="F154" s="58"/>
    </row>
    <row r="155" spans="1:28">
      <c r="A155" s="44" t="s">
        <v>370</v>
      </c>
      <c r="F155" s="58"/>
    </row>
    <row r="156" spans="1:28">
      <c r="A156" s="45" t="s">
        <v>1199</v>
      </c>
      <c r="C156" s="39" t="s">
        <v>1088</v>
      </c>
      <c r="D156" s="39" t="s">
        <v>465</v>
      </c>
      <c r="E156" s="39" t="s">
        <v>1202</v>
      </c>
      <c r="F156" s="57">
        <f>VLOOKUP(C156,'Functional Assignment'!$C$2:$AP$725,'Functional Assignment'!$AA$2,)</f>
        <v>22612849.778681446</v>
      </c>
      <c r="G156" s="57">
        <f t="shared" ref="G156:Z156" si="74">IF(VLOOKUP($E156,$D$6:$AN$1197,3,)=0,0,(VLOOKUP($E156,$D$6:$AN$1197,G$2,)/VLOOKUP($E156,$D$6:$AN$1197,3,))*$F156)</f>
        <v>15826514.9258283</v>
      </c>
      <c r="H156" s="57">
        <f t="shared" si="74"/>
        <v>4700144.0269340137</v>
      </c>
      <c r="I156" s="57">
        <f t="shared" si="74"/>
        <v>214467.59155747091</v>
      </c>
      <c r="J156" s="57">
        <f t="shared" si="74"/>
        <v>1231454.3686751514</v>
      </c>
      <c r="K156" s="57">
        <f t="shared" si="74"/>
        <v>241348.96131294689</v>
      </c>
      <c r="L156" s="57">
        <f t="shared" si="74"/>
        <v>73985.322124872793</v>
      </c>
      <c r="M156" s="57">
        <f t="shared" si="74"/>
        <v>0</v>
      </c>
      <c r="N156" s="57">
        <f t="shared" si="74"/>
        <v>0</v>
      </c>
      <c r="O156" s="57">
        <f t="shared" si="74"/>
        <v>0</v>
      </c>
      <c r="P156" s="57">
        <f t="shared" si="74"/>
        <v>213301.04482615757</v>
      </c>
      <c r="Q156" s="57">
        <f t="shared" si="74"/>
        <v>19391.004075105233</v>
      </c>
      <c r="R156" s="57">
        <f t="shared" si="74"/>
        <v>38782.008150210466</v>
      </c>
      <c r="S156" s="57">
        <f t="shared" si="74"/>
        <v>0</v>
      </c>
      <c r="T156" s="57">
        <f t="shared" si="74"/>
        <v>7765.4667163047088</v>
      </c>
      <c r="U156" s="57">
        <f t="shared" si="74"/>
        <v>45695.058480914413</v>
      </c>
      <c r="V156" s="57">
        <f t="shared" si="74"/>
        <v>0</v>
      </c>
      <c r="W156" s="57">
        <f t="shared" si="74"/>
        <v>0</v>
      </c>
      <c r="X156" s="41">
        <f t="shared" si="74"/>
        <v>0</v>
      </c>
      <c r="Y156" s="41">
        <f t="shared" si="74"/>
        <v>0</v>
      </c>
      <c r="Z156" s="41">
        <f t="shared" si="74"/>
        <v>0</v>
      </c>
      <c r="AA156" s="43">
        <f>SUM(G156:Z156)</f>
        <v>22612849.778681442</v>
      </c>
      <c r="AB156" s="37" t="str">
        <f>IF(ABS(F156-AA156)&lt;0.01,"ok","err")</f>
        <v>ok</v>
      </c>
    </row>
    <row r="157" spans="1:28">
      <c r="F157" s="58"/>
    </row>
    <row r="158" spans="1:28">
      <c r="A158" s="44" t="s">
        <v>391</v>
      </c>
      <c r="F158" s="58"/>
    </row>
    <row r="159" spans="1:28">
      <c r="A159" s="45" t="s">
        <v>1199</v>
      </c>
      <c r="C159" s="39" t="s">
        <v>1088</v>
      </c>
      <c r="D159" s="39" t="s">
        <v>466</v>
      </c>
      <c r="E159" s="39" t="s">
        <v>983</v>
      </c>
      <c r="F159" s="57">
        <f>VLOOKUP(C159,'Functional Assignment'!$C$2:$AP$725,'Functional Assignment'!$AB$2,)</f>
        <v>46781186.076006979</v>
      </c>
      <c r="G159" s="57">
        <f t="shared" ref="G159:Z159" si="75">IF(VLOOKUP($E159,$D$6:$AN$1197,3,)=0,0,(VLOOKUP($E159,$D$6:$AN$1197,G$2,)/VLOOKUP($E159,$D$6:$AN$1197,3,))*$F159)</f>
        <v>0</v>
      </c>
      <c r="H159" s="57">
        <f t="shared" si="75"/>
        <v>0</v>
      </c>
      <c r="I159" s="57">
        <f t="shared" si="75"/>
        <v>0</v>
      </c>
      <c r="J159" s="57">
        <f t="shared" si="75"/>
        <v>0</v>
      </c>
      <c r="K159" s="57">
        <f t="shared" si="75"/>
        <v>0</v>
      </c>
      <c r="L159" s="57">
        <f t="shared" si="75"/>
        <v>0</v>
      </c>
      <c r="M159" s="57">
        <f t="shared" si="75"/>
        <v>0</v>
      </c>
      <c r="N159" s="57">
        <f t="shared" si="75"/>
        <v>0</v>
      </c>
      <c r="O159" s="57">
        <f t="shared" si="75"/>
        <v>0</v>
      </c>
      <c r="P159" s="57">
        <f t="shared" si="75"/>
        <v>0</v>
      </c>
      <c r="Q159" s="57">
        <f t="shared" si="75"/>
        <v>0</v>
      </c>
      <c r="R159" s="57">
        <f t="shared" si="75"/>
        <v>0</v>
      </c>
      <c r="S159" s="57">
        <f t="shared" si="75"/>
        <v>46781186.076006979</v>
      </c>
      <c r="T159" s="57">
        <f t="shared" si="75"/>
        <v>0</v>
      </c>
      <c r="U159" s="57">
        <f t="shared" si="75"/>
        <v>0</v>
      </c>
      <c r="V159" s="57">
        <f t="shared" si="75"/>
        <v>0</v>
      </c>
      <c r="W159" s="57">
        <f t="shared" si="75"/>
        <v>0</v>
      </c>
      <c r="X159" s="41">
        <f t="shared" si="75"/>
        <v>0</v>
      </c>
      <c r="Y159" s="41">
        <f t="shared" si="75"/>
        <v>0</v>
      </c>
      <c r="Z159" s="41">
        <f t="shared" si="75"/>
        <v>0</v>
      </c>
      <c r="AA159" s="43">
        <f>SUM(G159:Z159)</f>
        <v>46781186.076006979</v>
      </c>
      <c r="AB159" s="37" t="str">
        <f>IF(ABS(F159-AA159)&lt;0.01,"ok","err")</f>
        <v>ok</v>
      </c>
    </row>
    <row r="160" spans="1:28">
      <c r="F160" s="58"/>
    </row>
    <row r="161" spans="1:28">
      <c r="A161" s="44" t="s">
        <v>1129</v>
      </c>
      <c r="F161" s="58"/>
    </row>
    <row r="162" spans="1:28">
      <c r="A162" s="45" t="s">
        <v>1199</v>
      </c>
      <c r="C162" s="39" t="s">
        <v>1088</v>
      </c>
      <c r="D162" s="39" t="s">
        <v>467</v>
      </c>
      <c r="E162" s="39" t="s">
        <v>982</v>
      </c>
      <c r="F162" s="57">
        <f>VLOOKUP(C162,'Functional Assignment'!$C$2:$AP$725,'Functional Assignment'!$AC$2,)</f>
        <v>2120281.3747839313</v>
      </c>
      <c r="G162" s="57">
        <f t="shared" ref="G162:Z162" si="76">IF(VLOOKUP($E162,$D$6:$AN$1197,3,)=0,0,(VLOOKUP($E162,$D$6:$AN$1197,G$2,)/VLOOKUP($E162,$D$6:$AN$1197,3,))*$F162)</f>
        <v>1585387.3321352664</v>
      </c>
      <c r="H162" s="57">
        <f t="shared" si="76"/>
        <v>398620.92195769999</v>
      </c>
      <c r="I162" s="57">
        <f t="shared" si="76"/>
        <v>1910.9990957002944</v>
      </c>
      <c r="J162" s="57">
        <f t="shared" si="76"/>
        <v>65176.310334531212</v>
      </c>
      <c r="K162" s="57">
        <f t="shared" si="76"/>
        <v>10566.700882107509</v>
      </c>
      <c r="L162" s="57">
        <f t="shared" si="76"/>
        <v>17648.638707349779</v>
      </c>
      <c r="M162" s="57">
        <f t="shared" si="76"/>
        <v>0</v>
      </c>
      <c r="N162" s="57">
        <f t="shared" si="76"/>
        <v>0</v>
      </c>
      <c r="O162" s="57">
        <f t="shared" si="76"/>
        <v>0</v>
      </c>
      <c r="P162" s="57">
        <f t="shared" si="76"/>
        <v>1236.5288266296022</v>
      </c>
      <c r="Q162" s="57">
        <f t="shared" si="76"/>
        <v>22.482342302356408</v>
      </c>
      <c r="R162" s="57">
        <f t="shared" si="76"/>
        <v>44.964684604712815</v>
      </c>
      <c r="S162" s="57">
        <f t="shared" si="76"/>
        <v>39130.966424097365</v>
      </c>
      <c r="T162" s="57">
        <f t="shared" si="76"/>
        <v>77.788904366153162</v>
      </c>
      <c r="U162" s="57">
        <f t="shared" si="76"/>
        <v>457.74048927597636</v>
      </c>
      <c r="V162" s="57">
        <f t="shared" si="76"/>
        <v>0</v>
      </c>
      <c r="W162" s="57">
        <f t="shared" si="76"/>
        <v>0</v>
      </c>
      <c r="X162" s="41">
        <f t="shared" si="76"/>
        <v>0</v>
      </c>
      <c r="Y162" s="41">
        <f t="shared" si="76"/>
        <v>0</v>
      </c>
      <c r="Z162" s="41">
        <f t="shared" si="76"/>
        <v>0</v>
      </c>
      <c r="AA162" s="43">
        <f>SUM(G162:Z162)</f>
        <v>2120281.3747839313</v>
      </c>
      <c r="AB162" s="37" t="str">
        <f>IF(ABS(F162-AA162)&lt;0.01,"ok","err")</f>
        <v>ok</v>
      </c>
    </row>
    <row r="163" spans="1:28">
      <c r="F163" s="58"/>
    </row>
    <row r="164" spans="1:28">
      <c r="A164" s="44" t="s">
        <v>368</v>
      </c>
      <c r="F164" s="58"/>
    </row>
    <row r="165" spans="1:28">
      <c r="A165" s="45" t="s">
        <v>1199</v>
      </c>
      <c r="C165" s="39" t="s">
        <v>1088</v>
      </c>
      <c r="D165" s="39" t="s">
        <v>468</v>
      </c>
      <c r="E165" s="39" t="s">
        <v>985</v>
      </c>
      <c r="F165" s="57">
        <f>VLOOKUP(C165,'Functional Assignment'!$C$2:$AP$725,'Functional Assignment'!$AD$2,)</f>
        <v>1549920.1905986255</v>
      </c>
      <c r="G165" s="57">
        <f t="shared" ref="G165:Z165" si="77">IF(VLOOKUP($E165,$D$6:$AN$1197,3,)=0,0,(VLOOKUP($E165,$D$6:$AN$1197,G$2,)/VLOOKUP($E165,$D$6:$AN$1197,3,))*$F165)</f>
        <v>1336193.307432133</v>
      </c>
      <c r="H165" s="57">
        <f t="shared" si="77"/>
        <v>167982.48520282123</v>
      </c>
      <c r="I165" s="57">
        <f t="shared" si="77"/>
        <v>322.12496598474496</v>
      </c>
      <c r="J165" s="57">
        <f t="shared" si="77"/>
        <v>10986.356192820891</v>
      </c>
      <c r="K165" s="57">
        <f t="shared" si="77"/>
        <v>356.23231532430623</v>
      </c>
      <c r="L165" s="57">
        <f t="shared" si="77"/>
        <v>594.98376070123493</v>
      </c>
      <c r="M165" s="57">
        <f t="shared" si="77"/>
        <v>0</v>
      </c>
      <c r="N165" s="57">
        <f t="shared" si="77"/>
        <v>0</v>
      </c>
      <c r="O165" s="57">
        <f t="shared" si="77"/>
        <v>0</v>
      </c>
      <c r="P165" s="57">
        <f t="shared" si="77"/>
        <v>41.686760303908173</v>
      </c>
      <c r="Q165" s="57">
        <f t="shared" si="77"/>
        <v>3.7897054821734701</v>
      </c>
      <c r="R165" s="57">
        <f t="shared" si="77"/>
        <v>7.5794109643469403</v>
      </c>
      <c r="S165" s="57">
        <f t="shared" si="77"/>
        <v>32980.290929162846</v>
      </c>
      <c r="T165" s="57">
        <f t="shared" si="77"/>
        <v>65.561904841601049</v>
      </c>
      <c r="U165" s="57">
        <f t="shared" si="77"/>
        <v>385.79201808525926</v>
      </c>
      <c r="V165" s="57">
        <f t="shared" si="77"/>
        <v>0</v>
      </c>
      <c r="W165" s="57">
        <f t="shared" si="77"/>
        <v>0</v>
      </c>
      <c r="X165" s="41">
        <f t="shared" si="77"/>
        <v>0</v>
      </c>
      <c r="Y165" s="41">
        <f t="shared" si="77"/>
        <v>0</v>
      </c>
      <c r="Z165" s="41">
        <f t="shared" si="77"/>
        <v>0</v>
      </c>
      <c r="AA165" s="43">
        <f>SUM(G165:Z165)</f>
        <v>1549920.1905986255</v>
      </c>
      <c r="AB165" s="37" t="str">
        <f>IF(ABS(F165-AA165)&lt;0.01,"ok","err")</f>
        <v>ok</v>
      </c>
    </row>
    <row r="166" spans="1:28">
      <c r="F166" s="58"/>
    </row>
    <row r="167" spans="1:28">
      <c r="A167" s="44" t="s">
        <v>367</v>
      </c>
      <c r="F167" s="58"/>
    </row>
    <row r="168" spans="1:28">
      <c r="A168" s="45" t="s">
        <v>1199</v>
      </c>
      <c r="C168" s="39" t="s">
        <v>1088</v>
      </c>
      <c r="D168" s="39" t="s">
        <v>469</v>
      </c>
      <c r="E168" s="39" t="s">
        <v>985</v>
      </c>
      <c r="F168" s="57">
        <f>VLOOKUP(C168,'Functional Assignment'!$C$2:$AP$725,'Functional Assignment'!$AE$2,)</f>
        <v>0</v>
      </c>
      <c r="G168" s="57">
        <f t="shared" ref="G168:Z168" si="78">IF(VLOOKUP($E168,$D$6:$AN$1197,3,)=0,0,(VLOOKUP($E168,$D$6:$AN$1197,G$2,)/VLOOKUP($E168,$D$6:$AN$1197,3,))*$F168)</f>
        <v>0</v>
      </c>
      <c r="H168" s="57">
        <f t="shared" si="78"/>
        <v>0</v>
      </c>
      <c r="I168" s="57">
        <f t="shared" si="78"/>
        <v>0</v>
      </c>
      <c r="J168" s="57">
        <f t="shared" si="78"/>
        <v>0</v>
      </c>
      <c r="K168" s="57">
        <f t="shared" si="78"/>
        <v>0</v>
      </c>
      <c r="L168" s="57">
        <f t="shared" si="78"/>
        <v>0</v>
      </c>
      <c r="M168" s="57">
        <f t="shared" si="78"/>
        <v>0</v>
      </c>
      <c r="N168" s="57">
        <f t="shared" si="78"/>
        <v>0</v>
      </c>
      <c r="O168" s="57">
        <f t="shared" si="78"/>
        <v>0</v>
      </c>
      <c r="P168" s="57">
        <f t="shared" si="78"/>
        <v>0</v>
      </c>
      <c r="Q168" s="57">
        <f t="shared" si="78"/>
        <v>0</v>
      </c>
      <c r="R168" s="57">
        <f t="shared" si="78"/>
        <v>0</v>
      </c>
      <c r="S168" s="57">
        <f t="shared" si="78"/>
        <v>0</v>
      </c>
      <c r="T168" s="57">
        <f t="shared" si="78"/>
        <v>0</v>
      </c>
      <c r="U168" s="57">
        <f t="shared" si="78"/>
        <v>0</v>
      </c>
      <c r="V168" s="57">
        <f t="shared" si="78"/>
        <v>0</v>
      </c>
      <c r="W168" s="57">
        <f t="shared" si="78"/>
        <v>0</v>
      </c>
      <c r="X168" s="41">
        <f t="shared" si="78"/>
        <v>0</v>
      </c>
      <c r="Y168" s="41">
        <f t="shared" si="78"/>
        <v>0</v>
      </c>
      <c r="Z168" s="41">
        <f t="shared" si="78"/>
        <v>0</v>
      </c>
      <c r="AA168" s="43">
        <f>SUM(G168:Z168)</f>
        <v>0</v>
      </c>
      <c r="AB168" s="37" t="str">
        <f>IF(ABS(F168-AA168)&lt;0.01,"ok","err")</f>
        <v>ok</v>
      </c>
    </row>
    <row r="169" spans="1:28">
      <c r="F169" s="58"/>
    </row>
    <row r="170" spans="1:28">
      <c r="A170" s="39" t="s">
        <v>1026</v>
      </c>
      <c r="D170" s="39" t="s">
        <v>1210</v>
      </c>
      <c r="F170" s="57">
        <f>F125+F131+F134+F137+F145+F150+F153+F156+F159+F162+F165+F168</f>
        <v>1920997668.0954001</v>
      </c>
      <c r="G170" s="57">
        <f t="shared" ref="G170:Z170" si="79">G125+G131+G134+G137+G145+G150+G153+G156+G159+G162+G165+G168</f>
        <v>931649506.04860032</v>
      </c>
      <c r="H170" s="57">
        <f t="shared" si="79"/>
        <v>249679632.1040495</v>
      </c>
      <c r="I170" s="57">
        <f t="shared" si="79"/>
        <v>25673930.589226916</v>
      </c>
      <c r="J170" s="57">
        <f t="shared" si="79"/>
        <v>295829169.94481355</v>
      </c>
      <c r="K170" s="57">
        <f t="shared" si="79"/>
        <v>199460877.01519188</v>
      </c>
      <c r="L170" s="57">
        <f t="shared" si="79"/>
        <v>73518291.243939444</v>
      </c>
      <c r="M170" s="57">
        <f t="shared" si="79"/>
        <v>0</v>
      </c>
      <c r="N170" s="57">
        <f t="shared" si="79"/>
        <v>0</v>
      </c>
      <c r="O170" s="57">
        <f>O125+O131+O134+O137+O145+O150+O153+O156+O159+O162+O165+O168</f>
        <v>0</v>
      </c>
      <c r="P170" s="57">
        <f t="shared" si="79"/>
        <v>52220129.381343223</v>
      </c>
      <c r="Q170" s="57">
        <f t="shared" si="79"/>
        <v>27854540.21840094</v>
      </c>
      <c r="R170" s="57">
        <f t="shared" si="79"/>
        <v>6215142.1370129138</v>
      </c>
      <c r="S170" s="57">
        <f t="shared" si="79"/>
        <v>58181818.592106752</v>
      </c>
      <c r="T170" s="57">
        <f t="shared" si="79"/>
        <v>256691.40437409433</v>
      </c>
      <c r="U170" s="57">
        <f t="shared" si="79"/>
        <v>457939.41634078015</v>
      </c>
      <c r="V170" s="57">
        <f t="shared" si="79"/>
        <v>0</v>
      </c>
      <c r="W170" s="57">
        <f t="shared" si="79"/>
        <v>0</v>
      </c>
      <c r="X170" s="41">
        <f t="shared" si="79"/>
        <v>0</v>
      </c>
      <c r="Y170" s="41">
        <f t="shared" si="79"/>
        <v>0</v>
      </c>
      <c r="Z170" s="41">
        <f t="shared" si="79"/>
        <v>0</v>
      </c>
      <c r="AA170" s="43">
        <f>SUM(G170:Z170)</f>
        <v>1920997668.0954003</v>
      </c>
      <c r="AB170" s="37" t="str">
        <f>IF(ABS(F170-AA170)&lt;0.01,"ok","err")</f>
        <v>ok</v>
      </c>
    </row>
    <row r="171" spans="1:28">
      <c r="A171" s="44" t="s">
        <v>1079</v>
      </c>
    </row>
    <row r="173" spans="1:28">
      <c r="A173" s="44" t="s">
        <v>384</v>
      </c>
    </row>
    <row r="174" spans="1:28">
      <c r="A174" s="45" t="s">
        <v>376</v>
      </c>
      <c r="C174" s="39" t="s">
        <v>1173</v>
      </c>
      <c r="D174" s="39" t="s">
        <v>470</v>
      </c>
      <c r="E174" s="39" t="s">
        <v>939</v>
      </c>
      <c r="F174" s="57">
        <f>VLOOKUP(C174,'Functional Assignment'!$C$2:$AP$725,'Functional Assignment'!$H$2,)</f>
        <v>41710970.223765999</v>
      </c>
      <c r="G174" s="57">
        <f t="shared" ref="G174:P179" si="80">IF(VLOOKUP($E174,$D$6:$AN$1197,3,)=0,0,(VLOOKUP($E174,$D$6:$AN$1197,G$2,)/VLOOKUP($E174,$D$6:$AN$1197,3,))*$F174)</f>
        <v>15248452.681509197</v>
      </c>
      <c r="H174" s="57">
        <f t="shared" si="80"/>
        <v>5029423.4598084493</v>
      </c>
      <c r="I174" s="57">
        <f t="shared" si="80"/>
        <v>823165.87212553748</v>
      </c>
      <c r="J174" s="57">
        <f t="shared" si="80"/>
        <v>8386123.4630423198</v>
      </c>
      <c r="K174" s="57">
        <f t="shared" si="80"/>
        <v>6743942.5874763671</v>
      </c>
      <c r="L174" s="57">
        <f t="shared" si="80"/>
        <v>2280127.7187234978</v>
      </c>
      <c r="M174" s="57">
        <f t="shared" si="80"/>
        <v>0</v>
      </c>
      <c r="N174" s="57">
        <f t="shared" si="80"/>
        <v>0</v>
      </c>
      <c r="O174" s="57">
        <f t="shared" si="80"/>
        <v>0</v>
      </c>
      <c r="P174" s="57">
        <f t="shared" si="80"/>
        <v>1825781.2148903527</v>
      </c>
      <c r="Q174" s="57">
        <f t="shared" ref="Q174:Z179" si="81">IF(VLOOKUP($E174,$D$6:$AN$1197,3,)=0,0,(VLOOKUP($E174,$D$6:$AN$1197,Q$2,)/VLOOKUP($E174,$D$6:$AN$1197,3,))*$F174)</f>
        <v>766428.74507035338</v>
      </c>
      <c r="R174" s="57">
        <f t="shared" si="81"/>
        <v>205969.34419703335</v>
      </c>
      <c r="S174" s="57">
        <f t="shared" si="81"/>
        <v>376776.59692357521</v>
      </c>
      <c r="T174" s="57">
        <f t="shared" si="81"/>
        <v>13619.27038687642</v>
      </c>
      <c r="U174" s="57">
        <f t="shared" si="81"/>
        <v>11159.269612436041</v>
      </c>
      <c r="V174" s="57">
        <f t="shared" si="81"/>
        <v>0</v>
      </c>
      <c r="W174" s="57">
        <f t="shared" si="81"/>
        <v>0</v>
      </c>
      <c r="X174" s="41">
        <f t="shared" si="81"/>
        <v>0</v>
      </c>
      <c r="Y174" s="41">
        <f t="shared" si="81"/>
        <v>0</v>
      </c>
      <c r="Z174" s="41">
        <f t="shared" si="81"/>
        <v>0</v>
      </c>
      <c r="AA174" s="43">
        <f t="shared" ref="AA174:AA180" si="82">SUM(G174:Z174)</f>
        <v>41710970.223765999</v>
      </c>
      <c r="AB174" s="37" t="str">
        <f t="shared" ref="AB174:AB180" si="83">IF(ABS(F174-AA174)&lt;0.01,"ok","err")</f>
        <v>ok</v>
      </c>
    </row>
    <row r="175" spans="1:28">
      <c r="A175" s="45" t="s">
        <v>1391</v>
      </c>
      <c r="C175" s="39" t="s">
        <v>1173</v>
      </c>
      <c r="D175" s="39" t="s">
        <v>471</v>
      </c>
      <c r="E175" s="39" t="s">
        <v>204</v>
      </c>
      <c r="F175" s="58">
        <f>VLOOKUP(C175,'Functional Assignment'!$C$2:$AP$725,'Functional Assignment'!$I$2,)</f>
        <v>39320003.504241824</v>
      </c>
      <c r="G175" s="58">
        <f t="shared" si="80"/>
        <v>15855257.207424534</v>
      </c>
      <c r="H175" s="58">
        <f t="shared" si="80"/>
        <v>6258705.1494264761</v>
      </c>
      <c r="I175" s="58">
        <f t="shared" si="80"/>
        <v>637364.06340921542</v>
      </c>
      <c r="J175" s="58">
        <f t="shared" si="80"/>
        <v>7339946.5945465183</v>
      </c>
      <c r="K175" s="58">
        <f t="shared" si="80"/>
        <v>4828680.1227750443</v>
      </c>
      <c r="L175" s="58">
        <f t="shared" si="80"/>
        <v>1844489.2832729383</v>
      </c>
      <c r="M175" s="58">
        <f t="shared" si="80"/>
        <v>0</v>
      </c>
      <c r="N175" s="58">
        <f t="shared" si="80"/>
        <v>0</v>
      </c>
      <c r="O175" s="58">
        <f t="shared" si="80"/>
        <v>0</v>
      </c>
      <c r="P175" s="58">
        <f t="shared" si="80"/>
        <v>1709164.0702687106</v>
      </c>
      <c r="Q175" s="58">
        <f t="shared" si="81"/>
        <v>701671.62011875166</v>
      </c>
      <c r="R175" s="58">
        <f t="shared" si="81"/>
        <v>135796.34242906934</v>
      </c>
      <c r="S175" s="58">
        <f t="shared" si="81"/>
        <v>0</v>
      </c>
      <c r="T175" s="58">
        <f t="shared" si="81"/>
        <v>274.99506671396625</v>
      </c>
      <c r="U175" s="58">
        <f t="shared" si="81"/>
        <v>8654.0555038531293</v>
      </c>
      <c r="V175" s="58">
        <f t="shared" si="81"/>
        <v>0</v>
      </c>
      <c r="W175" s="58">
        <f t="shared" si="81"/>
        <v>0</v>
      </c>
      <c r="X175" s="42">
        <f t="shared" si="81"/>
        <v>0</v>
      </c>
      <c r="Y175" s="42">
        <f t="shared" si="81"/>
        <v>0</v>
      </c>
      <c r="Z175" s="42">
        <f t="shared" si="81"/>
        <v>0</v>
      </c>
      <c r="AA175" s="42">
        <f t="shared" si="82"/>
        <v>39320003.504241839</v>
      </c>
      <c r="AB175" s="37" t="str">
        <f t="shared" si="83"/>
        <v>ok</v>
      </c>
    </row>
    <row r="176" spans="1:28">
      <c r="A176" s="45" t="s">
        <v>1392</v>
      </c>
      <c r="C176" s="39" t="s">
        <v>1173</v>
      </c>
      <c r="D176" s="39" t="s">
        <v>472</v>
      </c>
      <c r="E176" s="39" t="s">
        <v>207</v>
      </c>
      <c r="F176" s="58">
        <f>VLOOKUP(C176,'Functional Assignment'!$C$2:$AP$725,'Functional Assignment'!$J$2,)</f>
        <v>40381915.040524326</v>
      </c>
      <c r="G176" s="58">
        <f t="shared" si="80"/>
        <v>19717255.548753522</v>
      </c>
      <c r="H176" s="58">
        <f t="shared" si="80"/>
        <v>5278132.9770805063</v>
      </c>
      <c r="I176" s="58">
        <f t="shared" si="80"/>
        <v>592087.19636836892</v>
      </c>
      <c r="J176" s="58">
        <f t="shared" si="80"/>
        <v>7061421.0946084838</v>
      </c>
      <c r="K176" s="58">
        <f t="shared" si="80"/>
        <v>4170700.7339905971</v>
      </c>
      <c r="L176" s="58">
        <f t="shared" si="80"/>
        <v>1592593.6820883842</v>
      </c>
      <c r="M176" s="58">
        <f t="shared" si="80"/>
        <v>0</v>
      </c>
      <c r="N176" s="58">
        <f t="shared" si="80"/>
        <v>0</v>
      </c>
      <c r="O176" s="58">
        <f t="shared" si="80"/>
        <v>0</v>
      </c>
      <c r="P176" s="58">
        <f t="shared" si="80"/>
        <v>1065262.5551023793</v>
      </c>
      <c r="Q176" s="58">
        <f t="shared" si="81"/>
        <v>752954.00954265858</v>
      </c>
      <c r="R176" s="58">
        <f t="shared" si="81"/>
        <v>145503.62408240087</v>
      </c>
      <c r="S176" s="58">
        <f t="shared" si="81"/>
        <v>0</v>
      </c>
      <c r="T176" s="58">
        <f t="shared" si="81"/>
        <v>341.91163930979769</v>
      </c>
      <c r="U176" s="58">
        <f t="shared" si="81"/>
        <v>5661.7072677098331</v>
      </c>
      <c r="V176" s="58">
        <f t="shared" si="81"/>
        <v>0</v>
      </c>
      <c r="W176" s="58">
        <f t="shared" si="81"/>
        <v>0</v>
      </c>
      <c r="X176" s="42">
        <f t="shared" si="81"/>
        <v>0</v>
      </c>
      <c r="Y176" s="42">
        <f t="shared" si="81"/>
        <v>0</v>
      </c>
      <c r="Z176" s="42">
        <f t="shared" si="81"/>
        <v>0</v>
      </c>
      <c r="AA176" s="42">
        <f t="shared" si="82"/>
        <v>40381915.040524319</v>
      </c>
      <c r="AB176" s="37" t="str">
        <f t="shared" si="83"/>
        <v>ok</v>
      </c>
    </row>
    <row r="177" spans="1:28">
      <c r="A177" s="45" t="s">
        <v>1393</v>
      </c>
      <c r="C177" s="39" t="s">
        <v>1173</v>
      </c>
      <c r="D177" s="39" t="s">
        <v>473</v>
      </c>
      <c r="E177" s="39" t="s">
        <v>1197</v>
      </c>
      <c r="F177" s="58">
        <f>VLOOKUP(C177,'Functional Assignment'!$C$2:$AP$725,'Functional Assignment'!$K$2,)</f>
        <v>494394072.61689991</v>
      </c>
      <c r="G177" s="58">
        <f t="shared" si="80"/>
        <v>181316008.0341672</v>
      </c>
      <c r="H177" s="58">
        <f t="shared" si="80"/>
        <v>60542727.93767149</v>
      </c>
      <c r="I177" s="58">
        <f t="shared" si="80"/>
        <v>9875258.7869921252</v>
      </c>
      <c r="J177" s="58">
        <f t="shared" si="80"/>
        <v>99530629.966697648</v>
      </c>
      <c r="K177" s="58">
        <f t="shared" si="80"/>
        <v>79716775.014248565</v>
      </c>
      <c r="L177" s="58">
        <f t="shared" si="80"/>
        <v>25489822.917815801</v>
      </c>
      <c r="M177" s="58">
        <f t="shared" si="80"/>
        <v>0</v>
      </c>
      <c r="N177" s="58">
        <f t="shared" si="80"/>
        <v>0</v>
      </c>
      <c r="O177" s="58">
        <f t="shared" si="80"/>
        <v>0</v>
      </c>
      <c r="P177" s="58">
        <f t="shared" si="80"/>
        <v>21640720.896069035</v>
      </c>
      <c r="Q177" s="58">
        <f t="shared" si="81"/>
        <v>9084367.7232292704</v>
      </c>
      <c r="R177" s="58">
        <f t="shared" si="81"/>
        <v>2441326.1719813813</v>
      </c>
      <c r="S177" s="58">
        <f t="shared" si="81"/>
        <v>4465877.9109455124</v>
      </c>
      <c r="T177" s="58">
        <f t="shared" si="81"/>
        <v>158286.74287155658</v>
      </c>
      <c r="U177" s="58">
        <f t="shared" si="81"/>
        <v>132270.51421038382</v>
      </c>
      <c r="V177" s="58">
        <f t="shared" si="81"/>
        <v>0</v>
      </c>
      <c r="W177" s="58">
        <f t="shared" si="81"/>
        <v>0</v>
      </c>
      <c r="X177" s="42">
        <f t="shared" si="81"/>
        <v>0</v>
      </c>
      <c r="Y177" s="42">
        <f t="shared" si="81"/>
        <v>0</v>
      </c>
      <c r="Z177" s="42">
        <f t="shared" si="81"/>
        <v>0</v>
      </c>
      <c r="AA177" s="42">
        <f t="shared" si="82"/>
        <v>494394072.61690009</v>
      </c>
      <c r="AB177" s="37" t="str">
        <f t="shared" si="83"/>
        <v>ok</v>
      </c>
    </row>
    <row r="178" spans="1:28">
      <c r="A178" s="45" t="s">
        <v>1394</v>
      </c>
      <c r="C178" s="39" t="s">
        <v>1173</v>
      </c>
      <c r="D178" s="39" t="s">
        <v>474</v>
      </c>
      <c r="E178" s="39" t="s">
        <v>1197</v>
      </c>
      <c r="F178" s="58">
        <f>VLOOKUP(C178,'Functional Assignment'!$C$2:$AP$725,'Functional Assignment'!$L$2,)</f>
        <v>0</v>
      </c>
      <c r="G178" s="58">
        <f t="shared" si="80"/>
        <v>0</v>
      </c>
      <c r="H178" s="58">
        <f t="shared" si="80"/>
        <v>0</v>
      </c>
      <c r="I178" s="58">
        <f t="shared" si="80"/>
        <v>0</v>
      </c>
      <c r="J178" s="58">
        <f t="shared" si="80"/>
        <v>0</v>
      </c>
      <c r="K178" s="58">
        <f t="shared" si="80"/>
        <v>0</v>
      </c>
      <c r="L178" s="58">
        <f t="shared" si="80"/>
        <v>0</v>
      </c>
      <c r="M178" s="58">
        <f t="shared" si="80"/>
        <v>0</v>
      </c>
      <c r="N178" s="58">
        <f t="shared" si="80"/>
        <v>0</v>
      </c>
      <c r="O178" s="58">
        <f t="shared" si="80"/>
        <v>0</v>
      </c>
      <c r="P178" s="58">
        <f t="shared" si="80"/>
        <v>0</v>
      </c>
      <c r="Q178" s="58">
        <f t="shared" si="81"/>
        <v>0</v>
      </c>
      <c r="R178" s="58">
        <f t="shared" si="81"/>
        <v>0</v>
      </c>
      <c r="S178" s="58">
        <f t="shared" si="81"/>
        <v>0</v>
      </c>
      <c r="T178" s="58">
        <f t="shared" si="81"/>
        <v>0</v>
      </c>
      <c r="U178" s="58">
        <f t="shared" si="81"/>
        <v>0</v>
      </c>
      <c r="V178" s="58">
        <f t="shared" si="81"/>
        <v>0</v>
      </c>
      <c r="W178" s="58">
        <f t="shared" si="81"/>
        <v>0</v>
      </c>
      <c r="X178" s="42">
        <f t="shared" si="81"/>
        <v>0</v>
      </c>
      <c r="Y178" s="42">
        <f t="shared" si="81"/>
        <v>0</v>
      </c>
      <c r="Z178" s="42">
        <f t="shared" si="81"/>
        <v>0</v>
      </c>
      <c r="AA178" s="42">
        <f t="shared" si="82"/>
        <v>0</v>
      </c>
      <c r="AB178" s="37" t="str">
        <f t="shared" si="83"/>
        <v>ok</v>
      </c>
    </row>
    <row r="179" spans="1:28">
      <c r="A179" s="45" t="s">
        <v>1394</v>
      </c>
      <c r="C179" s="39" t="s">
        <v>1173</v>
      </c>
      <c r="D179" s="39" t="s">
        <v>475</v>
      </c>
      <c r="E179" s="39" t="s">
        <v>1197</v>
      </c>
      <c r="F179" s="58">
        <f>VLOOKUP(C179,'Functional Assignment'!$C$2:$AP$725,'Functional Assignment'!$M$2,)</f>
        <v>0</v>
      </c>
      <c r="G179" s="58">
        <f t="shared" si="80"/>
        <v>0</v>
      </c>
      <c r="H179" s="58">
        <f t="shared" si="80"/>
        <v>0</v>
      </c>
      <c r="I179" s="58">
        <f t="shared" si="80"/>
        <v>0</v>
      </c>
      <c r="J179" s="58">
        <f t="shared" si="80"/>
        <v>0</v>
      </c>
      <c r="K179" s="58">
        <f t="shared" si="80"/>
        <v>0</v>
      </c>
      <c r="L179" s="58">
        <f t="shared" si="80"/>
        <v>0</v>
      </c>
      <c r="M179" s="58">
        <f t="shared" si="80"/>
        <v>0</v>
      </c>
      <c r="N179" s="58">
        <f t="shared" si="80"/>
        <v>0</v>
      </c>
      <c r="O179" s="58">
        <f t="shared" si="80"/>
        <v>0</v>
      </c>
      <c r="P179" s="58">
        <f t="shared" si="80"/>
        <v>0</v>
      </c>
      <c r="Q179" s="58">
        <f t="shared" si="81"/>
        <v>0</v>
      </c>
      <c r="R179" s="58">
        <f t="shared" si="81"/>
        <v>0</v>
      </c>
      <c r="S179" s="58">
        <f t="shared" si="81"/>
        <v>0</v>
      </c>
      <c r="T179" s="58">
        <f t="shared" si="81"/>
        <v>0</v>
      </c>
      <c r="U179" s="58">
        <f t="shared" si="81"/>
        <v>0</v>
      </c>
      <c r="V179" s="58">
        <f t="shared" si="81"/>
        <v>0</v>
      </c>
      <c r="W179" s="58">
        <f t="shared" si="81"/>
        <v>0</v>
      </c>
      <c r="X179" s="42">
        <f t="shared" si="81"/>
        <v>0</v>
      </c>
      <c r="Y179" s="42">
        <f t="shared" si="81"/>
        <v>0</v>
      </c>
      <c r="Z179" s="42">
        <f t="shared" si="81"/>
        <v>0</v>
      </c>
      <c r="AA179" s="42">
        <f t="shared" si="82"/>
        <v>0</v>
      </c>
      <c r="AB179" s="37" t="str">
        <f t="shared" si="83"/>
        <v>ok</v>
      </c>
    </row>
    <row r="180" spans="1:28">
      <c r="A180" s="39" t="s">
        <v>407</v>
      </c>
      <c r="D180" s="39" t="s">
        <v>1211</v>
      </c>
      <c r="F180" s="57">
        <f>SUM(F174:F179)</f>
        <v>615806961.385432</v>
      </c>
      <c r="G180" s="57">
        <f t="shared" ref="G180:P180" si="84">SUM(G174:G179)</f>
        <v>232136973.47185445</v>
      </c>
      <c r="H180" s="57">
        <f t="shared" si="84"/>
        <v>77108989.523986921</v>
      </c>
      <c r="I180" s="57">
        <f t="shared" si="84"/>
        <v>11927875.918895246</v>
      </c>
      <c r="J180" s="57">
        <f t="shared" si="84"/>
        <v>122318121.11889496</v>
      </c>
      <c r="K180" s="57">
        <f t="shared" si="84"/>
        <v>95460098.45849058</v>
      </c>
      <c r="L180" s="57">
        <f t="shared" si="84"/>
        <v>31207033.601900622</v>
      </c>
      <c r="M180" s="57">
        <f t="shared" si="84"/>
        <v>0</v>
      </c>
      <c r="N180" s="57">
        <f t="shared" si="84"/>
        <v>0</v>
      </c>
      <c r="O180" s="57">
        <f>SUM(O174:O179)</f>
        <v>0</v>
      </c>
      <c r="P180" s="57">
        <f t="shared" si="84"/>
        <v>26240928.736330479</v>
      </c>
      <c r="Q180" s="57">
        <f t="shared" ref="Q180:W180" si="85">SUM(Q174:Q179)</f>
        <v>11305422.097961035</v>
      </c>
      <c r="R180" s="57">
        <f t="shared" si="85"/>
        <v>2928595.482689885</v>
      </c>
      <c r="S180" s="57">
        <f t="shared" si="85"/>
        <v>4842654.5078690872</v>
      </c>
      <c r="T180" s="57">
        <f t="shared" si="85"/>
        <v>172522.91996445676</v>
      </c>
      <c r="U180" s="57">
        <f t="shared" si="85"/>
        <v>157745.54659438282</v>
      </c>
      <c r="V180" s="57">
        <f t="shared" si="85"/>
        <v>0</v>
      </c>
      <c r="W180" s="57">
        <f t="shared" si="85"/>
        <v>0</v>
      </c>
      <c r="X180" s="41">
        <f>SUM(X174:X179)</f>
        <v>0</v>
      </c>
      <c r="Y180" s="41">
        <f>SUM(Y174:Y179)</f>
        <v>0</v>
      </c>
      <c r="Z180" s="41">
        <f>SUM(Z174:Z179)</f>
        <v>0</v>
      </c>
      <c r="AA180" s="43">
        <f t="shared" si="82"/>
        <v>615806961.38543212</v>
      </c>
      <c r="AB180" s="37" t="str">
        <f t="shared" si="83"/>
        <v>ok</v>
      </c>
    </row>
    <row r="181" spans="1:28">
      <c r="F181" s="58"/>
      <c r="G181" s="58"/>
    </row>
    <row r="182" spans="1:28">
      <c r="A182" s="44" t="s">
        <v>1237</v>
      </c>
      <c r="F182" s="58"/>
      <c r="G182" s="58"/>
    </row>
    <row r="183" spans="1:28">
      <c r="A183" s="45" t="s">
        <v>377</v>
      </c>
      <c r="C183" s="39" t="s">
        <v>1173</v>
      </c>
      <c r="D183" s="39" t="s">
        <v>476</v>
      </c>
      <c r="E183" s="39" t="s">
        <v>939</v>
      </c>
      <c r="F183" s="57">
        <f>VLOOKUP(C183,'Functional Assignment'!$C$2:$AP$725,'Functional Assignment'!$N$2,)</f>
        <v>7536497.8294317005</v>
      </c>
      <c r="G183" s="57">
        <f t="shared" ref="G183:P185" si="86">IF(VLOOKUP($E183,$D$6:$AN$1197,3,)=0,0,(VLOOKUP($E183,$D$6:$AN$1197,G$2,)/VLOOKUP($E183,$D$6:$AN$1197,3,))*$F183)</f>
        <v>2755148.8234360749</v>
      </c>
      <c r="H183" s="57">
        <f t="shared" si="86"/>
        <v>908735.49056267797</v>
      </c>
      <c r="I183" s="57">
        <f t="shared" si="86"/>
        <v>148732.76203490427</v>
      </c>
      <c r="J183" s="57">
        <f t="shared" si="86"/>
        <v>1515236.9014076199</v>
      </c>
      <c r="K183" s="57">
        <f t="shared" si="86"/>
        <v>1218521.3721873164</v>
      </c>
      <c r="L183" s="57">
        <f t="shared" si="86"/>
        <v>411982.20781725016</v>
      </c>
      <c r="M183" s="57">
        <f t="shared" si="86"/>
        <v>0</v>
      </c>
      <c r="N183" s="57">
        <f t="shared" si="86"/>
        <v>0</v>
      </c>
      <c r="O183" s="57">
        <f t="shared" si="86"/>
        <v>0</v>
      </c>
      <c r="P183" s="57">
        <f t="shared" si="86"/>
        <v>329889.14161479205</v>
      </c>
      <c r="Q183" s="57">
        <f t="shared" ref="Q183:Z185" si="87">IF(VLOOKUP($E183,$D$6:$AN$1197,3,)=0,0,(VLOOKUP($E183,$D$6:$AN$1197,Q$2,)/VLOOKUP($E183,$D$6:$AN$1197,3,))*$F183)</f>
        <v>138481.28064749821</v>
      </c>
      <c r="R183" s="57">
        <f t="shared" si="87"/>
        <v>37215.329855500539</v>
      </c>
      <c r="S183" s="57">
        <f t="shared" si="87"/>
        <v>68077.43837320905</v>
      </c>
      <c r="T183" s="57">
        <f t="shared" si="87"/>
        <v>2460.7819275959837</v>
      </c>
      <c r="U183" s="57">
        <f t="shared" si="87"/>
        <v>2016.2995672598379</v>
      </c>
      <c r="V183" s="57">
        <f t="shared" si="87"/>
        <v>0</v>
      </c>
      <c r="W183" s="57">
        <f t="shared" si="87"/>
        <v>0</v>
      </c>
      <c r="X183" s="41">
        <f t="shared" si="87"/>
        <v>0</v>
      </c>
      <c r="Y183" s="41">
        <f t="shared" si="87"/>
        <v>0</v>
      </c>
      <c r="Z183" s="41">
        <f t="shared" si="87"/>
        <v>0</v>
      </c>
      <c r="AA183" s="43">
        <f>SUM(G183:Z183)</f>
        <v>7536497.8294316996</v>
      </c>
      <c r="AB183" s="37" t="str">
        <f>IF(ABS(F183-AA183)&lt;0.01,"ok","err")</f>
        <v>ok</v>
      </c>
    </row>
    <row r="184" spans="1:28">
      <c r="A184" s="45" t="s">
        <v>379</v>
      </c>
      <c r="C184" s="39" t="s">
        <v>1173</v>
      </c>
      <c r="D184" s="39" t="s">
        <v>477</v>
      </c>
      <c r="E184" s="39" t="s">
        <v>204</v>
      </c>
      <c r="F184" s="58">
        <f>VLOOKUP(C184,'Functional Assignment'!$C$2:$AP$725,'Functional Assignment'!$O$2,)</f>
        <v>7104488.8064991608</v>
      </c>
      <c r="G184" s="58">
        <f t="shared" si="86"/>
        <v>2864788.5888962555</v>
      </c>
      <c r="H184" s="58">
        <f t="shared" si="86"/>
        <v>1130846.8136957872</v>
      </c>
      <c r="I184" s="58">
        <f t="shared" si="86"/>
        <v>115161.37972030185</v>
      </c>
      <c r="J184" s="58">
        <f t="shared" si="86"/>
        <v>1326209.6585426761</v>
      </c>
      <c r="K184" s="58">
        <f t="shared" si="86"/>
        <v>872464.41569415061</v>
      </c>
      <c r="L184" s="58">
        <f t="shared" si="86"/>
        <v>333269.38705146807</v>
      </c>
      <c r="M184" s="58">
        <f t="shared" si="86"/>
        <v>0</v>
      </c>
      <c r="N184" s="58">
        <f t="shared" si="86"/>
        <v>0</v>
      </c>
      <c r="O184" s="58">
        <f t="shared" si="86"/>
        <v>0</v>
      </c>
      <c r="P184" s="58">
        <f t="shared" si="86"/>
        <v>308818.30934691156</v>
      </c>
      <c r="Q184" s="58">
        <f t="shared" si="87"/>
        <v>126780.7153281159</v>
      </c>
      <c r="R184" s="58">
        <f t="shared" si="87"/>
        <v>24536.203173195849</v>
      </c>
      <c r="S184" s="58">
        <f t="shared" si="87"/>
        <v>0</v>
      </c>
      <c r="T184" s="58">
        <f t="shared" si="87"/>
        <v>49.687161729298907</v>
      </c>
      <c r="U184" s="58">
        <f t="shared" si="87"/>
        <v>1563.6478885693459</v>
      </c>
      <c r="V184" s="58">
        <f t="shared" si="87"/>
        <v>0</v>
      </c>
      <c r="W184" s="58">
        <f t="shared" si="87"/>
        <v>0</v>
      </c>
      <c r="X184" s="42">
        <f t="shared" si="87"/>
        <v>0</v>
      </c>
      <c r="Y184" s="42">
        <f t="shared" si="87"/>
        <v>0</v>
      </c>
      <c r="Z184" s="42">
        <f t="shared" si="87"/>
        <v>0</v>
      </c>
      <c r="AA184" s="42">
        <f>SUM(G184:Z184)</f>
        <v>7104488.8064991618</v>
      </c>
      <c r="AB184" s="37" t="str">
        <f>IF(ABS(F184-AA184)&lt;0.01,"ok","err")</f>
        <v>ok</v>
      </c>
    </row>
    <row r="185" spans="1:28">
      <c r="A185" s="45" t="s">
        <v>378</v>
      </c>
      <c r="C185" s="39" t="s">
        <v>1173</v>
      </c>
      <c r="D185" s="39" t="s">
        <v>478</v>
      </c>
      <c r="E185" s="39" t="s">
        <v>207</v>
      </c>
      <c r="F185" s="58">
        <f>VLOOKUP(C185,'Functional Assignment'!$C$2:$AP$725,'Functional Assignment'!$P$2,)</f>
        <v>7296359.0493946746</v>
      </c>
      <c r="G185" s="58">
        <f t="shared" si="86"/>
        <v>3562589.2384747872</v>
      </c>
      <c r="H185" s="58">
        <f t="shared" si="86"/>
        <v>953673.27856003959</v>
      </c>
      <c r="I185" s="58">
        <f t="shared" si="86"/>
        <v>106980.58199859403</v>
      </c>
      <c r="J185" s="58">
        <f t="shared" si="86"/>
        <v>1275884.6046188918</v>
      </c>
      <c r="K185" s="58">
        <f t="shared" si="86"/>
        <v>753578.18004002667</v>
      </c>
      <c r="L185" s="58">
        <f t="shared" si="86"/>
        <v>287755.92521189875</v>
      </c>
      <c r="M185" s="58">
        <f t="shared" si="86"/>
        <v>0</v>
      </c>
      <c r="N185" s="58">
        <f t="shared" si="86"/>
        <v>0</v>
      </c>
      <c r="O185" s="58">
        <f t="shared" si="86"/>
        <v>0</v>
      </c>
      <c r="P185" s="58">
        <f t="shared" si="86"/>
        <v>192475.7178083949</v>
      </c>
      <c r="Q185" s="58">
        <f t="shared" si="87"/>
        <v>136046.61383174581</v>
      </c>
      <c r="R185" s="58">
        <f t="shared" si="87"/>
        <v>26290.151995712829</v>
      </c>
      <c r="S185" s="58">
        <f t="shared" si="87"/>
        <v>0</v>
      </c>
      <c r="T185" s="58">
        <f t="shared" si="87"/>
        <v>61.777904318502536</v>
      </c>
      <c r="U185" s="58">
        <f t="shared" si="87"/>
        <v>1022.9789502633222</v>
      </c>
      <c r="V185" s="58">
        <f t="shared" si="87"/>
        <v>0</v>
      </c>
      <c r="W185" s="58">
        <f t="shared" si="87"/>
        <v>0</v>
      </c>
      <c r="X185" s="42">
        <f t="shared" si="87"/>
        <v>0</v>
      </c>
      <c r="Y185" s="42">
        <f t="shared" si="87"/>
        <v>0</v>
      </c>
      <c r="Z185" s="42">
        <f t="shared" si="87"/>
        <v>0</v>
      </c>
      <c r="AA185" s="42">
        <f>SUM(G185:Z185)</f>
        <v>7296359.0493946737</v>
      </c>
      <c r="AB185" s="37" t="str">
        <f>IF(ABS(F185-AA185)&lt;0.01,"ok","err")</f>
        <v>ok</v>
      </c>
    </row>
    <row r="186" spans="1:28">
      <c r="A186" s="39" t="s">
        <v>1239</v>
      </c>
      <c r="D186" s="39" t="s">
        <v>479</v>
      </c>
      <c r="F186" s="57">
        <f>SUM(F183:F185)</f>
        <v>21937345.685325537</v>
      </c>
      <c r="G186" s="57">
        <f t="shared" ref="G186:W186" si="88">SUM(G183:G185)</f>
        <v>9182526.6508071162</v>
      </c>
      <c r="H186" s="57">
        <f t="shared" si="88"/>
        <v>2993255.5828185049</v>
      </c>
      <c r="I186" s="57">
        <f t="shared" si="88"/>
        <v>370874.72375380015</v>
      </c>
      <c r="J186" s="57">
        <f t="shared" si="88"/>
        <v>4117331.1645691879</v>
      </c>
      <c r="K186" s="57">
        <f t="shared" si="88"/>
        <v>2844563.9679214936</v>
      </c>
      <c r="L186" s="57">
        <f t="shared" si="88"/>
        <v>1033007.5200806169</v>
      </c>
      <c r="M186" s="57">
        <f t="shared" si="88"/>
        <v>0</v>
      </c>
      <c r="N186" s="57">
        <f t="shared" si="88"/>
        <v>0</v>
      </c>
      <c r="O186" s="57">
        <f>SUM(O183:O185)</f>
        <v>0</v>
      </c>
      <c r="P186" s="57">
        <f t="shared" si="88"/>
        <v>831183.16877009859</v>
      </c>
      <c r="Q186" s="57">
        <f t="shared" si="88"/>
        <v>401308.60980735993</v>
      </c>
      <c r="R186" s="57">
        <f t="shared" si="88"/>
        <v>88041.68502440922</v>
      </c>
      <c r="S186" s="57">
        <f t="shared" si="88"/>
        <v>68077.43837320905</v>
      </c>
      <c r="T186" s="57">
        <f t="shared" si="88"/>
        <v>2572.2469936437851</v>
      </c>
      <c r="U186" s="57">
        <f t="shared" si="88"/>
        <v>4602.9264060925061</v>
      </c>
      <c r="V186" s="57">
        <f t="shared" si="88"/>
        <v>0</v>
      </c>
      <c r="W186" s="57">
        <f t="shared" si="88"/>
        <v>0</v>
      </c>
      <c r="X186" s="41">
        <f>SUM(X183:X185)</f>
        <v>0</v>
      </c>
      <c r="Y186" s="41">
        <f>SUM(Y183:Y185)</f>
        <v>0</v>
      </c>
      <c r="Z186" s="41">
        <f>SUM(Z183:Z185)</f>
        <v>0</v>
      </c>
      <c r="AA186" s="43">
        <f>SUM(G186:Z186)</f>
        <v>21937345.685325533</v>
      </c>
      <c r="AB186" s="37" t="str">
        <f>IF(ABS(F186-AA186)&lt;0.01,"ok","err")</f>
        <v>ok</v>
      </c>
    </row>
    <row r="187" spans="1:28">
      <c r="F187" s="58"/>
      <c r="G187" s="58"/>
    </row>
    <row r="188" spans="1:28">
      <c r="A188" s="44" t="s">
        <v>365</v>
      </c>
      <c r="F188" s="58"/>
      <c r="G188" s="58"/>
    </row>
    <row r="189" spans="1:28">
      <c r="A189" s="45" t="s">
        <v>392</v>
      </c>
      <c r="C189" s="39" t="s">
        <v>1173</v>
      </c>
      <c r="D189" s="39" t="s">
        <v>480</v>
      </c>
      <c r="E189" s="39" t="s">
        <v>1472</v>
      </c>
      <c r="F189" s="57">
        <f>VLOOKUP(C189,'Functional Assignment'!$C$2:$AP$725,'Functional Assignment'!$Q$2,)</f>
        <v>0</v>
      </c>
      <c r="G189" s="57">
        <f t="shared" ref="G189:Z189" si="89">IF(VLOOKUP($E189,$D$6:$AN$1197,3,)=0,0,(VLOOKUP($E189,$D$6:$AN$1197,G$2,)/VLOOKUP($E189,$D$6:$AN$1197,3,))*$F189)</f>
        <v>0</v>
      </c>
      <c r="H189" s="57">
        <f t="shared" si="89"/>
        <v>0</v>
      </c>
      <c r="I189" s="57">
        <f t="shared" si="89"/>
        <v>0</v>
      </c>
      <c r="J189" s="57">
        <f t="shared" si="89"/>
        <v>0</v>
      </c>
      <c r="K189" s="57">
        <f t="shared" si="89"/>
        <v>0</v>
      </c>
      <c r="L189" s="57">
        <f t="shared" si="89"/>
        <v>0</v>
      </c>
      <c r="M189" s="57">
        <f t="shared" si="89"/>
        <v>0</v>
      </c>
      <c r="N189" s="57">
        <f t="shared" si="89"/>
        <v>0</v>
      </c>
      <c r="O189" s="57">
        <f t="shared" si="89"/>
        <v>0</v>
      </c>
      <c r="P189" s="57">
        <f t="shared" si="89"/>
        <v>0</v>
      </c>
      <c r="Q189" s="57">
        <f t="shared" si="89"/>
        <v>0</v>
      </c>
      <c r="R189" s="57">
        <f t="shared" si="89"/>
        <v>0</v>
      </c>
      <c r="S189" s="57">
        <f t="shared" si="89"/>
        <v>0</v>
      </c>
      <c r="T189" s="57">
        <f t="shared" si="89"/>
        <v>0</v>
      </c>
      <c r="U189" s="57">
        <f t="shared" si="89"/>
        <v>0</v>
      </c>
      <c r="V189" s="57">
        <f t="shared" si="89"/>
        <v>0</v>
      </c>
      <c r="W189" s="57">
        <f t="shared" si="89"/>
        <v>0</v>
      </c>
      <c r="X189" s="41">
        <f t="shared" si="89"/>
        <v>0</v>
      </c>
      <c r="Y189" s="41">
        <f t="shared" si="89"/>
        <v>0</v>
      </c>
      <c r="Z189" s="41">
        <f t="shared" si="89"/>
        <v>0</v>
      </c>
      <c r="AA189" s="43">
        <f>SUM(G189:Z189)</f>
        <v>0</v>
      </c>
      <c r="AB189" s="37" t="str">
        <f>IF(ABS(F189-AA189)&lt;0.01,"ok","err")</f>
        <v>ok</v>
      </c>
    </row>
    <row r="190" spans="1:28">
      <c r="F190" s="58"/>
    </row>
    <row r="191" spans="1:28">
      <c r="A191" s="44" t="s">
        <v>366</v>
      </c>
      <c r="F191" s="58"/>
      <c r="G191" s="58"/>
    </row>
    <row r="192" spans="1:28">
      <c r="A192" s="45" t="s">
        <v>394</v>
      </c>
      <c r="C192" s="39" t="s">
        <v>1173</v>
      </c>
      <c r="D192" s="39" t="s">
        <v>481</v>
      </c>
      <c r="E192" s="39" t="s">
        <v>1471</v>
      </c>
      <c r="F192" s="57">
        <f>VLOOKUP(C192,'Functional Assignment'!$C$2:$AP$725,'Functional Assignment'!$R$2,)</f>
        <v>6250678.6708009951</v>
      </c>
      <c r="G192" s="57">
        <f t="shared" ref="G192:Z192" si="90">IF(VLOOKUP($E192,$D$6:$AN$1197,3,)=0,0,(VLOOKUP($E192,$D$6:$AN$1197,G$2,)/VLOOKUP($E192,$D$6:$AN$1197,3,))*$F192)</f>
        <v>2998789.5216435883</v>
      </c>
      <c r="H192" s="57">
        <f t="shared" si="90"/>
        <v>850760.9465509844</v>
      </c>
      <c r="I192" s="57">
        <f t="shared" si="90"/>
        <v>88662.23843805684</v>
      </c>
      <c r="J192" s="57">
        <f t="shared" si="90"/>
        <v>1037267.2096402281</v>
      </c>
      <c r="K192" s="57">
        <f t="shared" si="90"/>
        <v>830059.60073335818</v>
      </c>
      <c r="L192" s="57">
        <f t="shared" si="90"/>
        <v>248695.16091318027</v>
      </c>
      <c r="M192" s="57">
        <f t="shared" si="90"/>
        <v>0</v>
      </c>
      <c r="N192" s="57">
        <f t="shared" si="90"/>
        <v>0</v>
      </c>
      <c r="O192" s="57">
        <f t="shared" si="90"/>
        <v>0</v>
      </c>
      <c r="P192" s="57">
        <f t="shared" si="90"/>
        <v>0</v>
      </c>
      <c r="Q192" s="57">
        <f t="shared" si="90"/>
        <v>116271.82102864547</v>
      </c>
      <c r="R192" s="57">
        <f t="shared" si="90"/>
        <v>26252.393023902539</v>
      </c>
      <c r="S192" s="57">
        <f t="shared" si="90"/>
        <v>51314.077623712743</v>
      </c>
      <c r="T192" s="57">
        <f t="shared" si="90"/>
        <v>1846.7741060327796</v>
      </c>
      <c r="U192" s="57">
        <f t="shared" si="90"/>
        <v>758.92709930530111</v>
      </c>
      <c r="V192" s="57">
        <f t="shared" si="90"/>
        <v>0</v>
      </c>
      <c r="W192" s="57">
        <f t="shared" si="90"/>
        <v>0</v>
      </c>
      <c r="X192" s="41">
        <f t="shared" si="90"/>
        <v>0</v>
      </c>
      <c r="Y192" s="41">
        <f t="shared" si="90"/>
        <v>0</v>
      </c>
      <c r="Z192" s="41">
        <f t="shared" si="90"/>
        <v>0</v>
      </c>
      <c r="AA192" s="43">
        <f>SUM(G192:Z192)</f>
        <v>6250678.6708009951</v>
      </c>
      <c r="AB192" s="37" t="str">
        <f>IF(ABS(F192-AA192)&lt;0.01,"ok","err")</f>
        <v>ok</v>
      </c>
    </row>
    <row r="193" spans="1:28">
      <c r="F193" s="58"/>
    </row>
    <row r="194" spans="1:28">
      <c r="A194" s="44" t="s">
        <v>393</v>
      </c>
      <c r="F194" s="58"/>
    </row>
    <row r="195" spans="1:28">
      <c r="A195" s="45" t="s">
        <v>644</v>
      </c>
      <c r="C195" s="39" t="s">
        <v>1173</v>
      </c>
      <c r="D195" s="39" t="s">
        <v>482</v>
      </c>
      <c r="E195" s="39" t="s">
        <v>1472</v>
      </c>
      <c r="F195" s="57">
        <f>VLOOKUP(C195,'Functional Assignment'!$C$2:$AP$725,'Functional Assignment'!$S$2,)</f>
        <v>0</v>
      </c>
      <c r="G195" s="57">
        <f t="shared" ref="G195:P199" si="91">IF(VLOOKUP($E195,$D$6:$AN$1197,3,)=0,0,(VLOOKUP($E195,$D$6:$AN$1197,G$2,)/VLOOKUP($E195,$D$6:$AN$1197,3,))*$F195)</f>
        <v>0</v>
      </c>
      <c r="H195" s="57">
        <f t="shared" si="91"/>
        <v>0</v>
      </c>
      <c r="I195" s="57">
        <f t="shared" si="91"/>
        <v>0</v>
      </c>
      <c r="J195" s="57">
        <f t="shared" si="91"/>
        <v>0</v>
      </c>
      <c r="K195" s="57">
        <f t="shared" si="91"/>
        <v>0</v>
      </c>
      <c r="L195" s="57">
        <f t="shared" si="91"/>
        <v>0</v>
      </c>
      <c r="M195" s="57">
        <f t="shared" si="91"/>
        <v>0</v>
      </c>
      <c r="N195" s="57">
        <f t="shared" si="91"/>
        <v>0</v>
      </c>
      <c r="O195" s="57">
        <f t="shared" si="91"/>
        <v>0</v>
      </c>
      <c r="P195" s="57">
        <f t="shared" si="91"/>
        <v>0</v>
      </c>
      <c r="Q195" s="57">
        <f t="shared" ref="Q195:Z199" si="92">IF(VLOOKUP($E195,$D$6:$AN$1197,3,)=0,0,(VLOOKUP($E195,$D$6:$AN$1197,Q$2,)/VLOOKUP($E195,$D$6:$AN$1197,3,))*$F195)</f>
        <v>0</v>
      </c>
      <c r="R195" s="57">
        <f t="shared" si="92"/>
        <v>0</v>
      </c>
      <c r="S195" s="57">
        <f t="shared" si="92"/>
        <v>0</v>
      </c>
      <c r="T195" s="57">
        <f t="shared" si="92"/>
        <v>0</v>
      </c>
      <c r="U195" s="57">
        <f t="shared" si="92"/>
        <v>0</v>
      </c>
      <c r="V195" s="57">
        <f t="shared" si="92"/>
        <v>0</v>
      </c>
      <c r="W195" s="57">
        <f t="shared" si="92"/>
        <v>0</v>
      </c>
      <c r="X195" s="41">
        <f t="shared" si="92"/>
        <v>0</v>
      </c>
      <c r="Y195" s="41">
        <f t="shared" si="92"/>
        <v>0</v>
      </c>
      <c r="Z195" s="41">
        <f t="shared" si="92"/>
        <v>0</v>
      </c>
      <c r="AA195" s="43">
        <f t="shared" ref="AA195:AA200" si="93">SUM(G195:Z195)</f>
        <v>0</v>
      </c>
      <c r="AB195" s="37" t="str">
        <f t="shared" ref="AB195:AB200" si="94">IF(ABS(F195-AA195)&lt;0.01,"ok","err")</f>
        <v>ok</v>
      </c>
    </row>
    <row r="196" spans="1:28">
      <c r="A196" s="45" t="s">
        <v>645</v>
      </c>
      <c r="C196" s="39" t="s">
        <v>1173</v>
      </c>
      <c r="D196" s="39" t="s">
        <v>483</v>
      </c>
      <c r="E196" s="39" t="s">
        <v>1472</v>
      </c>
      <c r="F196" s="58">
        <f>VLOOKUP(C196,'Functional Assignment'!$C$2:$AP$725,'Functional Assignment'!$T$2,)</f>
        <v>13145890.910072114</v>
      </c>
      <c r="G196" s="58">
        <f t="shared" si="91"/>
        <v>6306796.747998924</v>
      </c>
      <c r="H196" s="58">
        <f t="shared" si="91"/>
        <v>1789247.405430258</v>
      </c>
      <c r="I196" s="58">
        <f t="shared" si="91"/>
        <v>186466.81036319197</v>
      </c>
      <c r="J196" s="58">
        <f t="shared" si="91"/>
        <v>2181491.3708846876</v>
      </c>
      <c r="K196" s="58">
        <f t="shared" si="91"/>
        <v>1745710.1116190376</v>
      </c>
      <c r="L196" s="58">
        <f t="shared" si="91"/>
        <v>523034.31793727929</v>
      </c>
      <c r="M196" s="58">
        <f t="shared" si="91"/>
        <v>0</v>
      </c>
      <c r="N196" s="58">
        <f t="shared" si="91"/>
        <v>0</v>
      </c>
      <c r="O196" s="58">
        <f t="shared" si="91"/>
        <v>0</v>
      </c>
      <c r="P196" s="58">
        <f t="shared" si="91"/>
        <v>0</v>
      </c>
      <c r="Q196" s="58">
        <f t="shared" si="92"/>
        <v>244532.91484940986</v>
      </c>
      <c r="R196" s="58">
        <f t="shared" si="92"/>
        <v>55211.779871630584</v>
      </c>
      <c r="S196" s="58">
        <f t="shared" si="92"/>
        <v>107919.36397937687</v>
      </c>
      <c r="T196" s="58">
        <f t="shared" si="92"/>
        <v>3883.9767986892575</v>
      </c>
      <c r="U196" s="58">
        <f t="shared" si="92"/>
        <v>1596.1103396291653</v>
      </c>
      <c r="V196" s="58">
        <f t="shared" si="92"/>
        <v>0</v>
      </c>
      <c r="W196" s="58">
        <f t="shared" si="92"/>
        <v>0</v>
      </c>
      <c r="X196" s="42">
        <f t="shared" si="92"/>
        <v>0</v>
      </c>
      <c r="Y196" s="42">
        <f t="shared" si="92"/>
        <v>0</v>
      </c>
      <c r="Z196" s="42">
        <f t="shared" si="92"/>
        <v>0</v>
      </c>
      <c r="AA196" s="42">
        <f t="shared" si="93"/>
        <v>13145890.910072114</v>
      </c>
      <c r="AB196" s="37" t="str">
        <f t="shared" si="94"/>
        <v>ok</v>
      </c>
    </row>
    <row r="197" spans="1:28">
      <c r="A197" s="45" t="s">
        <v>646</v>
      </c>
      <c r="C197" s="39" t="s">
        <v>1173</v>
      </c>
      <c r="D197" s="39" t="s">
        <v>484</v>
      </c>
      <c r="E197" s="39" t="s">
        <v>733</v>
      </c>
      <c r="F197" s="58">
        <f>VLOOKUP(C197,'Functional Assignment'!$C$2:$AP$725,'Functional Assignment'!$U$2,)</f>
        <v>17643593.161969252</v>
      </c>
      <c r="G197" s="58">
        <f t="shared" si="91"/>
        <v>15188858.3514283</v>
      </c>
      <c r="H197" s="58">
        <f t="shared" si="91"/>
        <v>1890347.2338434986</v>
      </c>
      <c r="I197" s="58">
        <f t="shared" si="91"/>
        <v>3712.3865550736423</v>
      </c>
      <c r="J197" s="58">
        <f t="shared" si="91"/>
        <v>127094.6455913447</v>
      </c>
      <c r="K197" s="58">
        <f t="shared" si="91"/>
        <v>4018.1125066679424</v>
      </c>
      <c r="L197" s="58">
        <f t="shared" si="91"/>
        <v>7075.3720226109417</v>
      </c>
      <c r="M197" s="58">
        <f t="shared" si="91"/>
        <v>0</v>
      </c>
      <c r="N197" s="58">
        <f t="shared" si="91"/>
        <v>0</v>
      </c>
      <c r="O197" s="58">
        <f t="shared" si="91"/>
        <v>0</v>
      </c>
      <c r="P197" s="58">
        <f t="shared" si="91"/>
        <v>0</v>
      </c>
      <c r="Q197" s="58">
        <f t="shared" si="92"/>
        <v>43.67513594204285</v>
      </c>
      <c r="R197" s="58">
        <f t="shared" si="92"/>
        <v>87.3502718840857</v>
      </c>
      <c r="S197" s="58">
        <f t="shared" si="92"/>
        <v>417167.42846401653</v>
      </c>
      <c r="T197" s="58">
        <f t="shared" si="92"/>
        <v>742.47731101472846</v>
      </c>
      <c r="U197" s="58">
        <f t="shared" si="92"/>
        <v>4446.1288388999619</v>
      </c>
      <c r="V197" s="58">
        <f t="shared" si="92"/>
        <v>0</v>
      </c>
      <c r="W197" s="58">
        <f t="shared" si="92"/>
        <v>0</v>
      </c>
      <c r="X197" s="42">
        <f t="shared" si="92"/>
        <v>0</v>
      </c>
      <c r="Y197" s="42">
        <f t="shared" si="92"/>
        <v>0</v>
      </c>
      <c r="Z197" s="42">
        <f t="shared" si="92"/>
        <v>0</v>
      </c>
      <c r="AA197" s="42">
        <f t="shared" si="93"/>
        <v>17643593.161969252</v>
      </c>
      <c r="AB197" s="37" t="str">
        <f t="shared" si="94"/>
        <v>ok</v>
      </c>
    </row>
    <row r="198" spans="1:28">
      <c r="A198" s="45" t="s">
        <v>647</v>
      </c>
      <c r="C198" s="39" t="s">
        <v>1173</v>
      </c>
      <c r="D198" s="39" t="s">
        <v>485</v>
      </c>
      <c r="E198" s="39" t="s">
        <v>711</v>
      </c>
      <c r="F198" s="58">
        <f>VLOOKUP(C198,'Functional Assignment'!$C$2:$AP$725,'Functional Assignment'!$V$2,)</f>
        <v>4381963.6366907042</v>
      </c>
      <c r="G198" s="58">
        <f t="shared" si="91"/>
        <v>3032759.1022096751</v>
      </c>
      <c r="H198" s="58">
        <f t="shared" si="91"/>
        <v>584580.70256371645</v>
      </c>
      <c r="I198" s="58">
        <f t="shared" si="91"/>
        <v>0</v>
      </c>
      <c r="J198" s="58">
        <f t="shared" si="91"/>
        <v>582798.9536632119</v>
      </c>
      <c r="K198" s="58">
        <f t="shared" si="91"/>
        <v>0</v>
      </c>
      <c r="L198" s="58">
        <f t="shared" si="91"/>
        <v>156384.02213128758</v>
      </c>
      <c r="M198" s="58">
        <f t="shared" si="91"/>
        <v>0</v>
      </c>
      <c r="N198" s="58">
        <f t="shared" si="91"/>
        <v>0</v>
      </c>
      <c r="O198" s="58">
        <f t="shared" si="91"/>
        <v>0</v>
      </c>
      <c r="P198" s="58">
        <f t="shared" si="91"/>
        <v>0</v>
      </c>
      <c r="Q198" s="58">
        <f t="shared" si="92"/>
        <v>0</v>
      </c>
      <c r="R198" s="58">
        <f t="shared" si="92"/>
        <v>0</v>
      </c>
      <c r="S198" s="58">
        <f t="shared" si="92"/>
        <v>24184.682711662521</v>
      </c>
      <c r="T198" s="58">
        <f t="shared" si="92"/>
        <v>898.48577555593135</v>
      </c>
      <c r="U198" s="58">
        <f t="shared" si="92"/>
        <v>357.68763559533124</v>
      </c>
      <c r="V198" s="58">
        <f t="shared" si="92"/>
        <v>0</v>
      </c>
      <c r="W198" s="58">
        <f t="shared" si="92"/>
        <v>0</v>
      </c>
      <c r="X198" s="42">
        <f t="shared" si="92"/>
        <v>0</v>
      </c>
      <c r="Y198" s="42">
        <f t="shared" si="92"/>
        <v>0</v>
      </c>
      <c r="Z198" s="42">
        <f t="shared" si="92"/>
        <v>0</v>
      </c>
      <c r="AA198" s="42">
        <f t="shared" si="93"/>
        <v>4381963.6366907042</v>
      </c>
      <c r="AB198" s="37" t="str">
        <f t="shared" si="94"/>
        <v>ok</v>
      </c>
    </row>
    <row r="199" spans="1:28">
      <c r="A199" s="45" t="s">
        <v>648</v>
      </c>
      <c r="C199" s="39" t="s">
        <v>1173</v>
      </c>
      <c r="D199" s="39" t="s">
        <v>486</v>
      </c>
      <c r="E199" s="39" t="s">
        <v>732</v>
      </c>
      <c r="F199" s="58">
        <f>VLOOKUP(C199,'Functional Assignment'!$C$2:$AP$725,'Functional Assignment'!$W$2,)</f>
        <v>5881197.7206564173</v>
      </c>
      <c r="G199" s="58">
        <f t="shared" si="91"/>
        <v>5065209.7090119887</v>
      </c>
      <c r="H199" s="58">
        <f t="shared" si="91"/>
        <v>630396.63289556268</v>
      </c>
      <c r="I199" s="58">
        <f t="shared" si="91"/>
        <v>0</v>
      </c>
      <c r="J199" s="58">
        <f t="shared" si="91"/>
        <v>42383.766963774484</v>
      </c>
      <c r="K199" s="58">
        <f t="shared" si="91"/>
        <v>0</v>
      </c>
      <c r="L199" s="58">
        <f t="shared" si="91"/>
        <v>2359.5086763338372</v>
      </c>
      <c r="M199" s="58">
        <f t="shared" si="91"/>
        <v>0</v>
      </c>
      <c r="N199" s="58">
        <f t="shared" si="91"/>
        <v>0</v>
      </c>
      <c r="O199" s="58">
        <f t="shared" si="91"/>
        <v>0</v>
      </c>
      <c r="P199" s="58">
        <f t="shared" si="91"/>
        <v>0</v>
      </c>
      <c r="Q199" s="58">
        <f t="shared" si="92"/>
        <v>0</v>
      </c>
      <c r="R199" s="58">
        <f t="shared" si="92"/>
        <v>0</v>
      </c>
      <c r="S199" s="58">
        <f t="shared" si="92"/>
        <v>139117.79674611284</v>
      </c>
      <c r="T199" s="58">
        <f t="shared" si="92"/>
        <v>247.60276233132862</v>
      </c>
      <c r="U199" s="58">
        <f t="shared" si="92"/>
        <v>1482.7036003134854</v>
      </c>
      <c r="V199" s="58">
        <f t="shared" si="92"/>
        <v>0</v>
      </c>
      <c r="W199" s="58">
        <f t="shared" si="92"/>
        <v>0</v>
      </c>
      <c r="X199" s="42">
        <f t="shared" si="92"/>
        <v>0</v>
      </c>
      <c r="Y199" s="42">
        <f t="shared" si="92"/>
        <v>0</v>
      </c>
      <c r="Z199" s="42">
        <f t="shared" si="92"/>
        <v>0</v>
      </c>
      <c r="AA199" s="42">
        <f t="shared" si="93"/>
        <v>5881197.7206564173</v>
      </c>
      <c r="AB199" s="37" t="str">
        <f t="shared" si="94"/>
        <v>ok</v>
      </c>
    </row>
    <row r="200" spans="1:28">
      <c r="A200" s="39" t="s">
        <v>398</v>
      </c>
      <c r="D200" s="39" t="s">
        <v>487</v>
      </c>
      <c r="F200" s="57">
        <f>SUM(F195:F199)</f>
        <v>41052645.429388486</v>
      </c>
      <c r="G200" s="57">
        <f t="shared" ref="G200:W200" si="95">SUM(G195:G199)</f>
        <v>29593623.91064889</v>
      </c>
      <c r="H200" s="57">
        <f t="shared" si="95"/>
        <v>4894571.974733036</v>
      </c>
      <c r="I200" s="57">
        <f t="shared" si="95"/>
        <v>190179.1969182656</v>
      </c>
      <c r="J200" s="57">
        <f t="shared" si="95"/>
        <v>2933768.7371030184</v>
      </c>
      <c r="K200" s="57">
        <f t="shared" si="95"/>
        <v>1749728.2241257054</v>
      </c>
      <c r="L200" s="57">
        <f t="shared" si="95"/>
        <v>688853.22076751164</v>
      </c>
      <c r="M200" s="57">
        <f t="shared" si="95"/>
        <v>0</v>
      </c>
      <c r="N200" s="57">
        <f t="shared" si="95"/>
        <v>0</v>
      </c>
      <c r="O200" s="57">
        <f>SUM(O195:O199)</f>
        <v>0</v>
      </c>
      <c r="P200" s="57">
        <f t="shared" si="95"/>
        <v>0</v>
      </c>
      <c r="Q200" s="57">
        <f t="shared" si="95"/>
        <v>244576.58998535189</v>
      </c>
      <c r="R200" s="57">
        <f t="shared" si="95"/>
        <v>55299.130143514667</v>
      </c>
      <c r="S200" s="57">
        <f t="shared" si="95"/>
        <v>688389.27190116874</v>
      </c>
      <c r="T200" s="57">
        <f t="shared" si="95"/>
        <v>5772.5426475912454</v>
      </c>
      <c r="U200" s="57">
        <f t="shared" si="95"/>
        <v>7882.6304144379437</v>
      </c>
      <c r="V200" s="57">
        <f t="shared" si="95"/>
        <v>0</v>
      </c>
      <c r="W200" s="57">
        <f t="shared" si="95"/>
        <v>0</v>
      </c>
      <c r="X200" s="41">
        <f>SUM(X195:X199)</f>
        <v>0</v>
      </c>
      <c r="Y200" s="41">
        <f>SUM(Y195:Y199)</f>
        <v>0</v>
      </c>
      <c r="Z200" s="41">
        <f>SUM(Z195:Z199)</f>
        <v>0</v>
      </c>
      <c r="AA200" s="43">
        <f t="shared" si="93"/>
        <v>41052645.429388486</v>
      </c>
      <c r="AB200" s="37" t="str">
        <f t="shared" si="94"/>
        <v>ok</v>
      </c>
    </row>
    <row r="201" spans="1:28">
      <c r="F201" s="58"/>
    </row>
    <row r="202" spans="1:28">
      <c r="A202" s="44" t="s">
        <v>666</v>
      </c>
      <c r="F202" s="58"/>
    </row>
    <row r="203" spans="1:28">
      <c r="A203" s="45" t="s">
        <v>1196</v>
      </c>
      <c r="C203" s="39" t="s">
        <v>1173</v>
      </c>
      <c r="D203" s="39" t="s">
        <v>488</v>
      </c>
      <c r="E203" s="39" t="s">
        <v>711</v>
      </c>
      <c r="F203" s="57">
        <f>VLOOKUP(C203,'Functional Assignment'!$C$2:$AP$725,'Functional Assignment'!$X$2,)</f>
        <v>970853.56833132496</v>
      </c>
      <c r="G203" s="57">
        <f t="shared" ref="G203:P204" si="96">IF(VLOOKUP($E203,$D$6:$AN$1197,3,)=0,0,(VLOOKUP($E203,$D$6:$AN$1197,G$2,)/VLOOKUP($E203,$D$6:$AN$1197,3,))*$F203)</f>
        <v>671928.21309972752</v>
      </c>
      <c r="H203" s="57">
        <f t="shared" si="96"/>
        <v>129517.79341789102</v>
      </c>
      <c r="I203" s="57">
        <f t="shared" si="96"/>
        <v>0</v>
      </c>
      <c r="J203" s="57">
        <f t="shared" si="96"/>
        <v>129123.03494398647</v>
      </c>
      <c r="K203" s="57">
        <f t="shared" si="96"/>
        <v>0</v>
      </c>
      <c r="L203" s="57">
        <f t="shared" si="96"/>
        <v>34647.933781309446</v>
      </c>
      <c r="M203" s="57">
        <f t="shared" si="96"/>
        <v>0</v>
      </c>
      <c r="N203" s="57">
        <f t="shared" si="96"/>
        <v>0</v>
      </c>
      <c r="O203" s="57">
        <f t="shared" si="96"/>
        <v>0</v>
      </c>
      <c r="P203" s="57">
        <f t="shared" si="96"/>
        <v>0</v>
      </c>
      <c r="Q203" s="57">
        <f t="shared" ref="Q203:Z204" si="97">IF(VLOOKUP($E203,$D$6:$AN$1197,3,)=0,0,(VLOOKUP($E203,$D$6:$AN$1197,Q$2,)/VLOOKUP($E203,$D$6:$AN$1197,3,))*$F203)</f>
        <v>0</v>
      </c>
      <c r="R203" s="57">
        <f t="shared" si="97"/>
        <v>0</v>
      </c>
      <c r="S203" s="57">
        <f t="shared" si="97"/>
        <v>5358.2794053742073</v>
      </c>
      <c r="T203" s="57">
        <f t="shared" si="97"/>
        <v>199.0655773565891</v>
      </c>
      <c r="U203" s="57">
        <f t="shared" si="97"/>
        <v>79.24810567984936</v>
      </c>
      <c r="V203" s="57">
        <f t="shared" si="97"/>
        <v>0</v>
      </c>
      <c r="W203" s="57">
        <f t="shared" si="97"/>
        <v>0</v>
      </c>
      <c r="X203" s="41">
        <f t="shared" si="97"/>
        <v>0</v>
      </c>
      <c r="Y203" s="41">
        <f t="shared" si="97"/>
        <v>0</v>
      </c>
      <c r="Z203" s="41">
        <f t="shared" si="97"/>
        <v>0</v>
      </c>
      <c r="AA203" s="43">
        <f>SUM(G203:Z203)</f>
        <v>970853.56833132508</v>
      </c>
      <c r="AB203" s="37" t="str">
        <f>IF(ABS(F203-AA203)&lt;0.01,"ok","err")</f>
        <v>ok</v>
      </c>
    </row>
    <row r="204" spans="1:28">
      <c r="A204" s="45" t="s">
        <v>1199</v>
      </c>
      <c r="C204" s="39" t="s">
        <v>1173</v>
      </c>
      <c r="D204" s="39" t="s">
        <v>489</v>
      </c>
      <c r="E204" s="39" t="s">
        <v>732</v>
      </c>
      <c r="F204" s="58">
        <f>VLOOKUP(C204,'Functional Assignment'!$C$2:$AP$725,'Functional Assignment'!$Y$2,)</f>
        <v>772151.04267643951</v>
      </c>
      <c r="G204" s="58">
        <f t="shared" si="96"/>
        <v>665018.78426081932</v>
      </c>
      <c r="H204" s="58">
        <f t="shared" si="96"/>
        <v>82765.695103292077</v>
      </c>
      <c r="I204" s="58">
        <f t="shared" si="96"/>
        <v>0</v>
      </c>
      <c r="J204" s="58">
        <f t="shared" si="96"/>
        <v>5564.6266981789186</v>
      </c>
      <c r="K204" s="58">
        <f t="shared" si="96"/>
        <v>0</v>
      </c>
      <c r="L204" s="58">
        <f t="shared" si="96"/>
        <v>309.78334196047587</v>
      </c>
      <c r="M204" s="58">
        <f t="shared" si="96"/>
        <v>0</v>
      </c>
      <c r="N204" s="58">
        <f t="shared" si="96"/>
        <v>0</v>
      </c>
      <c r="O204" s="58">
        <f t="shared" si="96"/>
        <v>0</v>
      </c>
      <c r="P204" s="58">
        <f t="shared" si="96"/>
        <v>0</v>
      </c>
      <c r="Q204" s="58">
        <f t="shared" si="97"/>
        <v>0</v>
      </c>
      <c r="R204" s="58">
        <f t="shared" si="97"/>
        <v>0</v>
      </c>
      <c r="S204" s="58">
        <f t="shared" si="97"/>
        <v>18264.978821417786</v>
      </c>
      <c r="T204" s="58">
        <f t="shared" si="97"/>
        <v>32.508128477333891</v>
      </c>
      <c r="U204" s="58">
        <f t="shared" si="97"/>
        <v>194.66632229368173</v>
      </c>
      <c r="V204" s="58">
        <f t="shared" si="97"/>
        <v>0</v>
      </c>
      <c r="W204" s="58">
        <f t="shared" si="97"/>
        <v>0</v>
      </c>
      <c r="X204" s="42">
        <f t="shared" si="97"/>
        <v>0</v>
      </c>
      <c r="Y204" s="42">
        <f t="shared" si="97"/>
        <v>0</v>
      </c>
      <c r="Z204" s="42">
        <f t="shared" si="97"/>
        <v>0</v>
      </c>
      <c r="AA204" s="42">
        <f>SUM(G204:Z204)</f>
        <v>772151.04267643974</v>
      </c>
      <c r="AB204" s="37" t="str">
        <f>IF(ABS(F204-AA204)&lt;0.01,"ok","err")</f>
        <v>ok</v>
      </c>
    </row>
    <row r="205" spans="1:28">
      <c r="A205" s="39" t="s">
        <v>773</v>
      </c>
      <c r="D205" s="39" t="s">
        <v>490</v>
      </c>
      <c r="F205" s="57">
        <f>F203+F204</f>
        <v>1743004.6110077645</v>
      </c>
      <c r="G205" s="57">
        <f t="shared" ref="G205:W205" si="98">G203+G204</f>
        <v>1336946.9973605468</v>
      </c>
      <c r="H205" s="57">
        <f t="shared" si="98"/>
        <v>212283.48852118308</v>
      </c>
      <c r="I205" s="57">
        <f t="shared" si="98"/>
        <v>0</v>
      </c>
      <c r="J205" s="57">
        <f t="shared" si="98"/>
        <v>134687.66164216539</v>
      </c>
      <c r="K205" s="57">
        <f t="shared" si="98"/>
        <v>0</v>
      </c>
      <c r="L205" s="57">
        <f t="shared" si="98"/>
        <v>34957.717123269926</v>
      </c>
      <c r="M205" s="57">
        <f t="shared" si="98"/>
        <v>0</v>
      </c>
      <c r="N205" s="57">
        <f t="shared" si="98"/>
        <v>0</v>
      </c>
      <c r="O205" s="57">
        <f>O203+O204</f>
        <v>0</v>
      </c>
      <c r="P205" s="57">
        <f t="shared" si="98"/>
        <v>0</v>
      </c>
      <c r="Q205" s="57">
        <f t="shared" si="98"/>
        <v>0</v>
      </c>
      <c r="R205" s="57">
        <f t="shared" si="98"/>
        <v>0</v>
      </c>
      <c r="S205" s="57">
        <f t="shared" si="98"/>
        <v>23623.258226791993</v>
      </c>
      <c r="T205" s="57">
        <f t="shared" si="98"/>
        <v>231.57370583392299</v>
      </c>
      <c r="U205" s="57">
        <f t="shared" si="98"/>
        <v>273.91442797353108</v>
      </c>
      <c r="V205" s="57">
        <f t="shared" si="98"/>
        <v>0</v>
      </c>
      <c r="W205" s="57">
        <f t="shared" si="98"/>
        <v>0</v>
      </c>
      <c r="X205" s="41">
        <f>X203+X204</f>
        <v>0</v>
      </c>
      <c r="Y205" s="41">
        <f>Y203+Y204</f>
        <v>0</v>
      </c>
      <c r="Z205" s="41">
        <f>Z203+Z204</f>
        <v>0</v>
      </c>
      <c r="AA205" s="43">
        <f>SUM(G205:Z205)</f>
        <v>1743004.6110077649</v>
      </c>
      <c r="AB205" s="37" t="str">
        <f>IF(ABS(F205-AA205)&lt;0.01,"ok","err")</f>
        <v>ok</v>
      </c>
    </row>
    <row r="206" spans="1:28">
      <c r="F206" s="58"/>
    </row>
    <row r="207" spans="1:28">
      <c r="A207" s="44" t="s">
        <v>371</v>
      </c>
      <c r="F207" s="58"/>
    </row>
    <row r="208" spans="1:28">
      <c r="A208" s="45" t="s">
        <v>1199</v>
      </c>
      <c r="C208" s="39" t="s">
        <v>1173</v>
      </c>
      <c r="D208" s="39" t="s">
        <v>491</v>
      </c>
      <c r="E208" s="39" t="s">
        <v>1201</v>
      </c>
      <c r="F208" s="57">
        <f>VLOOKUP(C208,'Functional Assignment'!$C$2:$AP$725,'Functional Assignment'!$Z$2,)</f>
        <v>279495.42293835472</v>
      </c>
      <c r="G208" s="57">
        <f t="shared" ref="G208:Z208" si="99">IF(VLOOKUP($E208,$D$6:$AN$1197,3,)=0,0,(VLOOKUP($E208,$D$6:$AN$1197,G$2,)/VLOOKUP($E208,$D$6:$AN$1197,3,))*$F208)</f>
        <v>231197.04042114265</v>
      </c>
      <c r="H208" s="57">
        <f t="shared" si="99"/>
        <v>38612.164538486708</v>
      </c>
      <c r="I208" s="57">
        <f t="shared" si="99"/>
        <v>0</v>
      </c>
      <c r="J208" s="57">
        <f t="shared" si="99"/>
        <v>8248.4282766408342</v>
      </c>
      <c r="K208" s="57">
        <f t="shared" si="99"/>
        <v>0</v>
      </c>
      <c r="L208" s="57">
        <f t="shared" si="99"/>
        <v>656.82716782584862</v>
      </c>
      <c r="M208" s="57">
        <f t="shared" si="99"/>
        <v>0</v>
      </c>
      <c r="N208" s="57">
        <f t="shared" si="99"/>
        <v>0</v>
      </c>
      <c r="O208" s="57">
        <f t="shared" si="99"/>
        <v>0</v>
      </c>
      <c r="P208" s="57">
        <f t="shared" si="99"/>
        <v>0</v>
      </c>
      <c r="Q208" s="57">
        <f t="shared" si="99"/>
        <v>0</v>
      </c>
      <c r="R208" s="57">
        <f t="shared" si="99"/>
        <v>0</v>
      </c>
      <c r="S208" s="57">
        <f t="shared" si="99"/>
        <v>0</v>
      </c>
      <c r="T208" s="57">
        <f t="shared" si="99"/>
        <v>113.43956207115356</v>
      </c>
      <c r="U208" s="57">
        <f t="shared" si="99"/>
        <v>667.52297218748163</v>
      </c>
      <c r="V208" s="57">
        <f t="shared" si="99"/>
        <v>0</v>
      </c>
      <c r="W208" s="57">
        <f t="shared" si="99"/>
        <v>0</v>
      </c>
      <c r="X208" s="41">
        <f t="shared" si="99"/>
        <v>0</v>
      </c>
      <c r="Y208" s="41">
        <f t="shared" si="99"/>
        <v>0</v>
      </c>
      <c r="Z208" s="41">
        <f t="shared" si="99"/>
        <v>0</v>
      </c>
      <c r="AA208" s="43">
        <f>SUM(G208:Z208)</f>
        <v>279495.42293835466</v>
      </c>
      <c r="AB208" s="37" t="str">
        <f>IF(ABS(F208-AA208)&lt;0.01,"ok","err")</f>
        <v>ok</v>
      </c>
    </row>
    <row r="209" spans="1:28">
      <c r="F209" s="58"/>
    </row>
    <row r="210" spans="1:28">
      <c r="A210" s="44" t="s">
        <v>370</v>
      </c>
      <c r="F210" s="58"/>
    </row>
    <row r="211" spans="1:28">
      <c r="A211" s="45" t="s">
        <v>1199</v>
      </c>
      <c r="C211" s="39" t="s">
        <v>1173</v>
      </c>
      <c r="D211" s="39" t="s">
        <v>492</v>
      </c>
      <c r="E211" s="39" t="s">
        <v>1202</v>
      </c>
      <c r="F211" s="57">
        <f>VLOOKUP(C211,'Functional Assignment'!$C$2:$AP$725,'Functional Assignment'!$AA$2,)</f>
        <v>11283280.889659673</v>
      </c>
      <c r="G211" s="57">
        <f t="shared" ref="G211:Z211" si="100">IF(VLOOKUP($E211,$D$6:$AN$1197,3,)=0,0,(VLOOKUP($E211,$D$6:$AN$1197,G$2,)/VLOOKUP($E211,$D$6:$AN$1197,3,))*$F211)</f>
        <v>7897059.2013071217</v>
      </c>
      <c r="H211" s="57">
        <f t="shared" si="100"/>
        <v>2345261.46844836</v>
      </c>
      <c r="I211" s="57">
        <f t="shared" si="100"/>
        <v>107014.29058946553</v>
      </c>
      <c r="J211" s="57">
        <f t="shared" si="100"/>
        <v>614466.80451836705</v>
      </c>
      <c r="K211" s="57">
        <f t="shared" si="100"/>
        <v>120427.4626849078</v>
      </c>
      <c r="L211" s="57">
        <f t="shared" si="100"/>
        <v>36916.9379099625</v>
      </c>
      <c r="M211" s="57">
        <f t="shared" si="100"/>
        <v>0</v>
      </c>
      <c r="N211" s="57">
        <f t="shared" si="100"/>
        <v>0</v>
      </c>
      <c r="O211" s="57">
        <f t="shared" si="100"/>
        <v>0</v>
      </c>
      <c r="P211" s="57">
        <f t="shared" si="100"/>
        <v>106432.21117138477</v>
      </c>
      <c r="Q211" s="57">
        <f t="shared" si="100"/>
        <v>9675.6555610349769</v>
      </c>
      <c r="R211" s="57">
        <f t="shared" si="100"/>
        <v>19351.311122069954</v>
      </c>
      <c r="S211" s="57">
        <f t="shared" si="100"/>
        <v>0</v>
      </c>
      <c r="T211" s="57">
        <f t="shared" si="100"/>
        <v>3874.7854895305586</v>
      </c>
      <c r="U211" s="57">
        <f t="shared" si="100"/>
        <v>22800.760857468838</v>
      </c>
      <c r="V211" s="57">
        <f t="shared" si="100"/>
        <v>0</v>
      </c>
      <c r="W211" s="57">
        <f t="shared" si="100"/>
        <v>0</v>
      </c>
      <c r="X211" s="41">
        <f t="shared" si="100"/>
        <v>0</v>
      </c>
      <c r="Y211" s="41">
        <f t="shared" si="100"/>
        <v>0</v>
      </c>
      <c r="Z211" s="41">
        <f t="shared" si="100"/>
        <v>0</v>
      </c>
      <c r="AA211" s="43">
        <f>SUM(G211:Z211)</f>
        <v>11283280.889659671</v>
      </c>
      <c r="AB211" s="37" t="str">
        <f>IF(ABS(F211-AA211)&lt;0.01,"ok","err")</f>
        <v>ok</v>
      </c>
    </row>
    <row r="212" spans="1:28">
      <c r="F212" s="58"/>
    </row>
    <row r="213" spans="1:28">
      <c r="A213" s="44" t="s">
        <v>391</v>
      </c>
      <c r="F213" s="58"/>
    </row>
    <row r="214" spans="1:28">
      <c r="A214" s="45" t="s">
        <v>1199</v>
      </c>
      <c r="C214" s="39" t="s">
        <v>1173</v>
      </c>
      <c r="D214" s="39" t="s">
        <v>493</v>
      </c>
      <c r="E214" s="39" t="s">
        <v>1203</v>
      </c>
      <c r="F214" s="57">
        <f>VLOOKUP(C214,'Functional Assignment'!$C$2:$AP$725,'Functional Assignment'!$AB$2,)</f>
        <v>1171208.8749208294</v>
      </c>
      <c r="G214" s="57">
        <f t="shared" ref="G214:Z214" si="101">IF(VLOOKUP($E214,$D$6:$AN$1197,3,)=0,0,(VLOOKUP($E214,$D$6:$AN$1197,G$2,)/VLOOKUP($E214,$D$6:$AN$1197,3,))*$F214)</f>
        <v>0</v>
      </c>
      <c r="H214" s="57">
        <f t="shared" si="101"/>
        <v>0</v>
      </c>
      <c r="I214" s="57">
        <f t="shared" si="101"/>
        <v>0</v>
      </c>
      <c r="J214" s="57">
        <f t="shared" si="101"/>
        <v>0</v>
      </c>
      <c r="K214" s="57">
        <f t="shared" si="101"/>
        <v>0</v>
      </c>
      <c r="L214" s="57">
        <f t="shared" si="101"/>
        <v>0</v>
      </c>
      <c r="M214" s="57">
        <f t="shared" si="101"/>
        <v>0</v>
      </c>
      <c r="N214" s="57">
        <f t="shared" si="101"/>
        <v>0</v>
      </c>
      <c r="O214" s="57">
        <f t="shared" si="101"/>
        <v>0</v>
      </c>
      <c r="P214" s="57">
        <f t="shared" si="101"/>
        <v>0</v>
      </c>
      <c r="Q214" s="57">
        <f t="shared" si="101"/>
        <v>0</v>
      </c>
      <c r="R214" s="57">
        <f t="shared" si="101"/>
        <v>0</v>
      </c>
      <c r="S214" s="57">
        <f t="shared" si="101"/>
        <v>1171208.8749208294</v>
      </c>
      <c r="T214" s="57">
        <f t="shared" si="101"/>
        <v>0</v>
      </c>
      <c r="U214" s="57">
        <f t="shared" si="101"/>
        <v>0</v>
      </c>
      <c r="V214" s="57">
        <f t="shared" si="101"/>
        <v>0</v>
      </c>
      <c r="W214" s="57">
        <f t="shared" si="101"/>
        <v>0</v>
      </c>
      <c r="X214" s="41">
        <f t="shared" si="101"/>
        <v>0</v>
      </c>
      <c r="Y214" s="41">
        <f t="shared" si="101"/>
        <v>0</v>
      </c>
      <c r="Z214" s="41">
        <f t="shared" si="101"/>
        <v>0</v>
      </c>
      <c r="AA214" s="43">
        <f>SUM(G214:Z214)</f>
        <v>1171208.8749208294</v>
      </c>
      <c r="AB214" s="37" t="str">
        <f>IF(ABS(F214-AA214)&lt;0.01,"ok","err")</f>
        <v>ok</v>
      </c>
    </row>
    <row r="215" spans="1:28">
      <c r="F215" s="58"/>
    </row>
    <row r="216" spans="1:28">
      <c r="A216" s="44" t="s">
        <v>1129</v>
      </c>
      <c r="F216" s="58"/>
    </row>
    <row r="217" spans="1:28">
      <c r="A217" s="45" t="s">
        <v>1199</v>
      </c>
      <c r="C217" s="39" t="s">
        <v>1173</v>
      </c>
      <c r="D217" s="39" t="s">
        <v>494</v>
      </c>
      <c r="E217" s="39" t="s">
        <v>1204</v>
      </c>
      <c r="F217" s="57">
        <f>VLOOKUP(C217,'Functional Assignment'!$C$2:$AP$725,'Functional Assignment'!$AC$2,)</f>
        <v>16962250.956368335</v>
      </c>
      <c r="G217" s="57">
        <f t="shared" ref="G217:Z217" si="102">IF(VLOOKUP($E217,$D$6:$AN$1197,3,)=0,0,(VLOOKUP($E217,$D$6:$AN$1197,G$2,)/VLOOKUP($E217,$D$6:$AN$1197,3,))*$F217)</f>
        <v>12669054.858753992</v>
      </c>
      <c r="H217" s="57">
        <f t="shared" si="102"/>
        <v>3153484.2518832344</v>
      </c>
      <c r="I217" s="57">
        <f t="shared" si="102"/>
        <v>15482.542477824209</v>
      </c>
      <c r="J217" s="57">
        <f t="shared" si="102"/>
        <v>530049.39541727584</v>
      </c>
      <c r="K217" s="57">
        <f t="shared" si="102"/>
        <v>83787.876938813366</v>
      </c>
      <c r="L217" s="57">
        <f t="shared" si="102"/>
        <v>147539.52243573655</v>
      </c>
      <c r="M217" s="57">
        <f t="shared" si="102"/>
        <v>0</v>
      </c>
      <c r="N217" s="57">
        <f t="shared" si="102"/>
        <v>0</v>
      </c>
      <c r="O217" s="57">
        <f t="shared" si="102"/>
        <v>0</v>
      </c>
      <c r="P217" s="57">
        <f t="shared" si="102"/>
        <v>10018.115720945076</v>
      </c>
      <c r="Q217" s="57">
        <f t="shared" si="102"/>
        <v>182.14755856263773</v>
      </c>
      <c r="R217" s="57">
        <f t="shared" si="102"/>
        <v>364.29511712527545</v>
      </c>
      <c r="S217" s="57">
        <f t="shared" si="102"/>
        <v>347960.1240733781</v>
      </c>
      <c r="T217" s="57">
        <f t="shared" si="102"/>
        <v>619.30169911296832</v>
      </c>
      <c r="U217" s="57">
        <f t="shared" si="102"/>
        <v>3708.5242923353044</v>
      </c>
      <c r="V217" s="57">
        <f t="shared" si="102"/>
        <v>0</v>
      </c>
      <c r="W217" s="57">
        <f t="shared" si="102"/>
        <v>0</v>
      </c>
      <c r="X217" s="41">
        <f t="shared" si="102"/>
        <v>0</v>
      </c>
      <c r="Y217" s="41">
        <f t="shared" si="102"/>
        <v>0</v>
      </c>
      <c r="Z217" s="41">
        <f t="shared" si="102"/>
        <v>0</v>
      </c>
      <c r="AA217" s="43">
        <f>SUM(G217:Z217)</f>
        <v>16962250.956368331</v>
      </c>
      <c r="AB217" s="37" t="str">
        <f>IF(ABS(F217-AA217)&lt;0.01,"ok","err")</f>
        <v>ok</v>
      </c>
    </row>
    <row r="218" spans="1:28">
      <c r="F218" s="58"/>
    </row>
    <row r="219" spans="1:28">
      <c r="A219" s="44" t="s">
        <v>368</v>
      </c>
      <c r="F219" s="58"/>
    </row>
    <row r="220" spans="1:28">
      <c r="A220" s="45" t="s">
        <v>1199</v>
      </c>
      <c r="C220" s="39" t="s">
        <v>1173</v>
      </c>
      <c r="D220" s="39" t="s">
        <v>495</v>
      </c>
      <c r="E220" s="39" t="s">
        <v>1204</v>
      </c>
      <c r="F220" s="57">
        <f>VLOOKUP(C220,'Functional Assignment'!$C$2:$AP$725,'Functional Assignment'!$AD$2,)</f>
        <v>12399361.494157936</v>
      </c>
      <c r="G220" s="57">
        <f t="shared" ref="G220:Z220" si="103">IF(VLOOKUP($E220,$D$6:$AN$1197,3,)=0,0,(VLOOKUP($E220,$D$6:$AN$1197,G$2,)/VLOOKUP($E220,$D$6:$AN$1197,3,))*$F220)</f>
        <v>9261046.2719295714</v>
      </c>
      <c r="H220" s="57">
        <f t="shared" si="103"/>
        <v>2305188.8163790083</v>
      </c>
      <c r="I220" s="57">
        <f t="shared" si="103"/>
        <v>11317.698430768894</v>
      </c>
      <c r="J220" s="57">
        <f t="shared" si="103"/>
        <v>387464.7345122057</v>
      </c>
      <c r="K220" s="57">
        <f t="shared" si="103"/>
        <v>61248.720919455198</v>
      </c>
      <c r="L220" s="57">
        <f t="shared" si="103"/>
        <v>107851.0085755624</v>
      </c>
      <c r="M220" s="57">
        <f t="shared" si="103"/>
        <v>0</v>
      </c>
      <c r="N220" s="57">
        <f t="shared" si="103"/>
        <v>0</v>
      </c>
      <c r="O220" s="57">
        <f t="shared" si="103"/>
        <v>0</v>
      </c>
      <c r="P220" s="57">
        <f t="shared" si="103"/>
        <v>7323.2166316739904</v>
      </c>
      <c r="Q220" s="57">
        <f t="shared" si="103"/>
        <v>133.14939330316346</v>
      </c>
      <c r="R220" s="57">
        <f t="shared" si="103"/>
        <v>266.29878660632693</v>
      </c>
      <c r="S220" s="57">
        <f t="shared" si="103"/>
        <v>254357.94901489923</v>
      </c>
      <c r="T220" s="57">
        <f t="shared" si="103"/>
        <v>452.70793723075582</v>
      </c>
      <c r="U220" s="57">
        <f t="shared" si="103"/>
        <v>2710.9216476524084</v>
      </c>
      <c r="V220" s="57">
        <f t="shared" si="103"/>
        <v>0</v>
      </c>
      <c r="W220" s="57">
        <f t="shared" si="103"/>
        <v>0</v>
      </c>
      <c r="X220" s="41">
        <f t="shared" si="103"/>
        <v>0</v>
      </c>
      <c r="Y220" s="41">
        <f t="shared" si="103"/>
        <v>0</v>
      </c>
      <c r="Z220" s="41">
        <f t="shared" si="103"/>
        <v>0</v>
      </c>
      <c r="AA220" s="43">
        <f>SUM(G220:Z220)</f>
        <v>12399361.494157938</v>
      </c>
      <c r="AB220" s="37" t="str">
        <f>IF(ABS(F220-AA220)&lt;0.01,"ok","err")</f>
        <v>ok</v>
      </c>
    </row>
    <row r="221" spans="1:28">
      <c r="F221" s="58"/>
    </row>
    <row r="222" spans="1:28">
      <c r="A222" s="44" t="s">
        <v>367</v>
      </c>
      <c r="F222" s="58"/>
    </row>
    <row r="223" spans="1:28">
      <c r="A223" s="45" t="s">
        <v>1199</v>
      </c>
      <c r="C223" s="39" t="s">
        <v>1173</v>
      </c>
      <c r="D223" s="39" t="s">
        <v>496</v>
      </c>
      <c r="E223" s="39" t="s">
        <v>1205</v>
      </c>
      <c r="F223" s="57">
        <f>VLOOKUP(C223,'Functional Assignment'!$C$2:$AP$725,'Functional Assignment'!$AE$2,)</f>
        <v>0</v>
      </c>
      <c r="G223" s="57">
        <f t="shared" ref="G223:Z223" si="104">IF(VLOOKUP($E223,$D$6:$AN$1197,3,)=0,0,(VLOOKUP($E223,$D$6:$AN$1197,G$2,)/VLOOKUP($E223,$D$6:$AN$1197,3,))*$F223)</f>
        <v>0</v>
      </c>
      <c r="H223" s="57">
        <f t="shared" si="104"/>
        <v>0</v>
      </c>
      <c r="I223" s="57">
        <f t="shared" si="104"/>
        <v>0</v>
      </c>
      <c r="J223" s="57">
        <f t="shared" si="104"/>
        <v>0</v>
      </c>
      <c r="K223" s="57">
        <f t="shared" si="104"/>
        <v>0</v>
      </c>
      <c r="L223" s="57">
        <f t="shared" si="104"/>
        <v>0</v>
      </c>
      <c r="M223" s="57">
        <f t="shared" si="104"/>
        <v>0</v>
      </c>
      <c r="N223" s="57">
        <f t="shared" si="104"/>
        <v>0</v>
      </c>
      <c r="O223" s="57">
        <f t="shared" si="104"/>
        <v>0</v>
      </c>
      <c r="P223" s="57">
        <f t="shared" si="104"/>
        <v>0</v>
      </c>
      <c r="Q223" s="57">
        <f t="shared" si="104"/>
        <v>0</v>
      </c>
      <c r="R223" s="57">
        <f t="shared" si="104"/>
        <v>0</v>
      </c>
      <c r="S223" s="57">
        <f t="shared" si="104"/>
        <v>0</v>
      </c>
      <c r="T223" s="57">
        <f t="shared" si="104"/>
        <v>0</v>
      </c>
      <c r="U223" s="57">
        <f t="shared" si="104"/>
        <v>0</v>
      </c>
      <c r="V223" s="57">
        <f t="shared" si="104"/>
        <v>0</v>
      </c>
      <c r="W223" s="57">
        <f t="shared" si="104"/>
        <v>0</v>
      </c>
      <c r="X223" s="41">
        <f t="shared" si="104"/>
        <v>0</v>
      </c>
      <c r="Y223" s="41">
        <f t="shared" si="104"/>
        <v>0</v>
      </c>
      <c r="Z223" s="41">
        <f t="shared" si="104"/>
        <v>0</v>
      </c>
      <c r="AA223" s="43">
        <f>SUM(G223:Z223)</f>
        <v>0</v>
      </c>
      <c r="AB223" s="37" t="str">
        <f>IF(ABS(F223-AA223)&lt;0.01,"ok","err")</f>
        <v>ok</v>
      </c>
    </row>
    <row r="224" spans="1:28">
      <c r="F224" s="58"/>
    </row>
    <row r="225" spans="1:28">
      <c r="A225" s="39" t="s">
        <v>1026</v>
      </c>
      <c r="D225" s="39" t="s">
        <v>1212</v>
      </c>
      <c r="F225" s="57">
        <f>F180+F186+F189+F192+F200+F205+F208+F211+F214+F217+F220+F223</f>
        <v>728886233.41999996</v>
      </c>
      <c r="G225" s="57">
        <f t="shared" ref="G225:Z225" si="105">G180+G186+G189+G192+G200+G205+G208+G211+G214+G217+G220+G223</f>
        <v>305307217.92472637</v>
      </c>
      <c r="H225" s="57">
        <f t="shared" si="105"/>
        <v>93902408.21785973</v>
      </c>
      <c r="I225" s="57">
        <f t="shared" si="105"/>
        <v>12711406.609503428</v>
      </c>
      <c r="J225" s="57">
        <f t="shared" si="105"/>
        <v>132081405.25457406</v>
      </c>
      <c r="K225" s="57">
        <f t="shared" si="105"/>
        <v>101149914.31181432</v>
      </c>
      <c r="L225" s="57">
        <f t="shared" si="105"/>
        <v>33505511.516874291</v>
      </c>
      <c r="M225" s="57">
        <f t="shared" si="105"/>
        <v>0</v>
      </c>
      <c r="N225" s="57">
        <f t="shared" si="105"/>
        <v>0</v>
      </c>
      <c r="O225" s="57">
        <f>O180+O186+O189+O192+O200+O205+O208+O211+O214+O217+O220+O223</f>
        <v>0</v>
      </c>
      <c r="P225" s="57">
        <f t="shared" si="105"/>
        <v>27195885.448624581</v>
      </c>
      <c r="Q225" s="57">
        <f t="shared" si="105"/>
        <v>12077570.071295293</v>
      </c>
      <c r="R225" s="57">
        <f t="shared" si="105"/>
        <v>3118170.5959075131</v>
      </c>
      <c r="S225" s="57">
        <f t="shared" si="105"/>
        <v>7447585.5020030765</v>
      </c>
      <c r="T225" s="57">
        <f t="shared" si="105"/>
        <v>188006.2921055039</v>
      </c>
      <c r="U225" s="57">
        <f t="shared" si="105"/>
        <v>201151.67471183612</v>
      </c>
      <c r="V225" s="57">
        <f t="shared" si="105"/>
        <v>0</v>
      </c>
      <c r="W225" s="57">
        <f t="shared" si="105"/>
        <v>0</v>
      </c>
      <c r="X225" s="41">
        <f t="shared" si="105"/>
        <v>0</v>
      </c>
      <c r="Y225" s="41">
        <f t="shared" si="105"/>
        <v>0</v>
      </c>
      <c r="Z225" s="41">
        <f t="shared" si="105"/>
        <v>0</v>
      </c>
      <c r="AA225" s="43">
        <f>SUM(G225:Z225)</f>
        <v>728886233.42000008</v>
      </c>
      <c r="AB225" s="37" t="str">
        <f>IF(ABS(F225-AA225)&lt;0.01,"ok","err")</f>
        <v>ok</v>
      </c>
    </row>
    <row r="226" spans="1:28">
      <c r="A226" s="44" t="s">
        <v>1174</v>
      </c>
    </row>
    <row r="228" spans="1:28">
      <c r="A228" s="44" t="s">
        <v>384</v>
      </c>
    </row>
    <row r="229" spans="1:28">
      <c r="A229" s="45" t="s">
        <v>376</v>
      </c>
      <c r="C229" s="39" t="s">
        <v>99</v>
      </c>
      <c r="D229" s="39" t="s">
        <v>497</v>
      </c>
      <c r="E229" s="39" t="s">
        <v>939</v>
      </c>
      <c r="F229" s="57">
        <f>VLOOKUP(C229,'Functional Assignment'!$C$2:$AP$725,'Functional Assignment'!$H$2,)</f>
        <v>8697183.5018185899</v>
      </c>
      <c r="G229" s="57">
        <f t="shared" ref="G229:P234" si="106">IF(VLOOKUP($E229,$D$6:$AN$1197,3,)=0,0,(VLOOKUP($E229,$D$6:$AN$1197,G$2,)/VLOOKUP($E229,$D$6:$AN$1197,3,))*$F229)</f>
        <v>3179465.5069979657</v>
      </c>
      <c r="H229" s="57">
        <f t="shared" si="106"/>
        <v>1048688.5944787322</v>
      </c>
      <c r="I229" s="57">
        <f t="shared" si="106"/>
        <v>171638.89029440907</v>
      </c>
      <c r="J229" s="57">
        <f t="shared" si="106"/>
        <v>1748596.4540193863</v>
      </c>
      <c r="K229" s="57">
        <f t="shared" si="106"/>
        <v>1406184.1739560366</v>
      </c>
      <c r="L229" s="57">
        <f t="shared" si="106"/>
        <v>475431.0214060226</v>
      </c>
      <c r="M229" s="57">
        <f t="shared" si="106"/>
        <v>0</v>
      </c>
      <c r="N229" s="57">
        <f t="shared" si="106"/>
        <v>0</v>
      </c>
      <c r="O229" s="57">
        <f t="shared" si="106"/>
        <v>0</v>
      </c>
      <c r="P229" s="57">
        <f t="shared" si="106"/>
        <v>380694.91490819078</v>
      </c>
      <c r="Q229" s="57">
        <f t="shared" ref="Q229:Z234" si="107">IF(VLOOKUP($E229,$D$6:$AN$1197,3,)=0,0,(VLOOKUP($E229,$D$6:$AN$1197,Q$2,)/VLOOKUP($E229,$D$6:$AN$1197,3,))*$F229)</f>
        <v>159808.592348384</v>
      </c>
      <c r="R229" s="57">
        <f t="shared" si="107"/>
        <v>42946.811657000464</v>
      </c>
      <c r="S229" s="57">
        <f t="shared" si="107"/>
        <v>78561.951089978917</v>
      </c>
      <c r="T229" s="57">
        <f t="shared" si="107"/>
        <v>2839.7635701137028</v>
      </c>
      <c r="U229" s="57">
        <f t="shared" si="107"/>
        <v>2326.8270923682544</v>
      </c>
      <c r="V229" s="57">
        <f t="shared" si="107"/>
        <v>0</v>
      </c>
      <c r="W229" s="57">
        <f t="shared" si="107"/>
        <v>0</v>
      </c>
      <c r="X229" s="41">
        <f t="shared" si="107"/>
        <v>0</v>
      </c>
      <c r="Y229" s="41">
        <f t="shared" si="107"/>
        <v>0</v>
      </c>
      <c r="Z229" s="41">
        <f t="shared" si="107"/>
        <v>0</v>
      </c>
      <c r="AA229" s="43">
        <f t="shared" ref="AA229:AA235" si="108">SUM(G229:Z229)</f>
        <v>8697183.501818588</v>
      </c>
      <c r="AB229" s="37" t="str">
        <f t="shared" ref="AB229:AB235" si="109">IF(ABS(F229-AA229)&lt;0.01,"ok","err")</f>
        <v>ok</v>
      </c>
    </row>
    <row r="230" spans="1:28">
      <c r="A230" s="45" t="s">
        <v>1391</v>
      </c>
      <c r="C230" s="39" t="s">
        <v>99</v>
      </c>
      <c r="D230" s="39" t="s">
        <v>498</v>
      </c>
      <c r="E230" s="39" t="s">
        <v>204</v>
      </c>
      <c r="F230" s="58">
        <f>VLOOKUP(C230,'Functional Assignment'!$C$2:$AP$725,'Functional Assignment'!$I$2,)</f>
        <v>8198641.3630266543</v>
      </c>
      <c r="G230" s="58">
        <f t="shared" si="106"/>
        <v>3305990.7420454281</v>
      </c>
      <c r="H230" s="58">
        <f t="shared" si="106"/>
        <v>1305006.977213016</v>
      </c>
      <c r="I230" s="58">
        <f t="shared" si="106"/>
        <v>132897.22553076094</v>
      </c>
      <c r="J230" s="58">
        <f t="shared" si="106"/>
        <v>1530457.3852838997</v>
      </c>
      <c r="K230" s="58">
        <f t="shared" si="106"/>
        <v>1006831.4612214442</v>
      </c>
      <c r="L230" s="58">
        <f t="shared" si="106"/>
        <v>384595.74729868764</v>
      </c>
      <c r="M230" s="58">
        <f t="shared" si="106"/>
        <v>0</v>
      </c>
      <c r="N230" s="58">
        <f t="shared" si="106"/>
        <v>0</v>
      </c>
      <c r="O230" s="58">
        <f t="shared" si="106"/>
        <v>0</v>
      </c>
      <c r="P230" s="58">
        <f t="shared" si="106"/>
        <v>356378.99272293679</v>
      </c>
      <c r="Q230" s="58">
        <f t="shared" si="107"/>
        <v>146306.03904567094</v>
      </c>
      <c r="R230" s="58">
        <f t="shared" si="107"/>
        <v>28314.99010081706</v>
      </c>
      <c r="S230" s="58">
        <f t="shared" si="107"/>
        <v>0</v>
      </c>
      <c r="T230" s="58">
        <f t="shared" si="107"/>
        <v>57.339413216129913</v>
      </c>
      <c r="U230" s="58">
        <f t="shared" si="107"/>
        <v>1804.4631507767929</v>
      </c>
      <c r="V230" s="58">
        <f t="shared" si="107"/>
        <v>0</v>
      </c>
      <c r="W230" s="58">
        <f t="shared" si="107"/>
        <v>0</v>
      </c>
      <c r="X230" s="42">
        <f t="shared" si="107"/>
        <v>0</v>
      </c>
      <c r="Y230" s="42">
        <f t="shared" si="107"/>
        <v>0</v>
      </c>
      <c r="Z230" s="42">
        <f t="shared" si="107"/>
        <v>0</v>
      </c>
      <c r="AA230" s="42">
        <f t="shared" si="108"/>
        <v>8198641.3630266553</v>
      </c>
      <c r="AB230" s="37" t="str">
        <f t="shared" si="109"/>
        <v>ok</v>
      </c>
    </row>
    <row r="231" spans="1:28">
      <c r="A231" s="45" t="s">
        <v>1392</v>
      </c>
      <c r="C231" s="39" t="s">
        <v>99</v>
      </c>
      <c r="D231" s="39" t="s">
        <v>499</v>
      </c>
      <c r="E231" s="39" t="s">
        <v>207</v>
      </c>
      <c r="F231" s="58">
        <f>VLOOKUP(C231,'Functional Assignment'!$C$2:$AP$725,'Functional Assignment'!$J$2,)</f>
        <v>8420061.2783199418</v>
      </c>
      <c r="G231" s="58">
        <f t="shared" si="106"/>
        <v>4111258.710593407</v>
      </c>
      <c r="H231" s="58">
        <f t="shared" si="106"/>
        <v>1100547.1894421102</v>
      </c>
      <c r="I231" s="58">
        <f t="shared" si="106"/>
        <v>123456.51439579642</v>
      </c>
      <c r="J231" s="58">
        <f t="shared" si="106"/>
        <v>1472381.838973145</v>
      </c>
      <c r="K231" s="58">
        <f t="shared" si="106"/>
        <v>869635.71981401532</v>
      </c>
      <c r="L231" s="58">
        <f t="shared" si="106"/>
        <v>332072.8197558822</v>
      </c>
      <c r="M231" s="58">
        <f t="shared" si="106"/>
        <v>0</v>
      </c>
      <c r="N231" s="58">
        <f t="shared" si="106"/>
        <v>0</v>
      </c>
      <c r="O231" s="58">
        <f t="shared" si="106"/>
        <v>0</v>
      </c>
      <c r="P231" s="58">
        <f t="shared" si="106"/>
        <v>222118.63856532061</v>
      </c>
      <c r="Q231" s="58">
        <f t="shared" si="107"/>
        <v>156998.96584259579</v>
      </c>
      <c r="R231" s="58">
        <f t="shared" si="107"/>
        <v>30339.062170825095</v>
      </c>
      <c r="S231" s="58">
        <f t="shared" si="107"/>
        <v>0</v>
      </c>
      <c r="T231" s="58">
        <f t="shared" si="107"/>
        <v>71.292234453721477</v>
      </c>
      <c r="U231" s="58">
        <f t="shared" si="107"/>
        <v>1180.5265323892172</v>
      </c>
      <c r="V231" s="58">
        <f t="shared" si="107"/>
        <v>0</v>
      </c>
      <c r="W231" s="58">
        <f t="shared" si="107"/>
        <v>0</v>
      </c>
      <c r="X231" s="42">
        <f t="shared" si="107"/>
        <v>0</v>
      </c>
      <c r="Y231" s="42">
        <f t="shared" si="107"/>
        <v>0</v>
      </c>
      <c r="Z231" s="42">
        <f t="shared" si="107"/>
        <v>0</v>
      </c>
      <c r="AA231" s="42">
        <f t="shared" si="108"/>
        <v>8420061.2783199418</v>
      </c>
      <c r="AB231" s="37" t="str">
        <f t="shared" si="109"/>
        <v>ok</v>
      </c>
    </row>
    <row r="232" spans="1:28">
      <c r="A232" s="45" t="s">
        <v>1393</v>
      </c>
      <c r="C232" s="39" t="s">
        <v>99</v>
      </c>
      <c r="D232" s="39" t="s">
        <v>500</v>
      </c>
      <c r="E232" s="39" t="s">
        <v>1197</v>
      </c>
      <c r="F232" s="58">
        <f>VLOOKUP(C232,'Functional Assignment'!$C$2:$AP$725,'Functional Assignment'!$K$2,)</f>
        <v>16495530.258855607</v>
      </c>
      <c r="G232" s="58">
        <f t="shared" si="106"/>
        <v>6049635.0231531337</v>
      </c>
      <c r="H232" s="58">
        <f t="shared" si="106"/>
        <v>2020016.9378312745</v>
      </c>
      <c r="I232" s="58">
        <f t="shared" si="106"/>
        <v>329489.44810890919</v>
      </c>
      <c r="J232" s="58">
        <f t="shared" si="106"/>
        <v>3320853.9689974021</v>
      </c>
      <c r="K232" s="58">
        <f t="shared" si="106"/>
        <v>2659761.8119197735</v>
      </c>
      <c r="L232" s="58">
        <f t="shared" si="106"/>
        <v>850471.65514768916</v>
      </c>
      <c r="M232" s="58">
        <f t="shared" si="106"/>
        <v>0</v>
      </c>
      <c r="N232" s="58">
        <f t="shared" si="106"/>
        <v>0</v>
      </c>
      <c r="O232" s="58">
        <f t="shared" si="106"/>
        <v>0</v>
      </c>
      <c r="P232" s="58">
        <f t="shared" si="106"/>
        <v>722045.80543418333</v>
      </c>
      <c r="Q232" s="58">
        <f t="shared" si="107"/>
        <v>303101.25254518935</v>
      </c>
      <c r="R232" s="58">
        <f t="shared" si="107"/>
        <v>81455.203393711592</v>
      </c>
      <c r="S232" s="58">
        <f t="shared" si="107"/>
        <v>149004.66711185727</v>
      </c>
      <c r="T232" s="58">
        <f t="shared" si="107"/>
        <v>5281.2602359751781</v>
      </c>
      <c r="U232" s="58">
        <f t="shared" si="107"/>
        <v>4413.224976510759</v>
      </c>
      <c r="V232" s="58">
        <f t="shared" si="107"/>
        <v>0</v>
      </c>
      <c r="W232" s="58">
        <f t="shared" si="107"/>
        <v>0</v>
      </c>
      <c r="X232" s="42">
        <f t="shared" si="107"/>
        <v>0</v>
      </c>
      <c r="Y232" s="42">
        <f t="shared" si="107"/>
        <v>0</v>
      </c>
      <c r="Z232" s="42">
        <f t="shared" si="107"/>
        <v>0</v>
      </c>
      <c r="AA232" s="42">
        <f t="shared" si="108"/>
        <v>16495530.258855607</v>
      </c>
      <c r="AB232" s="37" t="str">
        <f t="shared" si="109"/>
        <v>ok</v>
      </c>
    </row>
    <row r="233" spans="1:28">
      <c r="A233" s="45" t="s">
        <v>1394</v>
      </c>
      <c r="C233" s="39" t="s">
        <v>99</v>
      </c>
      <c r="D233" s="39" t="s">
        <v>501</v>
      </c>
      <c r="E233" s="39" t="s">
        <v>1197</v>
      </c>
      <c r="F233" s="58">
        <f>VLOOKUP(C233,'Functional Assignment'!$C$2:$AP$725,'Functional Assignment'!$L$2,)</f>
        <v>0</v>
      </c>
      <c r="G233" s="58">
        <f t="shared" si="106"/>
        <v>0</v>
      </c>
      <c r="H233" s="58">
        <f t="shared" si="106"/>
        <v>0</v>
      </c>
      <c r="I233" s="58">
        <f t="shared" si="106"/>
        <v>0</v>
      </c>
      <c r="J233" s="58">
        <f t="shared" si="106"/>
        <v>0</v>
      </c>
      <c r="K233" s="58">
        <f t="shared" si="106"/>
        <v>0</v>
      </c>
      <c r="L233" s="58">
        <f t="shared" si="106"/>
        <v>0</v>
      </c>
      <c r="M233" s="58">
        <f t="shared" si="106"/>
        <v>0</v>
      </c>
      <c r="N233" s="58">
        <f t="shared" si="106"/>
        <v>0</v>
      </c>
      <c r="O233" s="58">
        <f t="shared" si="106"/>
        <v>0</v>
      </c>
      <c r="P233" s="58">
        <f t="shared" si="106"/>
        <v>0</v>
      </c>
      <c r="Q233" s="58">
        <f t="shared" si="107"/>
        <v>0</v>
      </c>
      <c r="R233" s="58">
        <f t="shared" si="107"/>
        <v>0</v>
      </c>
      <c r="S233" s="58">
        <f t="shared" si="107"/>
        <v>0</v>
      </c>
      <c r="T233" s="58">
        <f t="shared" si="107"/>
        <v>0</v>
      </c>
      <c r="U233" s="58">
        <f t="shared" si="107"/>
        <v>0</v>
      </c>
      <c r="V233" s="58">
        <f t="shared" si="107"/>
        <v>0</v>
      </c>
      <c r="W233" s="58">
        <f t="shared" si="107"/>
        <v>0</v>
      </c>
      <c r="X233" s="42">
        <f t="shared" si="107"/>
        <v>0</v>
      </c>
      <c r="Y233" s="42">
        <f t="shared" si="107"/>
        <v>0</v>
      </c>
      <c r="Z233" s="42">
        <f t="shared" si="107"/>
        <v>0</v>
      </c>
      <c r="AA233" s="42">
        <f t="shared" si="108"/>
        <v>0</v>
      </c>
      <c r="AB233" s="37" t="str">
        <f t="shared" si="109"/>
        <v>ok</v>
      </c>
    </row>
    <row r="234" spans="1:28">
      <c r="A234" s="45" t="s">
        <v>1394</v>
      </c>
      <c r="C234" s="39" t="s">
        <v>99</v>
      </c>
      <c r="D234" s="39" t="s">
        <v>502</v>
      </c>
      <c r="E234" s="39" t="s">
        <v>1197</v>
      </c>
      <c r="F234" s="58">
        <f>VLOOKUP(C234,'Functional Assignment'!$C$2:$AP$725,'Functional Assignment'!$M$2,)</f>
        <v>0</v>
      </c>
      <c r="G234" s="58">
        <f t="shared" si="106"/>
        <v>0</v>
      </c>
      <c r="H234" s="58">
        <f t="shared" si="106"/>
        <v>0</v>
      </c>
      <c r="I234" s="58">
        <f t="shared" si="106"/>
        <v>0</v>
      </c>
      <c r="J234" s="58">
        <f t="shared" si="106"/>
        <v>0</v>
      </c>
      <c r="K234" s="58">
        <f t="shared" si="106"/>
        <v>0</v>
      </c>
      <c r="L234" s="58">
        <f t="shared" si="106"/>
        <v>0</v>
      </c>
      <c r="M234" s="58">
        <f t="shared" si="106"/>
        <v>0</v>
      </c>
      <c r="N234" s="58">
        <f t="shared" si="106"/>
        <v>0</v>
      </c>
      <c r="O234" s="58">
        <f t="shared" si="106"/>
        <v>0</v>
      </c>
      <c r="P234" s="58">
        <f t="shared" si="106"/>
        <v>0</v>
      </c>
      <c r="Q234" s="58">
        <f t="shared" si="107"/>
        <v>0</v>
      </c>
      <c r="R234" s="58">
        <f t="shared" si="107"/>
        <v>0</v>
      </c>
      <c r="S234" s="58">
        <f t="shared" si="107"/>
        <v>0</v>
      </c>
      <c r="T234" s="58">
        <f t="shared" si="107"/>
        <v>0</v>
      </c>
      <c r="U234" s="58">
        <f t="shared" si="107"/>
        <v>0</v>
      </c>
      <c r="V234" s="58">
        <f t="shared" si="107"/>
        <v>0</v>
      </c>
      <c r="W234" s="58">
        <f t="shared" si="107"/>
        <v>0</v>
      </c>
      <c r="X234" s="42">
        <f t="shared" si="107"/>
        <v>0</v>
      </c>
      <c r="Y234" s="42">
        <f t="shared" si="107"/>
        <v>0</v>
      </c>
      <c r="Z234" s="42">
        <f t="shared" si="107"/>
        <v>0</v>
      </c>
      <c r="AA234" s="42">
        <f t="shared" si="108"/>
        <v>0</v>
      </c>
      <c r="AB234" s="37" t="str">
        <f t="shared" si="109"/>
        <v>ok</v>
      </c>
    </row>
    <row r="235" spans="1:28">
      <c r="A235" s="39" t="s">
        <v>407</v>
      </c>
      <c r="D235" s="39" t="s">
        <v>1213</v>
      </c>
      <c r="F235" s="57">
        <f>SUM(F229:F234)</f>
        <v>41811416.402020797</v>
      </c>
      <c r="G235" s="57">
        <f t="shared" ref="G235:P235" si="110">SUM(G229:G234)</f>
        <v>16646349.982789934</v>
      </c>
      <c r="H235" s="57">
        <f t="shared" si="110"/>
        <v>5474259.6989651332</v>
      </c>
      <c r="I235" s="57">
        <f t="shared" si="110"/>
        <v>757482.0783298756</v>
      </c>
      <c r="J235" s="57">
        <f t="shared" si="110"/>
        <v>8072289.6472738329</v>
      </c>
      <c r="K235" s="57">
        <f t="shared" si="110"/>
        <v>5942413.1669112705</v>
      </c>
      <c r="L235" s="57">
        <f t="shared" si="110"/>
        <v>2042571.2436082817</v>
      </c>
      <c r="M235" s="57">
        <f t="shared" si="110"/>
        <v>0</v>
      </c>
      <c r="N235" s="57">
        <f t="shared" si="110"/>
        <v>0</v>
      </c>
      <c r="O235" s="57">
        <f>SUM(O229:O234)</f>
        <v>0</v>
      </c>
      <c r="P235" s="57">
        <f t="shared" si="110"/>
        <v>1681238.3516306316</v>
      </c>
      <c r="Q235" s="57">
        <f t="shared" ref="Q235:W235" si="111">SUM(Q229:Q234)</f>
        <v>766214.84978184011</v>
      </c>
      <c r="R235" s="57">
        <f t="shared" si="111"/>
        <v>183056.06732235421</v>
      </c>
      <c r="S235" s="57">
        <f t="shared" si="111"/>
        <v>227566.61820183619</v>
      </c>
      <c r="T235" s="57">
        <f t="shared" si="111"/>
        <v>8249.6554537587326</v>
      </c>
      <c r="U235" s="57">
        <f t="shared" si="111"/>
        <v>9725.0417520450246</v>
      </c>
      <c r="V235" s="57">
        <f t="shared" si="111"/>
        <v>0</v>
      </c>
      <c r="W235" s="57">
        <f t="shared" si="111"/>
        <v>0</v>
      </c>
      <c r="X235" s="41">
        <f>SUM(X229:X234)</f>
        <v>0</v>
      </c>
      <c r="Y235" s="41">
        <f>SUM(Y229:Y234)</f>
        <v>0</v>
      </c>
      <c r="Z235" s="41">
        <f>SUM(Z229:Z234)</f>
        <v>0</v>
      </c>
      <c r="AA235" s="43">
        <f t="shared" si="108"/>
        <v>41811416.402020782</v>
      </c>
      <c r="AB235" s="37" t="str">
        <f t="shared" si="109"/>
        <v>ok</v>
      </c>
    </row>
    <row r="236" spans="1:28">
      <c r="F236" s="58"/>
      <c r="G236" s="58"/>
    </row>
    <row r="237" spans="1:28">
      <c r="A237" s="44" t="s">
        <v>1237</v>
      </c>
      <c r="F237" s="58"/>
      <c r="G237" s="58"/>
    </row>
    <row r="238" spans="1:28">
      <c r="A238" s="45" t="s">
        <v>377</v>
      </c>
      <c r="C238" s="39" t="s">
        <v>99</v>
      </c>
      <c r="D238" s="39" t="s">
        <v>503</v>
      </c>
      <c r="E238" s="39" t="s">
        <v>939</v>
      </c>
      <c r="F238" s="57">
        <f>VLOOKUP(C238,'Functional Assignment'!$C$2:$AP$725,'Functional Assignment'!$N$2,)</f>
        <v>1325401.9627366951</v>
      </c>
      <c r="G238" s="57">
        <f t="shared" ref="G238:P240" si="112">IF(VLOOKUP($E238,$D$6:$AN$1197,3,)=0,0,(VLOOKUP($E238,$D$6:$AN$1197,G$2,)/VLOOKUP($E238,$D$6:$AN$1197,3,))*$F238)</f>
        <v>484532.70217278489</v>
      </c>
      <c r="H238" s="57">
        <f t="shared" si="112"/>
        <v>159814.25723983644</v>
      </c>
      <c r="I238" s="57">
        <f t="shared" si="112"/>
        <v>26156.803754984536</v>
      </c>
      <c r="J238" s="57">
        <f t="shared" si="112"/>
        <v>266476.28760587942</v>
      </c>
      <c r="K238" s="57">
        <f t="shared" si="112"/>
        <v>214294.57751936535</v>
      </c>
      <c r="L238" s="57">
        <f t="shared" si="112"/>
        <v>72453.01985242599</v>
      </c>
      <c r="M238" s="57">
        <f t="shared" si="112"/>
        <v>0</v>
      </c>
      <c r="N238" s="57">
        <f t="shared" si="112"/>
        <v>0</v>
      </c>
      <c r="O238" s="57">
        <f t="shared" si="112"/>
        <v>0</v>
      </c>
      <c r="P238" s="57">
        <f t="shared" si="112"/>
        <v>58015.768819605604</v>
      </c>
      <c r="Q238" s="57">
        <f t="shared" ref="Q238:Z240" si="113">IF(VLOOKUP($E238,$D$6:$AN$1197,3,)=0,0,(VLOOKUP($E238,$D$6:$AN$1197,Q$2,)/VLOOKUP($E238,$D$6:$AN$1197,3,))*$F238)</f>
        <v>24353.932731952442</v>
      </c>
      <c r="R238" s="57">
        <f t="shared" si="113"/>
        <v>6544.8531069361925</v>
      </c>
      <c r="S238" s="57">
        <f t="shared" si="113"/>
        <v>11972.400507510209</v>
      </c>
      <c r="T238" s="57">
        <f t="shared" si="113"/>
        <v>432.76403317807956</v>
      </c>
      <c r="U238" s="57">
        <f t="shared" si="113"/>
        <v>354.59539223576667</v>
      </c>
      <c r="V238" s="57">
        <f t="shared" si="113"/>
        <v>0</v>
      </c>
      <c r="W238" s="57">
        <f t="shared" si="113"/>
        <v>0</v>
      </c>
      <c r="X238" s="41">
        <f t="shared" si="113"/>
        <v>0</v>
      </c>
      <c r="Y238" s="41">
        <f t="shared" si="113"/>
        <v>0</v>
      </c>
      <c r="Z238" s="41">
        <f t="shared" si="113"/>
        <v>0</v>
      </c>
      <c r="AA238" s="43">
        <f>SUM(G238:Z238)</f>
        <v>1325401.9627366951</v>
      </c>
      <c r="AB238" s="37" t="str">
        <f>IF(ABS(F238-AA238)&lt;0.01,"ok","err")</f>
        <v>ok</v>
      </c>
    </row>
    <row r="239" spans="1:28">
      <c r="A239" s="45" t="s">
        <v>379</v>
      </c>
      <c r="C239" s="39" t="s">
        <v>99</v>
      </c>
      <c r="D239" s="39" t="s">
        <v>504</v>
      </c>
      <c r="E239" s="39" t="s">
        <v>204</v>
      </c>
      <c r="F239" s="58">
        <f>VLOOKUP(C239,'Functional Assignment'!$C$2:$AP$725,'Functional Assignment'!$O$2,)</f>
        <v>1249426.9382792243</v>
      </c>
      <c r="G239" s="58">
        <f t="shared" si="112"/>
        <v>503814.43801664334</v>
      </c>
      <c r="H239" s="58">
        <f t="shared" si="112"/>
        <v>198875.74047638985</v>
      </c>
      <c r="I239" s="58">
        <f t="shared" si="112"/>
        <v>20252.791438044318</v>
      </c>
      <c r="J239" s="58">
        <f t="shared" si="112"/>
        <v>233233.11758525</v>
      </c>
      <c r="K239" s="58">
        <f t="shared" si="112"/>
        <v>153435.46500644961</v>
      </c>
      <c r="L239" s="58">
        <f t="shared" si="112"/>
        <v>58610.233786981582</v>
      </c>
      <c r="M239" s="58">
        <f t="shared" si="112"/>
        <v>0</v>
      </c>
      <c r="N239" s="58">
        <f t="shared" si="112"/>
        <v>0</v>
      </c>
      <c r="O239" s="58">
        <f t="shared" si="112"/>
        <v>0</v>
      </c>
      <c r="P239" s="58">
        <f t="shared" si="112"/>
        <v>54310.158723722336</v>
      </c>
      <c r="Q239" s="58">
        <f t="shared" si="113"/>
        <v>22296.219376171171</v>
      </c>
      <c r="R239" s="58">
        <f t="shared" si="113"/>
        <v>4315.0456060454208</v>
      </c>
      <c r="S239" s="58">
        <f t="shared" si="113"/>
        <v>0</v>
      </c>
      <c r="T239" s="58">
        <f t="shared" si="113"/>
        <v>8.7382048226230697</v>
      </c>
      <c r="U239" s="58">
        <f t="shared" si="113"/>
        <v>274.99005870412054</v>
      </c>
      <c r="V239" s="58">
        <f t="shared" si="113"/>
        <v>0</v>
      </c>
      <c r="W239" s="58">
        <f t="shared" si="113"/>
        <v>0</v>
      </c>
      <c r="X239" s="42">
        <f t="shared" si="113"/>
        <v>0</v>
      </c>
      <c r="Y239" s="42">
        <f t="shared" si="113"/>
        <v>0</v>
      </c>
      <c r="Z239" s="42">
        <f t="shared" si="113"/>
        <v>0</v>
      </c>
      <c r="AA239" s="42">
        <f>SUM(G239:Z239)</f>
        <v>1249426.9382792246</v>
      </c>
      <c r="AB239" s="37" t="str">
        <f>IF(ABS(F239-AA239)&lt;0.01,"ok","err")</f>
        <v>ok</v>
      </c>
    </row>
    <row r="240" spans="1:28">
      <c r="A240" s="45" t="s">
        <v>378</v>
      </c>
      <c r="C240" s="39" t="s">
        <v>99</v>
      </c>
      <c r="D240" s="39" t="s">
        <v>505</v>
      </c>
      <c r="E240" s="39" t="s">
        <v>207</v>
      </c>
      <c r="F240" s="58">
        <f>VLOOKUP(C240,'Functional Assignment'!$C$2:$AP$725,'Functional Assignment'!$P$2,)</f>
        <v>1283170.090905284</v>
      </c>
      <c r="G240" s="58">
        <f t="shared" si="112"/>
        <v>626532.75778295693</v>
      </c>
      <c r="H240" s="58">
        <f t="shared" si="112"/>
        <v>167717.21611552953</v>
      </c>
      <c r="I240" s="58">
        <f t="shared" si="112"/>
        <v>18814.080036209944</v>
      </c>
      <c r="J240" s="58">
        <f t="shared" si="112"/>
        <v>224382.7302097065</v>
      </c>
      <c r="K240" s="58">
        <f t="shared" si="112"/>
        <v>132527.60386927804</v>
      </c>
      <c r="L240" s="58">
        <f t="shared" si="112"/>
        <v>50606.034353986368</v>
      </c>
      <c r="M240" s="58">
        <f t="shared" si="112"/>
        <v>0</v>
      </c>
      <c r="N240" s="58">
        <f t="shared" si="112"/>
        <v>0</v>
      </c>
      <c r="O240" s="58">
        <f t="shared" si="112"/>
        <v>0</v>
      </c>
      <c r="P240" s="58">
        <f t="shared" si="112"/>
        <v>33849.634131937069</v>
      </c>
      <c r="Q240" s="58">
        <f t="shared" si="113"/>
        <v>23925.761418267954</v>
      </c>
      <c r="R240" s="58">
        <f t="shared" si="113"/>
        <v>4623.5028317378774</v>
      </c>
      <c r="S240" s="58">
        <f t="shared" si="113"/>
        <v>0</v>
      </c>
      <c r="T240" s="58">
        <f t="shared" si="113"/>
        <v>10.864536485068866</v>
      </c>
      <c r="U240" s="58">
        <f t="shared" si="113"/>
        <v>179.9056191885843</v>
      </c>
      <c r="V240" s="58">
        <f t="shared" si="113"/>
        <v>0</v>
      </c>
      <c r="W240" s="58">
        <f t="shared" si="113"/>
        <v>0</v>
      </c>
      <c r="X240" s="42">
        <f t="shared" si="113"/>
        <v>0</v>
      </c>
      <c r="Y240" s="42">
        <f t="shared" si="113"/>
        <v>0</v>
      </c>
      <c r="Z240" s="42">
        <f t="shared" si="113"/>
        <v>0</v>
      </c>
      <c r="AA240" s="42">
        <f>SUM(G240:Z240)</f>
        <v>1283170.090905284</v>
      </c>
      <c r="AB240" s="37" t="str">
        <f>IF(ABS(F240-AA240)&lt;0.01,"ok","err")</f>
        <v>ok</v>
      </c>
    </row>
    <row r="241" spans="1:28">
      <c r="A241" s="39" t="s">
        <v>1239</v>
      </c>
      <c r="D241" s="39" t="s">
        <v>506</v>
      </c>
      <c r="F241" s="57">
        <f>SUM(F238:F240)</f>
        <v>3857998.9919212037</v>
      </c>
      <c r="G241" s="57">
        <f t="shared" ref="G241:W241" si="114">SUM(G238:G240)</f>
        <v>1614879.8979723852</v>
      </c>
      <c r="H241" s="57">
        <f t="shared" si="114"/>
        <v>526407.2138317558</v>
      </c>
      <c r="I241" s="57">
        <f t="shared" si="114"/>
        <v>65223.675229238797</v>
      </c>
      <c r="J241" s="57">
        <f t="shared" si="114"/>
        <v>724092.13540083589</v>
      </c>
      <c r="K241" s="57">
        <f t="shared" si="114"/>
        <v>500257.646395093</v>
      </c>
      <c r="L241" s="57">
        <f t="shared" si="114"/>
        <v>181669.28799339395</v>
      </c>
      <c r="M241" s="57">
        <f t="shared" si="114"/>
        <v>0</v>
      </c>
      <c r="N241" s="57">
        <f t="shared" si="114"/>
        <v>0</v>
      </c>
      <c r="O241" s="57">
        <f>SUM(O238:O240)</f>
        <v>0</v>
      </c>
      <c r="P241" s="57">
        <f t="shared" si="114"/>
        <v>146175.56167526502</v>
      </c>
      <c r="Q241" s="57">
        <f t="shared" si="114"/>
        <v>70575.913526391567</v>
      </c>
      <c r="R241" s="57">
        <f t="shared" si="114"/>
        <v>15483.401544719491</v>
      </c>
      <c r="S241" s="57">
        <f t="shared" si="114"/>
        <v>11972.400507510209</v>
      </c>
      <c r="T241" s="57">
        <f t="shared" si="114"/>
        <v>452.36677448577149</v>
      </c>
      <c r="U241" s="57">
        <f t="shared" si="114"/>
        <v>809.49107012847151</v>
      </c>
      <c r="V241" s="57">
        <f t="shared" si="114"/>
        <v>0</v>
      </c>
      <c r="W241" s="57">
        <f t="shared" si="114"/>
        <v>0</v>
      </c>
      <c r="X241" s="41">
        <f>SUM(X238:X240)</f>
        <v>0</v>
      </c>
      <c r="Y241" s="41">
        <f>SUM(Y238:Y240)</f>
        <v>0</v>
      </c>
      <c r="Z241" s="41">
        <f>SUM(Z238:Z240)</f>
        <v>0</v>
      </c>
      <c r="AA241" s="43">
        <f>SUM(G241:Z241)</f>
        <v>3857998.9919212027</v>
      </c>
      <c r="AB241" s="37" t="str">
        <f>IF(ABS(F241-AA241)&lt;0.01,"ok","err")</f>
        <v>ok</v>
      </c>
    </row>
    <row r="242" spans="1:28">
      <c r="F242" s="58"/>
      <c r="G242" s="58"/>
    </row>
    <row r="243" spans="1:28">
      <c r="A243" s="44" t="s">
        <v>365</v>
      </c>
      <c r="F243" s="58"/>
      <c r="G243" s="58"/>
    </row>
    <row r="244" spans="1:28">
      <c r="A244" s="45" t="s">
        <v>392</v>
      </c>
      <c r="C244" s="39" t="s">
        <v>99</v>
      </c>
      <c r="D244" s="39" t="s">
        <v>507</v>
      </c>
      <c r="E244" s="39" t="s">
        <v>1472</v>
      </c>
      <c r="F244" s="57">
        <f>VLOOKUP(C244,'Functional Assignment'!$C$2:$AP$725,'Functional Assignment'!$Q$2,)</f>
        <v>0</v>
      </c>
      <c r="G244" s="57">
        <f t="shared" ref="G244:Z244" si="115">IF(VLOOKUP($E244,$D$6:$AN$1197,3,)=0,0,(VLOOKUP($E244,$D$6:$AN$1197,G$2,)/VLOOKUP($E244,$D$6:$AN$1197,3,))*$F244)</f>
        <v>0</v>
      </c>
      <c r="H244" s="57">
        <f t="shared" si="115"/>
        <v>0</v>
      </c>
      <c r="I244" s="57">
        <f t="shared" si="115"/>
        <v>0</v>
      </c>
      <c r="J244" s="57">
        <f t="shared" si="115"/>
        <v>0</v>
      </c>
      <c r="K244" s="57">
        <f t="shared" si="115"/>
        <v>0</v>
      </c>
      <c r="L244" s="57">
        <f t="shared" si="115"/>
        <v>0</v>
      </c>
      <c r="M244" s="57">
        <f t="shared" si="115"/>
        <v>0</v>
      </c>
      <c r="N244" s="57">
        <f t="shared" si="115"/>
        <v>0</v>
      </c>
      <c r="O244" s="57">
        <f t="shared" si="115"/>
        <v>0</v>
      </c>
      <c r="P244" s="57">
        <f t="shared" si="115"/>
        <v>0</v>
      </c>
      <c r="Q244" s="57">
        <f t="shared" si="115"/>
        <v>0</v>
      </c>
      <c r="R244" s="57">
        <f t="shared" si="115"/>
        <v>0</v>
      </c>
      <c r="S244" s="57">
        <f t="shared" si="115"/>
        <v>0</v>
      </c>
      <c r="T244" s="57">
        <f t="shared" si="115"/>
        <v>0</v>
      </c>
      <c r="U244" s="57">
        <f t="shared" si="115"/>
        <v>0</v>
      </c>
      <c r="V244" s="57">
        <f t="shared" si="115"/>
        <v>0</v>
      </c>
      <c r="W244" s="57">
        <f t="shared" si="115"/>
        <v>0</v>
      </c>
      <c r="X244" s="41">
        <f t="shared" si="115"/>
        <v>0</v>
      </c>
      <c r="Y244" s="41">
        <f t="shared" si="115"/>
        <v>0</v>
      </c>
      <c r="Z244" s="41">
        <f t="shared" si="115"/>
        <v>0</v>
      </c>
      <c r="AA244" s="43">
        <f>SUM(G244:Z244)</f>
        <v>0</v>
      </c>
      <c r="AB244" s="37" t="str">
        <f>IF(ABS(F244-AA244)&lt;0.01,"ok","err")</f>
        <v>ok</v>
      </c>
    </row>
    <row r="245" spans="1:28">
      <c r="F245" s="58"/>
    </row>
    <row r="246" spans="1:28">
      <c r="A246" s="44" t="s">
        <v>366</v>
      </c>
      <c r="F246" s="58"/>
      <c r="G246" s="58"/>
    </row>
    <row r="247" spans="1:28">
      <c r="A247" s="45" t="s">
        <v>394</v>
      </c>
      <c r="C247" s="39" t="s">
        <v>99</v>
      </c>
      <c r="D247" s="39" t="s">
        <v>508</v>
      </c>
      <c r="E247" s="39" t="s">
        <v>1471</v>
      </c>
      <c r="F247" s="57">
        <f>VLOOKUP(C247,'Functional Assignment'!$C$2:$AP$725,'Functional Assignment'!$R$2,)</f>
        <v>1569909.5048634373</v>
      </c>
      <c r="G247" s="57">
        <f t="shared" ref="G247:Z247" si="116">IF(VLOOKUP($E247,$D$6:$AN$1197,3,)=0,0,(VLOOKUP($E247,$D$6:$AN$1197,G$2,)/VLOOKUP($E247,$D$6:$AN$1197,3,))*$F247)</f>
        <v>753170.72290165629</v>
      </c>
      <c r="H247" s="57">
        <f t="shared" si="116"/>
        <v>213675.62895148023</v>
      </c>
      <c r="I247" s="57">
        <f t="shared" si="116"/>
        <v>22268.252485379653</v>
      </c>
      <c r="J247" s="57">
        <f t="shared" si="116"/>
        <v>260518.21526264696</v>
      </c>
      <c r="K247" s="57">
        <f t="shared" si="116"/>
        <v>208476.31520105965</v>
      </c>
      <c r="L247" s="57">
        <f t="shared" si="116"/>
        <v>62461.840944562915</v>
      </c>
      <c r="M247" s="57">
        <f t="shared" si="116"/>
        <v>0</v>
      </c>
      <c r="N247" s="57">
        <f t="shared" si="116"/>
        <v>0</v>
      </c>
      <c r="O247" s="57">
        <f t="shared" si="116"/>
        <v>0</v>
      </c>
      <c r="P247" s="57">
        <f t="shared" si="116"/>
        <v>0</v>
      </c>
      <c r="Q247" s="57">
        <f t="shared" si="116"/>
        <v>29202.626881675846</v>
      </c>
      <c r="R247" s="57">
        <f t="shared" si="116"/>
        <v>6593.505042285884</v>
      </c>
      <c r="S247" s="57">
        <f t="shared" si="116"/>
        <v>12887.95384268948</v>
      </c>
      <c r="T247" s="57">
        <f t="shared" si="116"/>
        <v>463.83254924621019</v>
      </c>
      <c r="U247" s="57">
        <f t="shared" si="116"/>
        <v>190.61080075408063</v>
      </c>
      <c r="V247" s="57">
        <f t="shared" si="116"/>
        <v>0</v>
      </c>
      <c r="W247" s="57">
        <f t="shared" si="116"/>
        <v>0</v>
      </c>
      <c r="X247" s="41">
        <f t="shared" si="116"/>
        <v>0</v>
      </c>
      <c r="Y247" s="41">
        <f t="shared" si="116"/>
        <v>0</v>
      </c>
      <c r="Z247" s="41">
        <f t="shared" si="116"/>
        <v>0</v>
      </c>
      <c r="AA247" s="43">
        <f>SUM(G247:Z247)</f>
        <v>1569909.5048634373</v>
      </c>
      <c r="AB247" s="37" t="str">
        <f>IF(ABS(F247-AA247)&lt;0.01,"ok","err")</f>
        <v>ok</v>
      </c>
    </row>
    <row r="248" spans="1:28">
      <c r="F248" s="58"/>
    </row>
    <row r="249" spans="1:28">
      <c r="A249" s="44" t="s">
        <v>393</v>
      </c>
      <c r="F249" s="58"/>
    </row>
    <row r="250" spans="1:28">
      <c r="A250" s="45" t="s">
        <v>644</v>
      </c>
      <c r="C250" s="39" t="s">
        <v>99</v>
      </c>
      <c r="D250" s="39" t="s">
        <v>509</v>
      </c>
      <c r="E250" s="39" t="s">
        <v>1472</v>
      </c>
      <c r="F250" s="57">
        <f>VLOOKUP(C250,'Functional Assignment'!$C$2:$AP$725,'Functional Assignment'!$S$2,)</f>
        <v>0</v>
      </c>
      <c r="G250" s="57">
        <f t="shared" ref="G250:P254" si="117">IF(VLOOKUP($E250,$D$6:$AN$1197,3,)=0,0,(VLOOKUP($E250,$D$6:$AN$1197,G$2,)/VLOOKUP($E250,$D$6:$AN$1197,3,))*$F250)</f>
        <v>0</v>
      </c>
      <c r="H250" s="57">
        <f t="shared" si="117"/>
        <v>0</v>
      </c>
      <c r="I250" s="57">
        <f t="shared" si="117"/>
        <v>0</v>
      </c>
      <c r="J250" s="57">
        <f t="shared" si="117"/>
        <v>0</v>
      </c>
      <c r="K250" s="57">
        <f t="shared" si="117"/>
        <v>0</v>
      </c>
      <c r="L250" s="57">
        <f t="shared" si="117"/>
        <v>0</v>
      </c>
      <c r="M250" s="57">
        <f t="shared" si="117"/>
        <v>0</v>
      </c>
      <c r="N250" s="57">
        <f t="shared" si="117"/>
        <v>0</v>
      </c>
      <c r="O250" s="57">
        <f t="shared" si="117"/>
        <v>0</v>
      </c>
      <c r="P250" s="57">
        <f t="shared" si="117"/>
        <v>0</v>
      </c>
      <c r="Q250" s="57">
        <f t="shared" ref="Q250:Z254" si="118">IF(VLOOKUP($E250,$D$6:$AN$1197,3,)=0,0,(VLOOKUP($E250,$D$6:$AN$1197,Q$2,)/VLOOKUP($E250,$D$6:$AN$1197,3,))*$F250)</f>
        <v>0</v>
      </c>
      <c r="R250" s="57">
        <f t="shared" si="118"/>
        <v>0</v>
      </c>
      <c r="S250" s="57">
        <f t="shared" si="118"/>
        <v>0</v>
      </c>
      <c r="T250" s="57">
        <f t="shared" si="118"/>
        <v>0</v>
      </c>
      <c r="U250" s="57">
        <f t="shared" si="118"/>
        <v>0</v>
      </c>
      <c r="V250" s="57">
        <f t="shared" si="118"/>
        <v>0</v>
      </c>
      <c r="W250" s="57">
        <f t="shared" si="118"/>
        <v>0</v>
      </c>
      <c r="X250" s="41">
        <f t="shared" si="118"/>
        <v>0</v>
      </c>
      <c r="Y250" s="41">
        <f t="shared" si="118"/>
        <v>0</v>
      </c>
      <c r="Z250" s="41">
        <f t="shared" si="118"/>
        <v>0</v>
      </c>
      <c r="AA250" s="43">
        <f t="shared" ref="AA250:AA255" si="119">SUM(G250:Z250)</f>
        <v>0</v>
      </c>
      <c r="AB250" s="37" t="str">
        <f t="shared" ref="AB250:AB255" si="120">IF(ABS(F250-AA250)&lt;0.01,"ok","err")</f>
        <v>ok</v>
      </c>
    </row>
    <row r="251" spans="1:28">
      <c r="A251" s="45" t="s">
        <v>645</v>
      </c>
      <c r="C251" s="39" t="s">
        <v>99</v>
      </c>
      <c r="D251" s="39" t="s">
        <v>510</v>
      </c>
      <c r="E251" s="39" t="s">
        <v>1472</v>
      </c>
      <c r="F251" s="58">
        <f>VLOOKUP(C251,'Functional Assignment'!$C$2:$AP$725,'Functional Assignment'!$T$2,)</f>
        <v>2306600.6364832027</v>
      </c>
      <c r="G251" s="58">
        <f t="shared" si="117"/>
        <v>1106601.4081981082</v>
      </c>
      <c r="H251" s="58">
        <f t="shared" si="117"/>
        <v>313944.42814288591</v>
      </c>
      <c r="I251" s="58">
        <f t="shared" si="117"/>
        <v>32717.787361006773</v>
      </c>
      <c r="J251" s="58">
        <f t="shared" si="117"/>
        <v>382768.22917417862</v>
      </c>
      <c r="K251" s="58">
        <f t="shared" si="117"/>
        <v>306305.2996651975</v>
      </c>
      <c r="L251" s="58">
        <f t="shared" si="117"/>
        <v>91772.501301706609</v>
      </c>
      <c r="M251" s="58">
        <f t="shared" si="117"/>
        <v>0</v>
      </c>
      <c r="N251" s="58">
        <f t="shared" si="117"/>
        <v>0</v>
      </c>
      <c r="O251" s="58">
        <f t="shared" si="117"/>
        <v>0</v>
      </c>
      <c r="P251" s="58">
        <f t="shared" si="117"/>
        <v>0</v>
      </c>
      <c r="Q251" s="58">
        <f t="shared" si="118"/>
        <v>42906.165956434779</v>
      </c>
      <c r="R251" s="58">
        <f t="shared" si="118"/>
        <v>9687.5538877094605</v>
      </c>
      <c r="S251" s="58">
        <f t="shared" si="118"/>
        <v>18935.717278238662</v>
      </c>
      <c r="T251" s="58">
        <f t="shared" si="118"/>
        <v>681.48925144956104</v>
      </c>
      <c r="U251" s="58">
        <f t="shared" si="118"/>
        <v>280.05626628662304</v>
      </c>
      <c r="V251" s="58">
        <f t="shared" si="118"/>
        <v>0</v>
      </c>
      <c r="W251" s="58">
        <f t="shared" si="118"/>
        <v>0</v>
      </c>
      <c r="X251" s="42">
        <f t="shared" si="118"/>
        <v>0</v>
      </c>
      <c r="Y251" s="42">
        <f t="shared" si="118"/>
        <v>0</v>
      </c>
      <c r="Z251" s="42">
        <f t="shared" si="118"/>
        <v>0</v>
      </c>
      <c r="AA251" s="42">
        <f t="shared" si="119"/>
        <v>2306600.6364832027</v>
      </c>
      <c r="AB251" s="37" t="str">
        <f t="shared" si="120"/>
        <v>ok</v>
      </c>
    </row>
    <row r="252" spans="1:28">
      <c r="A252" s="45" t="s">
        <v>646</v>
      </c>
      <c r="C252" s="39" t="s">
        <v>99</v>
      </c>
      <c r="D252" s="39" t="s">
        <v>511</v>
      </c>
      <c r="E252" s="39" t="s">
        <v>733</v>
      </c>
      <c r="F252" s="58">
        <f>VLOOKUP(C252,'Functional Assignment'!$C$2:$AP$725,'Functional Assignment'!$U$2,)</f>
        <v>3157249.9308607052</v>
      </c>
      <c r="G252" s="58">
        <f t="shared" si="117"/>
        <v>2717985.0237800227</v>
      </c>
      <c r="H252" s="58">
        <f t="shared" si="117"/>
        <v>338270.02349044033</v>
      </c>
      <c r="I252" s="58">
        <f t="shared" si="117"/>
        <v>664.31662115168967</v>
      </c>
      <c r="J252" s="58">
        <f t="shared" si="117"/>
        <v>22743.074912369611</v>
      </c>
      <c r="K252" s="58">
        <f t="shared" si="117"/>
        <v>719.0250487759464</v>
      </c>
      <c r="L252" s="58">
        <f t="shared" si="117"/>
        <v>1266.1093250185143</v>
      </c>
      <c r="M252" s="58">
        <f t="shared" si="117"/>
        <v>0</v>
      </c>
      <c r="N252" s="58">
        <f t="shared" si="117"/>
        <v>0</v>
      </c>
      <c r="O252" s="58">
        <f t="shared" si="117"/>
        <v>0</v>
      </c>
      <c r="P252" s="58">
        <f t="shared" si="117"/>
        <v>0</v>
      </c>
      <c r="Q252" s="58">
        <f t="shared" si="118"/>
        <v>7.8154896606081126</v>
      </c>
      <c r="R252" s="58">
        <f t="shared" si="118"/>
        <v>15.630979321216225</v>
      </c>
      <c r="S252" s="58">
        <f t="shared" si="118"/>
        <v>74650.431042264463</v>
      </c>
      <c r="T252" s="58">
        <f t="shared" si="118"/>
        <v>132.86332423033792</v>
      </c>
      <c r="U252" s="58">
        <f t="shared" si="118"/>
        <v>795.61684744990589</v>
      </c>
      <c r="V252" s="58">
        <f t="shared" si="118"/>
        <v>0</v>
      </c>
      <c r="W252" s="58">
        <f t="shared" si="118"/>
        <v>0</v>
      </c>
      <c r="X252" s="42">
        <f t="shared" si="118"/>
        <v>0</v>
      </c>
      <c r="Y252" s="42">
        <f t="shared" si="118"/>
        <v>0</v>
      </c>
      <c r="Z252" s="42">
        <f t="shared" si="118"/>
        <v>0</v>
      </c>
      <c r="AA252" s="42">
        <f t="shared" si="119"/>
        <v>3157249.9308607061</v>
      </c>
      <c r="AB252" s="37" t="str">
        <f t="shared" si="120"/>
        <v>ok</v>
      </c>
    </row>
    <row r="253" spans="1:28">
      <c r="A253" s="45" t="s">
        <v>647</v>
      </c>
      <c r="C253" s="39" t="s">
        <v>99</v>
      </c>
      <c r="D253" s="39" t="s">
        <v>512</v>
      </c>
      <c r="E253" s="39" t="s">
        <v>711</v>
      </c>
      <c r="F253" s="58">
        <f>VLOOKUP(C253,'Functional Assignment'!$C$2:$AP$725,'Functional Assignment'!$V$2,)</f>
        <v>768866.87882773415</v>
      </c>
      <c r="G253" s="58">
        <f t="shared" si="117"/>
        <v>532133.12991189945</v>
      </c>
      <c r="H253" s="58">
        <f t="shared" si="117"/>
        <v>102571.53583833211</v>
      </c>
      <c r="I253" s="58">
        <f t="shared" si="117"/>
        <v>0</v>
      </c>
      <c r="J253" s="58">
        <f t="shared" si="117"/>
        <v>102258.90711076462</v>
      </c>
      <c r="K253" s="58">
        <f t="shared" si="117"/>
        <v>0</v>
      </c>
      <c r="L253" s="58">
        <f t="shared" si="117"/>
        <v>27439.409580636209</v>
      </c>
      <c r="M253" s="58">
        <f t="shared" si="117"/>
        <v>0</v>
      </c>
      <c r="N253" s="58">
        <f t="shared" si="117"/>
        <v>0</v>
      </c>
      <c r="O253" s="58">
        <f t="shared" si="117"/>
        <v>0</v>
      </c>
      <c r="P253" s="58">
        <f t="shared" si="117"/>
        <v>0</v>
      </c>
      <c r="Q253" s="58">
        <f t="shared" si="118"/>
        <v>0</v>
      </c>
      <c r="R253" s="58">
        <f t="shared" si="118"/>
        <v>0</v>
      </c>
      <c r="S253" s="58">
        <f t="shared" si="118"/>
        <v>4243.4860381447561</v>
      </c>
      <c r="T253" s="58">
        <f t="shared" si="118"/>
        <v>157.64986001675609</v>
      </c>
      <c r="U253" s="58">
        <f t="shared" si="118"/>
        <v>62.760487940321497</v>
      </c>
      <c r="V253" s="58">
        <f t="shared" si="118"/>
        <v>0</v>
      </c>
      <c r="W253" s="58">
        <f t="shared" si="118"/>
        <v>0</v>
      </c>
      <c r="X253" s="42">
        <f t="shared" si="118"/>
        <v>0</v>
      </c>
      <c r="Y253" s="42">
        <f t="shared" si="118"/>
        <v>0</v>
      </c>
      <c r="Z253" s="42">
        <f t="shared" si="118"/>
        <v>0</v>
      </c>
      <c r="AA253" s="42">
        <f t="shared" si="119"/>
        <v>768866.87882773427</v>
      </c>
      <c r="AB253" s="37" t="str">
        <f t="shared" si="120"/>
        <v>ok</v>
      </c>
    </row>
    <row r="254" spans="1:28">
      <c r="A254" s="45" t="s">
        <v>648</v>
      </c>
      <c r="C254" s="39" t="s">
        <v>99</v>
      </c>
      <c r="D254" s="39" t="s">
        <v>513</v>
      </c>
      <c r="E254" s="39" t="s">
        <v>732</v>
      </c>
      <c r="F254" s="58">
        <f>VLOOKUP(C254,'Functional Assignment'!$C$2:$AP$725,'Functional Assignment'!$W$2,)</f>
        <v>1052416.6436202351</v>
      </c>
      <c r="G254" s="58">
        <f t="shared" si="117"/>
        <v>906398.87560115044</v>
      </c>
      <c r="H254" s="58">
        <f t="shared" si="117"/>
        <v>112806.93832333818</v>
      </c>
      <c r="I254" s="58">
        <f t="shared" si="117"/>
        <v>0</v>
      </c>
      <c r="J254" s="58">
        <f t="shared" si="117"/>
        <v>7584.404383367546</v>
      </c>
      <c r="K254" s="58">
        <f t="shared" si="117"/>
        <v>0</v>
      </c>
      <c r="L254" s="58">
        <f t="shared" si="117"/>
        <v>422.22457391943033</v>
      </c>
      <c r="M254" s="58">
        <f t="shared" si="117"/>
        <v>0</v>
      </c>
      <c r="N254" s="58">
        <f t="shared" si="117"/>
        <v>0</v>
      </c>
      <c r="O254" s="58">
        <f t="shared" si="117"/>
        <v>0</v>
      </c>
      <c r="P254" s="58">
        <f t="shared" si="117"/>
        <v>0</v>
      </c>
      <c r="Q254" s="58">
        <f t="shared" si="118"/>
        <v>0</v>
      </c>
      <c r="R254" s="58">
        <f t="shared" si="118"/>
        <v>0</v>
      </c>
      <c r="S254" s="58">
        <f t="shared" si="118"/>
        <v>24894.569384252045</v>
      </c>
      <c r="T254" s="58">
        <f t="shared" si="118"/>
        <v>44.307517016236524</v>
      </c>
      <c r="U254" s="58">
        <f t="shared" si="118"/>
        <v>265.32383719134572</v>
      </c>
      <c r="V254" s="58">
        <f t="shared" si="118"/>
        <v>0</v>
      </c>
      <c r="W254" s="58">
        <f t="shared" si="118"/>
        <v>0</v>
      </c>
      <c r="X254" s="42">
        <f t="shared" si="118"/>
        <v>0</v>
      </c>
      <c r="Y254" s="42">
        <f t="shared" si="118"/>
        <v>0</v>
      </c>
      <c r="Z254" s="42">
        <f t="shared" si="118"/>
        <v>0</v>
      </c>
      <c r="AA254" s="42">
        <f t="shared" si="119"/>
        <v>1052416.6436202351</v>
      </c>
      <c r="AB254" s="37" t="str">
        <f t="shared" si="120"/>
        <v>ok</v>
      </c>
    </row>
    <row r="255" spans="1:28">
      <c r="A255" s="39" t="s">
        <v>398</v>
      </c>
      <c r="D255" s="39" t="s">
        <v>514</v>
      </c>
      <c r="F255" s="57">
        <f>SUM(F250:F254)</f>
        <v>7285134.0897918763</v>
      </c>
      <c r="G255" s="57">
        <f t="shared" ref="G255:W255" si="121">SUM(G250:G254)</f>
        <v>5263118.4374911804</v>
      </c>
      <c r="H255" s="57">
        <f t="shared" si="121"/>
        <v>867592.92579499655</v>
      </c>
      <c r="I255" s="57">
        <f t="shared" si="121"/>
        <v>33382.103982158464</v>
      </c>
      <c r="J255" s="57">
        <f t="shared" si="121"/>
        <v>515354.61558068037</v>
      </c>
      <c r="K255" s="57">
        <f t="shared" si="121"/>
        <v>307024.32471397344</v>
      </c>
      <c r="L255" s="57">
        <f t="shared" si="121"/>
        <v>120900.24478128075</v>
      </c>
      <c r="M255" s="57">
        <f t="shared" si="121"/>
        <v>0</v>
      </c>
      <c r="N255" s="57">
        <f t="shared" si="121"/>
        <v>0</v>
      </c>
      <c r="O255" s="57">
        <f>SUM(O250:O254)</f>
        <v>0</v>
      </c>
      <c r="P255" s="57">
        <f t="shared" si="121"/>
        <v>0</v>
      </c>
      <c r="Q255" s="57">
        <f t="shared" si="121"/>
        <v>42913.981446095386</v>
      </c>
      <c r="R255" s="57">
        <f t="shared" si="121"/>
        <v>9703.1848670306772</v>
      </c>
      <c r="S255" s="57">
        <f t="shared" si="121"/>
        <v>122724.20374289992</v>
      </c>
      <c r="T255" s="57">
        <f t="shared" si="121"/>
        <v>1016.3099527128916</v>
      </c>
      <c r="U255" s="57">
        <f t="shared" si="121"/>
        <v>1403.7574388681962</v>
      </c>
      <c r="V255" s="57">
        <f t="shared" si="121"/>
        <v>0</v>
      </c>
      <c r="W255" s="57">
        <f t="shared" si="121"/>
        <v>0</v>
      </c>
      <c r="X255" s="41">
        <f>SUM(X250:X254)</f>
        <v>0</v>
      </c>
      <c r="Y255" s="41">
        <f>SUM(Y250:Y254)</f>
        <v>0</v>
      </c>
      <c r="Z255" s="41">
        <f>SUM(Z250:Z254)</f>
        <v>0</v>
      </c>
      <c r="AA255" s="43">
        <f t="shared" si="119"/>
        <v>7285134.0897918772</v>
      </c>
      <c r="AB255" s="37" t="str">
        <f t="shared" si="120"/>
        <v>ok</v>
      </c>
    </row>
    <row r="256" spans="1:28">
      <c r="F256" s="58"/>
    </row>
    <row r="257" spans="1:28">
      <c r="A257" s="44" t="s">
        <v>666</v>
      </c>
      <c r="F257" s="58"/>
    </row>
    <row r="258" spans="1:28">
      <c r="A258" s="45" t="s">
        <v>1196</v>
      </c>
      <c r="C258" s="39" t="s">
        <v>99</v>
      </c>
      <c r="D258" s="39" t="s">
        <v>515</v>
      </c>
      <c r="E258" s="39" t="s">
        <v>711</v>
      </c>
      <c r="F258" s="57">
        <f>VLOOKUP(C258,'Functional Assignment'!$C$2:$AP$725,'Functional Assignment'!$X$2,)</f>
        <v>225604.02745872611</v>
      </c>
      <c r="G258" s="57">
        <f t="shared" ref="G258:P259" si="122">IF(VLOOKUP($E258,$D$6:$AN$1197,3,)=0,0,(VLOOKUP($E258,$D$6:$AN$1197,G$2,)/VLOOKUP($E258,$D$6:$AN$1197,3,))*$F258)</f>
        <v>156140.65393918438</v>
      </c>
      <c r="H258" s="57">
        <f t="shared" si="122"/>
        <v>30096.954654928588</v>
      </c>
      <c r="I258" s="57">
        <f t="shared" si="122"/>
        <v>0</v>
      </c>
      <c r="J258" s="57">
        <f t="shared" si="122"/>
        <v>30005.221869994399</v>
      </c>
      <c r="K258" s="57">
        <f t="shared" si="122"/>
        <v>0</v>
      </c>
      <c r="L258" s="57">
        <f t="shared" si="122"/>
        <v>8051.3824732825587</v>
      </c>
      <c r="M258" s="57">
        <f t="shared" si="122"/>
        <v>0</v>
      </c>
      <c r="N258" s="57">
        <f t="shared" si="122"/>
        <v>0</v>
      </c>
      <c r="O258" s="57">
        <f t="shared" si="122"/>
        <v>0</v>
      </c>
      <c r="P258" s="57">
        <f t="shared" si="122"/>
        <v>0</v>
      </c>
      <c r="Q258" s="57">
        <f t="shared" ref="Q258:Z259" si="123">IF(VLOOKUP($E258,$D$6:$AN$1197,3,)=0,0,(VLOOKUP($E258,$D$6:$AN$1197,Q$2,)/VLOOKUP($E258,$D$6:$AN$1197,3,))*$F258)</f>
        <v>0</v>
      </c>
      <c r="R258" s="57">
        <f t="shared" si="123"/>
        <v>0</v>
      </c>
      <c r="S258" s="57">
        <f t="shared" si="123"/>
        <v>1245.1408261075917</v>
      </c>
      <c r="T258" s="57">
        <f t="shared" si="123"/>
        <v>46.258259170054963</v>
      </c>
      <c r="U258" s="57">
        <f t="shared" si="123"/>
        <v>18.41543605857899</v>
      </c>
      <c r="V258" s="57">
        <f t="shared" si="123"/>
        <v>0</v>
      </c>
      <c r="W258" s="57">
        <f t="shared" si="123"/>
        <v>0</v>
      </c>
      <c r="X258" s="41">
        <f t="shared" si="123"/>
        <v>0</v>
      </c>
      <c r="Y258" s="41">
        <f t="shared" si="123"/>
        <v>0</v>
      </c>
      <c r="Z258" s="41">
        <f t="shared" si="123"/>
        <v>0</v>
      </c>
      <c r="AA258" s="43">
        <f>SUM(G258:Z258)</f>
        <v>225604.02745872611</v>
      </c>
      <c r="AB258" s="37" t="str">
        <f>IF(ABS(F258-AA258)&lt;0.01,"ok","err")</f>
        <v>ok</v>
      </c>
    </row>
    <row r="259" spans="1:28">
      <c r="A259" s="45" t="s">
        <v>1199</v>
      </c>
      <c r="C259" s="39" t="s">
        <v>99</v>
      </c>
      <c r="D259" s="39" t="s">
        <v>516</v>
      </c>
      <c r="E259" s="39" t="s">
        <v>732</v>
      </c>
      <c r="F259" s="58">
        <f>VLOOKUP(C259,'Functional Assignment'!$C$2:$AP$725,'Functional Assignment'!$Y$2,)</f>
        <v>179430.13314939974</v>
      </c>
      <c r="G259" s="58">
        <f t="shared" si="122"/>
        <v>154535.0616806357</v>
      </c>
      <c r="H259" s="58">
        <f t="shared" si="122"/>
        <v>19232.842891865792</v>
      </c>
      <c r="I259" s="58">
        <f t="shared" si="122"/>
        <v>0</v>
      </c>
      <c r="J259" s="58">
        <f t="shared" si="122"/>
        <v>1293.0911883769108</v>
      </c>
      <c r="K259" s="58">
        <f t="shared" si="122"/>
        <v>0</v>
      </c>
      <c r="L259" s="58">
        <f t="shared" si="122"/>
        <v>71.986519765312565</v>
      </c>
      <c r="M259" s="58">
        <f t="shared" si="122"/>
        <v>0</v>
      </c>
      <c r="N259" s="58">
        <f t="shared" si="122"/>
        <v>0</v>
      </c>
      <c r="O259" s="58">
        <f t="shared" si="122"/>
        <v>0</v>
      </c>
      <c r="P259" s="58">
        <f t="shared" si="122"/>
        <v>0</v>
      </c>
      <c r="Q259" s="58">
        <f t="shared" si="123"/>
        <v>0</v>
      </c>
      <c r="R259" s="58">
        <f t="shared" si="123"/>
        <v>0</v>
      </c>
      <c r="S259" s="58">
        <f t="shared" si="123"/>
        <v>4244.3607542614782</v>
      </c>
      <c r="T259" s="58">
        <f t="shared" si="123"/>
        <v>7.5541409630266276</v>
      </c>
      <c r="U259" s="58">
        <f t="shared" si="123"/>
        <v>45.235973531535919</v>
      </c>
      <c r="V259" s="58">
        <f t="shared" si="123"/>
        <v>0</v>
      </c>
      <c r="W259" s="58">
        <f t="shared" si="123"/>
        <v>0</v>
      </c>
      <c r="X259" s="42">
        <f t="shared" si="123"/>
        <v>0</v>
      </c>
      <c r="Y259" s="42">
        <f t="shared" si="123"/>
        <v>0</v>
      </c>
      <c r="Z259" s="42">
        <f t="shared" si="123"/>
        <v>0</v>
      </c>
      <c r="AA259" s="42">
        <f>SUM(G259:Z259)</f>
        <v>179430.13314939977</v>
      </c>
      <c r="AB259" s="37" t="str">
        <f>IF(ABS(F259-AA259)&lt;0.01,"ok","err")</f>
        <v>ok</v>
      </c>
    </row>
    <row r="260" spans="1:28">
      <c r="A260" s="39" t="s">
        <v>773</v>
      </c>
      <c r="D260" s="39" t="s">
        <v>517</v>
      </c>
      <c r="F260" s="57">
        <f>F258+F259</f>
        <v>405034.16060812585</v>
      </c>
      <c r="G260" s="57">
        <f t="shared" ref="G260:W260" si="124">G258+G259</f>
        <v>310675.71561982005</v>
      </c>
      <c r="H260" s="57">
        <f t="shared" si="124"/>
        <v>49329.797546794376</v>
      </c>
      <c r="I260" s="57">
        <f t="shared" si="124"/>
        <v>0</v>
      </c>
      <c r="J260" s="57">
        <f t="shared" si="124"/>
        <v>31298.31305837131</v>
      </c>
      <c r="K260" s="57">
        <f t="shared" si="124"/>
        <v>0</v>
      </c>
      <c r="L260" s="57">
        <f t="shared" si="124"/>
        <v>8123.3689930478713</v>
      </c>
      <c r="M260" s="57">
        <f t="shared" si="124"/>
        <v>0</v>
      </c>
      <c r="N260" s="57">
        <f t="shared" si="124"/>
        <v>0</v>
      </c>
      <c r="O260" s="57">
        <f>O258+O259</f>
        <v>0</v>
      </c>
      <c r="P260" s="57">
        <f t="shared" si="124"/>
        <v>0</v>
      </c>
      <c r="Q260" s="57">
        <f t="shared" si="124"/>
        <v>0</v>
      </c>
      <c r="R260" s="57">
        <f t="shared" si="124"/>
        <v>0</v>
      </c>
      <c r="S260" s="57">
        <f t="shared" si="124"/>
        <v>5489.5015803690694</v>
      </c>
      <c r="T260" s="57">
        <f t="shared" si="124"/>
        <v>53.812400133081589</v>
      </c>
      <c r="U260" s="57">
        <f t="shared" si="124"/>
        <v>63.651409590114909</v>
      </c>
      <c r="V260" s="57">
        <f t="shared" si="124"/>
        <v>0</v>
      </c>
      <c r="W260" s="57">
        <f t="shared" si="124"/>
        <v>0</v>
      </c>
      <c r="X260" s="41">
        <f>X258+X259</f>
        <v>0</v>
      </c>
      <c r="Y260" s="41">
        <f>Y258+Y259</f>
        <v>0</v>
      </c>
      <c r="Z260" s="41">
        <f>Z258+Z259</f>
        <v>0</v>
      </c>
      <c r="AA260" s="43">
        <f>SUM(G260:Z260)</f>
        <v>405034.16060812585</v>
      </c>
      <c r="AB260" s="37" t="str">
        <f>IF(ABS(F260-AA260)&lt;0.01,"ok","err")</f>
        <v>ok</v>
      </c>
    </row>
    <row r="261" spans="1:28">
      <c r="F261" s="58"/>
    </row>
    <row r="262" spans="1:28">
      <c r="A262" s="44" t="s">
        <v>371</v>
      </c>
      <c r="F262" s="58"/>
    </row>
    <row r="263" spans="1:28">
      <c r="A263" s="45" t="s">
        <v>1199</v>
      </c>
      <c r="C263" s="39" t="s">
        <v>99</v>
      </c>
      <c r="D263" s="39" t="s">
        <v>518</v>
      </c>
      <c r="E263" s="39" t="s">
        <v>1201</v>
      </c>
      <c r="F263" s="57">
        <f>VLOOKUP(C263,'Functional Assignment'!$C$2:$AP$725,'Functional Assignment'!$Z$2,)</f>
        <v>55714.990116009445</v>
      </c>
      <c r="G263" s="57">
        <f t="shared" ref="G263:Z263" si="125">IF(VLOOKUP($E263,$D$6:$AN$1197,3,)=0,0,(VLOOKUP($E263,$D$6:$AN$1197,G$2,)/VLOOKUP($E263,$D$6:$AN$1197,3,))*$F263)</f>
        <v>46087.126173639175</v>
      </c>
      <c r="H263" s="57">
        <f t="shared" si="125"/>
        <v>7697.0003408392176</v>
      </c>
      <c r="I263" s="57">
        <f t="shared" si="125"/>
        <v>0</v>
      </c>
      <c r="J263" s="57">
        <f t="shared" si="125"/>
        <v>1644.2526860520982</v>
      </c>
      <c r="K263" s="57">
        <f t="shared" si="125"/>
        <v>0</v>
      </c>
      <c r="L263" s="57">
        <f t="shared" si="125"/>
        <v>130.93280304420233</v>
      </c>
      <c r="M263" s="57">
        <f t="shared" si="125"/>
        <v>0</v>
      </c>
      <c r="N263" s="57">
        <f t="shared" si="125"/>
        <v>0</v>
      </c>
      <c r="O263" s="57">
        <f t="shared" si="125"/>
        <v>0</v>
      </c>
      <c r="P263" s="57">
        <f t="shared" si="125"/>
        <v>0</v>
      </c>
      <c r="Q263" s="57">
        <f t="shared" si="125"/>
        <v>0</v>
      </c>
      <c r="R263" s="57">
        <f t="shared" si="125"/>
        <v>0</v>
      </c>
      <c r="S263" s="57">
        <f t="shared" si="125"/>
        <v>0</v>
      </c>
      <c r="T263" s="57">
        <f t="shared" si="125"/>
        <v>22.613193493879709</v>
      </c>
      <c r="U263" s="57">
        <f t="shared" si="125"/>
        <v>133.0649189408644</v>
      </c>
      <c r="V263" s="57">
        <f t="shared" si="125"/>
        <v>0</v>
      </c>
      <c r="W263" s="57">
        <f t="shared" si="125"/>
        <v>0</v>
      </c>
      <c r="X263" s="41">
        <f t="shared" si="125"/>
        <v>0</v>
      </c>
      <c r="Y263" s="41">
        <f t="shared" si="125"/>
        <v>0</v>
      </c>
      <c r="Z263" s="41">
        <f t="shared" si="125"/>
        <v>0</v>
      </c>
      <c r="AA263" s="43">
        <f>SUM(G263:Z263)</f>
        <v>55714.990116009438</v>
      </c>
      <c r="AB263" s="37" t="str">
        <f>IF(ABS(F263-AA263)&lt;0.01,"ok","err")</f>
        <v>ok</v>
      </c>
    </row>
    <row r="264" spans="1:28">
      <c r="F264" s="58"/>
    </row>
    <row r="265" spans="1:28">
      <c r="A265" s="44" t="s">
        <v>370</v>
      </c>
      <c r="F265" s="58"/>
    </row>
    <row r="266" spans="1:28">
      <c r="A266" s="45" t="s">
        <v>1199</v>
      </c>
      <c r="C266" s="39" t="s">
        <v>99</v>
      </c>
      <c r="D266" s="39" t="s">
        <v>519</v>
      </c>
      <c r="E266" s="39" t="s">
        <v>1202</v>
      </c>
      <c r="F266" s="57">
        <f>VLOOKUP(C266,'Functional Assignment'!$C$2:$AP$725,'Functional Assignment'!$AA$2,)</f>
        <v>3563636.6274268557</v>
      </c>
      <c r="G266" s="57">
        <f t="shared" ref="G266:Z266" si="126">IF(VLOOKUP($E266,$D$6:$AN$1197,3,)=0,0,(VLOOKUP($E266,$D$6:$AN$1197,G$2,)/VLOOKUP($E266,$D$6:$AN$1197,3,))*$F266)</f>
        <v>2494154.8202107339</v>
      </c>
      <c r="H266" s="57">
        <f t="shared" si="126"/>
        <v>740711.8329842051</v>
      </c>
      <c r="I266" s="57">
        <f t="shared" si="126"/>
        <v>33798.684029235672</v>
      </c>
      <c r="J266" s="57">
        <f t="shared" si="126"/>
        <v>194069.12159089552</v>
      </c>
      <c r="K266" s="57">
        <f t="shared" si="126"/>
        <v>38035.011373802881</v>
      </c>
      <c r="L266" s="57">
        <f t="shared" si="126"/>
        <v>11659.600908185268</v>
      </c>
      <c r="M266" s="57">
        <f t="shared" si="126"/>
        <v>0</v>
      </c>
      <c r="N266" s="57">
        <f t="shared" si="126"/>
        <v>0</v>
      </c>
      <c r="O266" s="57">
        <f t="shared" si="126"/>
        <v>0</v>
      </c>
      <c r="P266" s="57">
        <f t="shared" si="126"/>
        <v>33614.843925047106</v>
      </c>
      <c r="Q266" s="57">
        <f t="shared" si="126"/>
        <v>3055.8949022770089</v>
      </c>
      <c r="R266" s="57">
        <f t="shared" si="126"/>
        <v>6111.7898045540178</v>
      </c>
      <c r="S266" s="57">
        <f t="shared" si="126"/>
        <v>0</v>
      </c>
      <c r="T266" s="57">
        <f t="shared" si="126"/>
        <v>1223.7865589757278</v>
      </c>
      <c r="U266" s="57">
        <f t="shared" si="126"/>
        <v>7201.2411389438776</v>
      </c>
      <c r="V266" s="57">
        <f t="shared" si="126"/>
        <v>0</v>
      </c>
      <c r="W266" s="57">
        <f t="shared" si="126"/>
        <v>0</v>
      </c>
      <c r="X266" s="41">
        <f t="shared" si="126"/>
        <v>0</v>
      </c>
      <c r="Y266" s="41">
        <f t="shared" si="126"/>
        <v>0</v>
      </c>
      <c r="Z266" s="41">
        <f t="shared" si="126"/>
        <v>0</v>
      </c>
      <c r="AA266" s="43">
        <f>SUM(G266:Z266)</f>
        <v>3563636.6274268562</v>
      </c>
      <c r="AB266" s="37" t="str">
        <f>IF(ABS(F266-AA266)&lt;0.01,"ok","err")</f>
        <v>ok</v>
      </c>
    </row>
    <row r="267" spans="1:28">
      <c r="F267" s="58"/>
    </row>
    <row r="268" spans="1:28">
      <c r="A268" s="44" t="s">
        <v>391</v>
      </c>
      <c r="F268" s="58"/>
    </row>
    <row r="269" spans="1:28">
      <c r="A269" s="45" t="s">
        <v>1199</v>
      </c>
      <c r="C269" s="39" t="s">
        <v>99</v>
      </c>
      <c r="D269" s="39" t="s">
        <v>520</v>
      </c>
      <c r="E269" s="39" t="s">
        <v>1203</v>
      </c>
      <c r="F269" s="57">
        <f>VLOOKUP(C269,'Functional Assignment'!$C$2:$AP$725,'Functional Assignment'!$AB$2,)</f>
        <v>174384.45276269878</v>
      </c>
      <c r="G269" s="57">
        <f t="shared" ref="G269:Z269" si="127">IF(VLOOKUP($E269,$D$6:$AN$1197,3,)=0,0,(VLOOKUP($E269,$D$6:$AN$1197,G$2,)/VLOOKUP($E269,$D$6:$AN$1197,3,))*$F269)</f>
        <v>0</v>
      </c>
      <c r="H269" s="57">
        <f t="shared" si="127"/>
        <v>0</v>
      </c>
      <c r="I269" s="57">
        <f t="shared" si="127"/>
        <v>0</v>
      </c>
      <c r="J269" s="57">
        <f t="shared" si="127"/>
        <v>0</v>
      </c>
      <c r="K269" s="57">
        <f t="shared" si="127"/>
        <v>0</v>
      </c>
      <c r="L269" s="57">
        <f t="shared" si="127"/>
        <v>0</v>
      </c>
      <c r="M269" s="57">
        <f t="shared" si="127"/>
        <v>0</v>
      </c>
      <c r="N269" s="57">
        <f t="shared" si="127"/>
        <v>0</v>
      </c>
      <c r="O269" s="57">
        <f t="shared" si="127"/>
        <v>0</v>
      </c>
      <c r="P269" s="57">
        <f t="shared" si="127"/>
        <v>0</v>
      </c>
      <c r="Q269" s="57">
        <f t="shared" si="127"/>
        <v>0</v>
      </c>
      <c r="R269" s="57">
        <f t="shared" si="127"/>
        <v>0</v>
      </c>
      <c r="S269" s="57">
        <f t="shared" si="127"/>
        <v>174384.45276269878</v>
      </c>
      <c r="T269" s="57">
        <f t="shared" si="127"/>
        <v>0</v>
      </c>
      <c r="U269" s="57">
        <f t="shared" si="127"/>
        <v>0</v>
      </c>
      <c r="V269" s="57">
        <f t="shared" si="127"/>
        <v>0</v>
      </c>
      <c r="W269" s="57">
        <f t="shared" si="127"/>
        <v>0</v>
      </c>
      <c r="X269" s="41">
        <f t="shared" si="127"/>
        <v>0</v>
      </c>
      <c r="Y269" s="41">
        <f t="shared" si="127"/>
        <v>0</v>
      </c>
      <c r="Z269" s="41">
        <f t="shared" si="127"/>
        <v>0</v>
      </c>
      <c r="AA269" s="43">
        <f>SUM(G269:Z269)</f>
        <v>174384.45276269878</v>
      </c>
      <c r="AB269" s="37" t="str">
        <f>IF(ABS(F269-AA269)&lt;0.01,"ok","err")</f>
        <v>ok</v>
      </c>
    </row>
    <row r="270" spans="1:28">
      <c r="F270" s="58"/>
    </row>
    <row r="271" spans="1:28">
      <c r="A271" s="44" t="s">
        <v>1129</v>
      </c>
      <c r="F271" s="58"/>
    </row>
    <row r="272" spans="1:28">
      <c r="A272" s="45" t="s">
        <v>1199</v>
      </c>
      <c r="C272" s="39" t="s">
        <v>99</v>
      </c>
      <c r="D272" s="39" t="s">
        <v>521</v>
      </c>
      <c r="E272" s="39" t="s">
        <v>1204</v>
      </c>
      <c r="F272" s="57">
        <f>VLOOKUP(C272,'Functional Assignment'!$C$2:$AP$725,'Functional Assignment'!$AC$2,)</f>
        <v>4381188.632489102</v>
      </c>
      <c r="G272" s="57">
        <f t="shared" ref="G272:Z272" si="128">IF(VLOOKUP($E272,$D$6:$AN$1197,3,)=0,0,(VLOOKUP($E272,$D$6:$AN$1197,G$2,)/VLOOKUP($E272,$D$6:$AN$1197,3,))*$F272)</f>
        <v>3272296.776785674</v>
      </c>
      <c r="H272" s="57">
        <f t="shared" si="128"/>
        <v>814515.08957289194</v>
      </c>
      <c r="I272" s="57">
        <f t="shared" si="128"/>
        <v>3998.9939590185195</v>
      </c>
      <c r="J272" s="57">
        <f t="shared" si="128"/>
        <v>136906.73436169283</v>
      </c>
      <c r="K272" s="57">
        <f t="shared" si="128"/>
        <v>21641.614366453163</v>
      </c>
      <c r="L272" s="57">
        <f t="shared" si="128"/>
        <v>38108.060080058829</v>
      </c>
      <c r="M272" s="57">
        <f t="shared" si="128"/>
        <v>0</v>
      </c>
      <c r="N272" s="57">
        <f t="shared" si="128"/>
        <v>0</v>
      </c>
      <c r="O272" s="57">
        <f t="shared" si="128"/>
        <v>0</v>
      </c>
      <c r="P272" s="57">
        <f t="shared" si="128"/>
        <v>2587.5843264237478</v>
      </c>
      <c r="Q272" s="57">
        <f t="shared" si="128"/>
        <v>47.046987753159051</v>
      </c>
      <c r="R272" s="57">
        <f t="shared" si="128"/>
        <v>94.093975506318102</v>
      </c>
      <c r="S272" s="57">
        <f t="shared" si="128"/>
        <v>89874.801644614796</v>
      </c>
      <c r="T272" s="57">
        <f t="shared" si="128"/>
        <v>159.95975836074078</v>
      </c>
      <c r="U272" s="57">
        <f t="shared" si="128"/>
        <v>957.87667065431833</v>
      </c>
      <c r="V272" s="57">
        <f t="shared" si="128"/>
        <v>0</v>
      </c>
      <c r="W272" s="57">
        <f t="shared" si="128"/>
        <v>0</v>
      </c>
      <c r="X272" s="41">
        <f t="shared" si="128"/>
        <v>0</v>
      </c>
      <c r="Y272" s="41">
        <f t="shared" si="128"/>
        <v>0</v>
      </c>
      <c r="Z272" s="41">
        <f t="shared" si="128"/>
        <v>0</v>
      </c>
      <c r="AA272" s="43">
        <f>SUM(G272:Z272)</f>
        <v>4381188.6324891029</v>
      </c>
      <c r="AB272" s="37" t="str">
        <f>IF(ABS(F272-AA272)&lt;0.01,"ok","err")</f>
        <v>ok</v>
      </c>
    </row>
    <row r="273" spans="1:28">
      <c r="F273" s="58"/>
    </row>
    <row r="274" spans="1:28">
      <c r="A274" s="44" t="s">
        <v>368</v>
      </c>
      <c r="F274" s="58"/>
    </row>
    <row r="275" spans="1:28">
      <c r="A275" s="45" t="s">
        <v>1199</v>
      </c>
      <c r="C275" s="39" t="s">
        <v>99</v>
      </c>
      <c r="D275" s="39" t="s">
        <v>522</v>
      </c>
      <c r="E275" s="39" t="s">
        <v>1204</v>
      </c>
      <c r="F275" s="57">
        <f>VLOOKUP(C275,'Functional Assignment'!$C$2:$AP$725,'Functional Assignment'!$AD$2,)</f>
        <v>859857.09799989953</v>
      </c>
      <c r="G275" s="57">
        <f t="shared" ref="G275:Z275" si="129">IF(VLOOKUP($E275,$D$6:$AN$1197,3,)=0,0,(VLOOKUP($E275,$D$6:$AN$1197,G$2,)/VLOOKUP($E275,$D$6:$AN$1197,3,))*$F275)</f>
        <v>642224.71258508484</v>
      </c>
      <c r="H275" s="57">
        <f t="shared" si="129"/>
        <v>159857.66419725533</v>
      </c>
      <c r="I275" s="57">
        <f t="shared" si="129"/>
        <v>784.84713372572332</v>
      </c>
      <c r="J275" s="57">
        <f t="shared" si="129"/>
        <v>26869.472460492409</v>
      </c>
      <c r="K275" s="57">
        <f t="shared" si="129"/>
        <v>4247.4080178097975</v>
      </c>
      <c r="L275" s="57">
        <f t="shared" si="129"/>
        <v>7479.1315096215985</v>
      </c>
      <c r="M275" s="57">
        <f t="shared" si="129"/>
        <v>0</v>
      </c>
      <c r="N275" s="57">
        <f t="shared" si="129"/>
        <v>0</v>
      </c>
      <c r="O275" s="57">
        <f t="shared" si="129"/>
        <v>0</v>
      </c>
      <c r="P275" s="57">
        <f t="shared" si="129"/>
        <v>507.8422629989974</v>
      </c>
      <c r="Q275" s="57">
        <f t="shared" si="129"/>
        <v>9.2334956908908623</v>
      </c>
      <c r="R275" s="57">
        <f t="shared" si="129"/>
        <v>18.466991381781725</v>
      </c>
      <c r="S275" s="57">
        <f t="shared" si="129"/>
        <v>17638.931488222632</v>
      </c>
      <c r="T275" s="57">
        <f t="shared" si="129"/>
        <v>31.393885349028935</v>
      </c>
      <c r="U275" s="57">
        <f t="shared" si="129"/>
        <v>187.99397226653798</v>
      </c>
      <c r="V275" s="57">
        <f t="shared" si="129"/>
        <v>0</v>
      </c>
      <c r="W275" s="57">
        <f t="shared" si="129"/>
        <v>0</v>
      </c>
      <c r="X275" s="41">
        <f t="shared" si="129"/>
        <v>0</v>
      </c>
      <c r="Y275" s="41">
        <f t="shared" si="129"/>
        <v>0</v>
      </c>
      <c r="Z275" s="41">
        <f t="shared" si="129"/>
        <v>0</v>
      </c>
      <c r="AA275" s="43">
        <f>SUM(G275:Z275)</f>
        <v>859857.09799989988</v>
      </c>
      <c r="AB275" s="37" t="str">
        <f>IF(ABS(F275-AA275)&lt;0.01,"ok","err")</f>
        <v>ok</v>
      </c>
    </row>
    <row r="276" spans="1:28">
      <c r="F276" s="58"/>
    </row>
    <row r="277" spans="1:28">
      <c r="A277" s="44" t="s">
        <v>367</v>
      </c>
      <c r="F277" s="58"/>
    </row>
    <row r="278" spans="1:28">
      <c r="A278" s="45" t="s">
        <v>1199</v>
      </c>
      <c r="C278" s="39" t="s">
        <v>99</v>
      </c>
      <c r="D278" s="39" t="s">
        <v>523</v>
      </c>
      <c r="E278" s="39" t="s">
        <v>1205</v>
      </c>
      <c r="F278" s="57">
        <f>VLOOKUP(C278,'Functional Assignment'!$C$2:$AP$725,'Functional Assignment'!$AE$2,)</f>
        <v>0</v>
      </c>
      <c r="G278" s="57">
        <f t="shared" ref="G278:Z278" si="130">IF(VLOOKUP($E278,$D$6:$AN$1197,3,)=0,0,(VLOOKUP($E278,$D$6:$AN$1197,G$2,)/VLOOKUP($E278,$D$6:$AN$1197,3,))*$F278)</f>
        <v>0</v>
      </c>
      <c r="H278" s="57">
        <f t="shared" si="130"/>
        <v>0</v>
      </c>
      <c r="I278" s="57">
        <f t="shared" si="130"/>
        <v>0</v>
      </c>
      <c r="J278" s="57">
        <f t="shared" si="130"/>
        <v>0</v>
      </c>
      <c r="K278" s="57">
        <f t="shared" si="130"/>
        <v>0</v>
      </c>
      <c r="L278" s="57">
        <f t="shared" si="130"/>
        <v>0</v>
      </c>
      <c r="M278" s="57">
        <f t="shared" si="130"/>
        <v>0</v>
      </c>
      <c r="N278" s="57">
        <f t="shared" si="130"/>
        <v>0</v>
      </c>
      <c r="O278" s="57">
        <f t="shared" si="130"/>
        <v>0</v>
      </c>
      <c r="P278" s="57">
        <f t="shared" si="130"/>
        <v>0</v>
      </c>
      <c r="Q278" s="57">
        <f t="shared" si="130"/>
        <v>0</v>
      </c>
      <c r="R278" s="57">
        <f t="shared" si="130"/>
        <v>0</v>
      </c>
      <c r="S278" s="57">
        <f t="shared" si="130"/>
        <v>0</v>
      </c>
      <c r="T278" s="57">
        <f t="shared" si="130"/>
        <v>0</v>
      </c>
      <c r="U278" s="57">
        <f t="shared" si="130"/>
        <v>0</v>
      </c>
      <c r="V278" s="57">
        <f t="shared" si="130"/>
        <v>0</v>
      </c>
      <c r="W278" s="57">
        <f t="shared" si="130"/>
        <v>0</v>
      </c>
      <c r="X278" s="41">
        <f t="shared" si="130"/>
        <v>0</v>
      </c>
      <c r="Y278" s="41">
        <f t="shared" si="130"/>
        <v>0</v>
      </c>
      <c r="Z278" s="41">
        <f t="shared" si="130"/>
        <v>0</v>
      </c>
      <c r="AA278" s="43">
        <f>SUM(G278:Z278)</f>
        <v>0</v>
      </c>
      <c r="AB278" s="37" t="str">
        <f>IF(ABS(F278-AA278)&lt;0.01,"ok","err")</f>
        <v>ok</v>
      </c>
    </row>
    <row r="279" spans="1:28">
      <c r="F279" s="58"/>
    </row>
    <row r="280" spans="1:28">
      <c r="A280" s="39" t="s">
        <v>1026</v>
      </c>
      <c r="D280" s="39" t="s">
        <v>1214</v>
      </c>
      <c r="F280" s="57">
        <f>F235+F241+F244+F247+F255+F260+F263+F266+F269+F272+F275+F278</f>
        <v>63964274.95000001</v>
      </c>
      <c r="G280" s="57">
        <f t="shared" ref="G280:Z280" si="131">G235+G241+G244+G247+G255+G260+G263+G266+G269+G272+G275+G278</f>
        <v>31042958.19253011</v>
      </c>
      <c r="H280" s="57">
        <f t="shared" si="131"/>
        <v>8854046.8521853518</v>
      </c>
      <c r="I280" s="57">
        <f t="shared" si="131"/>
        <v>916938.63514863246</v>
      </c>
      <c r="J280" s="57">
        <f t="shared" si="131"/>
        <v>9963042.5076754987</v>
      </c>
      <c r="K280" s="57">
        <f t="shared" si="131"/>
        <v>7022095.4869794622</v>
      </c>
      <c r="L280" s="57">
        <f t="shared" si="131"/>
        <v>2473103.7116214777</v>
      </c>
      <c r="M280" s="57">
        <f t="shared" si="131"/>
        <v>0</v>
      </c>
      <c r="N280" s="57">
        <f t="shared" si="131"/>
        <v>0</v>
      </c>
      <c r="O280" s="57">
        <f>O235+O241+O244+O247+O255+O260+O263+O266+O269+O272+O275+O278</f>
        <v>0</v>
      </c>
      <c r="P280" s="57">
        <f t="shared" si="131"/>
        <v>1864124.1838203664</v>
      </c>
      <c r="Q280" s="57">
        <f t="shared" si="131"/>
        <v>912019.54702172393</v>
      </c>
      <c r="R280" s="57">
        <f t="shared" si="131"/>
        <v>221060.50954783239</v>
      </c>
      <c r="S280" s="57">
        <f t="shared" si="131"/>
        <v>662538.86377084116</v>
      </c>
      <c r="T280" s="57">
        <f t="shared" si="131"/>
        <v>11673.730526516067</v>
      </c>
      <c r="U280" s="57">
        <f t="shared" si="131"/>
        <v>20672.729172191484</v>
      </c>
      <c r="V280" s="57">
        <f t="shared" si="131"/>
        <v>0</v>
      </c>
      <c r="W280" s="57">
        <f t="shared" si="131"/>
        <v>0</v>
      </c>
      <c r="X280" s="41">
        <f t="shared" si="131"/>
        <v>0</v>
      </c>
      <c r="Y280" s="41">
        <f t="shared" si="131"/>
        <v>0</v>
      </c>
      <c r="Z280" s="41">
        <f t="shared" si="131"/>
        <v>0</v>
      </c>
      <c r="AA280" s="43">
        <f>SUM(G280:Z280)</f>
        <v>63964274.950000003</v>
      </c>
      <c r="AB280" s="37" t="str">
        <f>IF(ABS(F280-AA280)&lt;0.01,"ok","err")</f>
        <v>ok</v>
      </c>
    </row>
    <row r="281" spans="1:28">
      <c r="A281" s="44" t="s">
        <v>1176</v>
      </c>
    </row>
    <row r="283" spans="1:28">
      <c r="A283" s="44" t="s">
        <v>384</v>
      </c>
    </row>
    <row r="284" spans="1:28">
      <c r="A284" s="45" t="s">
        <v>376</v>
      </c>
      <c r="C284" s="39" t="s">
        <v>1178</v>
      </c>
      <c r="D284" s="39" t="s">
        <v>524</v>
      </c>
      <c r="E284" s="39" t="s">
        <v>939</v>
      </c>
      <c r="F284" s="57">
        <f>VLOOKUP(C284,'Functional Assignment'!$C$2:$AP$725,'Functional Assignment'!$H$2,)</f>
        <v>30864642.306949891</v>
      </c>
      <c r="G284" s="57">
        <f t="shared" ref="G284:P289" si="132">IF(VLOOKUP($E284,$D$6:$AN$1197,3,)=0,0,(VLOOKUP($E284,$D$6:$AN$1197,G$2,)/VLOOKUP($E284,$D$6:$AN$1197,3,))*$F284)</f>
        <v>11283315.52165797</v>
      </c>
      <c r="H284" s="57">
        <f t="shared" si="132"/>
        <v>3721595.4283586219</v>
      </c>
      <c r="I284" s="57">
        <f t="shared" si="132"/>
        <v>609113.62325412838</v>
      </c>
      <c r="J284" s="57">
        <f t="shared" si="132"/>
        <v>6205434.6767806122</v>
      </c>
      <c r="K284" s="57">
        <f t="shared" si="132"/>
        <v>4990278.9262491241</v>
      </c>
      <c r="L284" s="57">
        <f t="shared" si="132"/>
        <v>1687213.8450633329</v>
      </c>
      <c r="M284" s="57">
        <f t="shared" si="132"/>
        <v>0</v>
      </c>
      <c r="N284" s="57">
        <f t="shared" si="132"/>
        <v>0</v>
      </c>
      <c r="O284" s="57">
        <f t="shared" si="132"/>
        <v>0</v>
      </c>
      <c r="P284" s="57">
        <f t="shared" si="132"/>
        <v>1351013.5061838233</v>
      </c>
      <c r="Q284" s="57">
        <f t="shared" ref="Q284:Z289" si="133">IF(VLOOKUP($E284,$D$6:$AN$1197,3,)=0,0,(VLOOKUP($E284,$D$6:$AN$1197,Q$2,)/VLOOKUP($E284,$D$6:$AN$1197,3,))*$F284)</f>
        <v>567130.15649016306</v>
      </c>
      <c r="R284" s="57">
        <f t="shared" si="133"/>
        <v>152410.02788317553</v>
      </c>
      <c r="S284" s="57">
        <f t="shared" si="133"/>
        <v>278801.35204934631</v>
      </c>
      <c r="T284" s="57">
        <f t="shared" si="133"/>
        <v>10077.778261150765</v>
      </c>
      <c r="U284" s="57">
        <f t="shared" si="133"/>
        <v>8257.464718440111</v>
      </c>
      <c r="V284" s="57">
        <f t="shared" si="133"/>
        <v>0</v>
      </c>
      <c r="W284" s="57">
        <f t="shared" si="133"/>
        <v>0</v>
      </c>
      <c r="X284" s="41">
        <f t="shared" si="133"/>
        <v>0</v>
      </c>
      <c r="Y284" s="41">
        <f t="shared" si="133"/>
        <v>0</v>
      </c>
      <c r="Z284" s="41">
        <f t="shared" si="133"/>
        <v>0</v>
      </c>
      <c r="AA284" s="43">
        <f t="shared" ref="AA284:AA290" si="134">SUM(G284:Z284)</f>
        <v>30864642.306949884</v>
      </c>
      <c r="AB284" s="37" t="str">
        <f t="shared" ref="AB284:AB290" si="135">IF(ABS(F284-AA284)&lt;0.01,"ok","err")</f>
        <v>ok</v>
      </c>
    </row>
    <row r="285" spans="1:28">
      <c r="A285" s="45" t="s">
        <v>1391</v>
      </c>
      <c r="C285" s="39" t="s">
        <v>1178</v>
      </c>
      <c r="D285" s="39" t="s">
        <v>525</v>
      </c>
      <c r="E285" s="39" t="s">
        <v>204</v>
      </c>
      <c r="F285" s="58">
        <f>VLOOKUP(C285,'Functional Assignment'!$C$2:$AP$725,'Functional Assignment'!$I$2,)</f>
        <v>29095411.522577301</v>
      </c>
      <c r="G285" s="58">
        <f t="shared" si="132"/>
        <v>11732329.4031894</v>
      </c>
      <c r="H285" s="58">
        <f t="shared" si="132"/>
        <v>4631220.3889145674</v>
      </c>
      <c r="I285" s="58">
        <f t="shared" si="132"/>
        <v>471626.85813577345</v>
      </c>
      <c r="J285" s="58">
        <f t="shared" si="132"/>
        <v>5431300.8059379281</v>
      </c>
      <c r="K285" s="58">
        <f t="shared" si="132"/>
        <v>3573052.4608898559</v>
      </c>
      <c r="L285" s="58">
        <f t="shared" si="132"/>
        <v>1364856.8149293354</v>
      </c>
      <c r="M285" s="58">
        <f t="shared" si="132"/>
        <v>0</v>
      </c>
      <c r="N285" s="58">
        <f t="shared" si="132"/>
        <v>0</v>
      </c>
      <c r="O285" s="58">
        <f t="shared" si="132"/>
        <v>0</v>
      </c>
      <c r="P285" s="58">
        <f t="shared" si="132"/>
        <v>1264720.9448673278</v>
      </c>
      <c r="Q285" s="58">
        <f t="shared" si="133"/>
        <v>519212.17501585936</v>
      </c>
      <c r="R285" s="58">
        <f t="shared" si="133"/>
        <v>100484.48916868381</v>
      </c>
      <c r="S285" s="58">
        <f t="shared" si="133"/>
        <v>0</v>
      </c>
      <c r="T285" s="58">
        <f t="shared" si="133"/>
        <v>203.48662054056769</v>
      </c>
      <c r="U285" s="58">
        <f t="shared" si="133"/>
        <v>6403.6949080299164</v>
      </c>
      <c r="V285" s="58">
        <f t="shared" si="133"/>
        <v>0</v>
      </c>
      <c r="W285" s="58">
        <f t="shared" si="133"/>
        <v>0</v>
      </c>
      <c r="X285" s="42">
        <f t="shared" si="133"/>
        <v>0</v>
      </c>
      <c r="Y285" s="42">
        <f t="shared" si="133"/>
        <v>0</v>
      </c>
      <c r="Z285" s="42">
        <f t="shared" si="133"/>
        <v>0</v>
      </c>
      <c r="AA285" s="42">
        <f t="shared" si="134"/>
        <v>29095411.522577308</v>
      </c>
      <c r="AB285" s="37" t="str">
        <f t="shared" si="135"/>
        <v>ok</v>
      </c>
    </row>
    <row r="286" spans="1:28">
      <c r="A286" s="45" t="s">
        <v>1392</v>
      </c>
      <c r="C286" s="39" t="s">
        <v>1178</v>
      </c>
      <c r="D286" s="39" t="s">
        <v>526</v>
      </c>
      <c r="E286" s="39" t="s">
        <v>207</v>
      </c>
      <c r="F286" s="58">
        <f>VLOOKUP(C286,'Functional Assignment'!$C$2:$AP$725,'Functional Assignment'!$J$2,)</f>
        <v>29881188.490918074</v>
      </c>
      <c r="G286" s="58">
        <f t="shared" si="132"/>
        <v>14590071.545261076</v>
      </c>
      <c r="H286" s="58">
        <f t="shared" si="132"/>
        <v>3905631.6722473432</v>
      </c>
      <c r="I286" s="58">
        <f t="shared" si="132"/>
        <v>438123.57833915984</v>
      </c>
      <c r="J286" s="58">
        <f t="shared" si="132"/>
        <v>5225201.7897118879</v>
      </c>
      <c r="K286" s="58">
        <f t="shared" si="132"/>
        <v>3086170.9913093122</v>
      </c>
      <c r="L286" s="58">
        <f t="shared" si="132"/>
        <v>1178462.981663248</v>
      </c>
      <c r="M286" s="58">
        <f t="shared" si="132"/>
        <v>0</v>
      </c>
      <c r="N286" s="58">
        <f t="shared" si="132"/>
        <v>0</v>
      </c>
      <c r="O286" s="58">
        <f t="shared" si="132"/>
        <v>0</v>
      </c>
      <c r="P286" s="58">
        <f t="shared" si="132"/>
        <v>788256.60371450009</v>
      </c>
      <c r="Q286" s="58">
        <f t="shared" si="133"/>
        <v>557159.32891142485</v>
      </c>
      <c r="R286" s="58">
        <f t="shared" si="133"/>
        <v>107667.53416609274</v>
      </c>
      <c r="S286" s="58">
        <f t="shared" si="133"/>
        <v>0</v>
      </c>
      <c r="T286" s="58">
        <f t="shared" si="133"/>
        <v>253.0025168742518</v>
      </c>
      <c r="U286" s="58">
        <f t="shared" si="133"/>
        <v>4189.4630771488446</v>
      </c>
      <c r="V286" s="58">
        <f t="shared" si="133"/>
        <v>0</v>
      </c>
      <c r="W286" s="58">
        <f t="shared" si="133"/>
        <v>0</v>
      </c>
      <c r="X286" s="42">
        <f t="shared" si="133"/>
        <v>0</v>
      </c>
      <c r="Y286" s="42">
        <f t="shared" si="133"/>
        <v>0</v>
      </c>
      <c r="Z286" s="42">
        <f t="shared" si="133"/>
        <v>0</v>
      </c>
      <c r="AA286" s="42">
        <f t="shared" si="134"/>
        <v>29881188.49091807</v>
      </c>
      <c r="AB286" s="37" t="str">
        <f t="shared" si="135"/>
        <v>ok</v>
      </c>
    </row>
    <row r="287" spans="1:28">
      <c r="A287" s="45" t="s">
        <v>1393</v>
      </c>
      <c r="C287" s="39" t="s">
        <v>1178</v>
      </c>
      <c r="D287" s="39" t="s">
        <v>527</v>
      </c>
      <c r="E287" s="39" t="s">
        <v>1197</v>
      </c>
      <c r="F287" s="58">
        <f>VLOOKUP(C287,'Functional Assignment'!$C$2:$AP$725,'Functional Assignment'!$K$2,)</f>
        <v>0</v>
      </c>
      <c r="G287" s="58">
        <f t="shared" si="132"/>
        <v>0</v>
      </c>
      <c r="H287" s="58">
        <f t="shared" si="132"/>
        <v>0</v>
      </c>
      <c r="I287" s="58">
        <f t="shared" si="132"/>
        <v>0</v>
      </c>
      <c r="J287" s="58">
        <f t="shared" si="132"/>
        <v>0</v>
      </c>
      <c r="K287" s="58">
        <f t="shared" si="132"/>
        <v>0</v>
      </c>
      <c r="L287" s="58">
        <f t="shared" si="132"/>
        <v>0</v>
      </c>
      <c r="M287" s="58">
        <f t="shared" si="132"/>
        <v>0</v>
      </c>
      <c r="N287" s="58">
        <f t="shared" si="132"/>
        <v>0</v>
      </c>
      <c r="O287" s="58">
        <f t="shared" si="132"/>
        <v>0</v>
      </c>
      <c r="P287" s="58">
        <f t="shared" si="132"/>
        <v>0</v>
      </c>
      <c r="Q287" s="58">
        <f t="shared" si="133"/>
        <v>0</v>
      </c>
      <c r="R287" s="58">
        <f t="shared" si="133"/>
        <v>0</v>
      </c>
      <c r="S287" s="58">
        <f t="shared" si="133"/>
        <v>0</v>
      </c>
      <c r="T287" s="58">
        <f t="shared" si="133"/>
        <v>0</v>
      </c>
      <c r="U287" s="58">
        <f t="shared" si="133"/>
        <v>0</v>
      </c>
      <c r="V287" s="58">
        <f t="shared" si="133"/>
        <v>0</v>
      </c>
      <c r="W287" s="58">
        <f t="shared" si="133"/>
        <v>0</v>
      </c>
      <c r="X287" s="42">
        <f t="shared" si="133"/>
        <v>0</v>
      </c>
      <c r="Y287" s="42">
        <f t="shared" si="133"/>
        <v>0</v>
      </c>
      <c r="Z287" s="42">
        <f t="shared" si="133"/>
        <v>0</v>
      </c>
      <c r="AA287" s="42">
        <f t="shared" si="134"/>
        <v>0</v>
      </c>
      <c r="AB287" s="37" t="str">
        <f t="shared" si="135"/>
        <v>ok</v>
      </c>
    </row>
    <row r="288" spans="1:28">
      <c r="A288" s="45" t="s">
        <v>1394</v>
      </c>
      <c r="C288" s="39" t="s">
        <v>1178</v>
      </c>
      <c r="D288" s="39" t="s">
        <v>528</v>
      </c>
      <c r="E288" s="39" t="s">
        <v>1197</v>
      </c>
      <c r="F288" s="58">
        <f>VLOOKUP(C288,'Functional Assignment'!$C$2:$AP$725,'Functional Assignment'!$L$2,)</f>
        <v>0</v>
      </c>
      <c r="G288" s="58">
        <f t="shared" si="132"/>
        <v>0</v>
      </c>
      <c r="H288" s="58">
        <f t="shared" si="132"/>
        <v>0</v>
      </c>
      <c r="I288" s="58">
        <f t="shared" si="132"/>
        <v>0</v>
      </c>
      <c r="J288" s="58">
        <f t="shared" si="132"/>
        <v>0</v>
      </c>
      <c r="K288" s="58">
        <f t="shared" si="132"/>
        <v>0</v>
      </c>
      <c r="L288" s="58">
        <f t="shared" si="132"/>
        <v>0</v>
      </c>
      <c r="M288" s="58">
        <f t="shared" si="132"/>
        <v>0</v>
      </c>
      <c r="N288" s="58">
        <f t="shared" si="132"/>
        <v>0</v>
      </c>
      <c r="O288" s="58">
        <f t="shared" si="132"/>
        <v>0</v>
      </c>
      <c r="P288" s="58">
        <f t="shared" si="132"/>
        <v>0</v>
      </c>
      <c r="Q288" s="58">
        <f t="shared" si="133"/>
        <v>0</v>
      </c>
      <c r="R288" s="58">
        <f t="shared" si="133"/>
        <v>0</v>
      </c>
      <c r="S288" s="58">
        <f t="shared" si="133"/>
        <v>0</v>
      </c>
      <c r="T288" s="58">
        <f t="shared" si="133"/>
        <v>0</v>
      </c>
      <c r="U288" s="58">
        <f t="shared" si="133"/>
        <v>0</v>
      </c>
      <c r="V288" s="58">
        <f t="shared" si="133"/>
        <v>0</v>
      </c>
      <c r="W288" s="58">
        <f t="shared" si="133"/>
        <v>0</v>
      </c>
      <c r="X288" s="42">
        <f t="shared" si="133"/>
        <v>0</v>
      </c>
      <c r="Y288" s="42">
        <f t="shared" si="133"/>
        <v>0</v>
      </c>
      <c r="Z288" s="42">
        <f t="shared" si="133"/>
        <v>0</v>
      </c>
      <c r="AA288" s="42">
        <f t="shared" si="134"/>
        <v>0</v>
      </c>
      <c r="AB288" s="37" t="str">
        <f t="shared" si="135"/>
        <v>ok</v>
      </c>
    </row>
    <row r="289" spans="1:28">
      <c r="A289" s="45" t="s">
        <v>1394</v>
      </c>
      <c r="C289" s="39" t="s">
        <v>1178</v>
      </c>
      <c r="D289" s="39" t="s">
        <v>529</v>
      </c>
      <c r="E289" s="39" t="s">
        <v>1197</v>
      </c>
      <c r="F289" s="58">
        <f>VLOOKUP(C289,'Functional Assignment'!$C$2:$AP$725,'Functional Assignment'!$M$2,)</f>
        <v>0</v>
      </c>
      <c r="G289" s="58">
        <f t="shared" si="132"/>
        <v>0</v>
      </c>
      <c r="H289" s="58">
        <f t="shared" si="132"/>
        <v>0</v>
      </c>
      <c r="I289" s="58">
        <f t="shared" si="132"/>
        <v>0</v>
      </c>
      <c r="J289" s="58">
        <f t="shared" si="132"/>
        <v>0</v>
      </c>
      <c r="K289" s="58">
        <f t="shared" si="132"/>
        <v>0</v>
      </c>
      <c r="L289" s="58">
        <f t="shared" si="132"/>
        <v>0</v>
      </c>
      <c r="M289" s="58">
        <f t="shared" si="132"/>
        <v>0</v>
      </c>
      <c r="N289" s="58">
        <f t="shared" si="132"/>
        <v>0</v>
      </c>
      <c r="O289" s="58">
        <f t="shared" si="132"/>
        <v>0</v>
      </c>
      <c r="P289" s="58">
        <f t="shared" si="132"/>
        <v>0</v>
      </c>
      <c r="Q289" s="58">
        <f t="shared" si="133"/>
        <v>0</v>
      </c>
      <c r="R289" s="58">
        <f t="shared" si="133"/>
        <v>0</v>
      </c>
      <c r="S289" s="58">
        <f t="shared" si="133"/>
        <v>0</v>
      </c>
      <c r="T289" s="58">
        <f t="shared" si="133"/>
        <v>0</v>
      </c>
      <c r="U289" s="58">
        <f t="shared" si="133"/>
        <v>0</v>
      </c>
      <c r="V289" s="58">
        <f t="shared" si="133"/>
        <v>0</v>
      </c>
      <c r="W289" s="58">
        <f t="shared" si="133"/>
        <v>0</v>
      </c>
      <c r="X289" s="42">
        <f t="shared" si="133"/>
        <v>0</v>
      </c>
      <c r="Y289" s="42">
        <f t="shared" si="133"/>
        <v>0</v>
      </c>
      <c r="Z289" s="42">
        <f t="shared" si="133"/>
        <v>0</v>
      </c>
      <c r="AA289" s="42">
        <f t="shared" si="134"/>
        <v>0</v>
      </c>
      <c r="AB289" s="37" t="str">
        <f t="shared" si="135"/>
        <v>ok</v>
      </c>
    </row>
    <row r="290" spans="1:28">
      <c r="A290" s="39" t="s">
        <v>407</v>
      </c>
      <c r="D290" s="39" t="s">
        <v>530</v>
      </c>
      <c r="F290" s="57">
        <f>SUM(F284:F289)</f>
        <v>89841242.320445269</v>
      </c>
      <c r="G290" s="57">
        <f t="shared" ref="G290:P290" si="136">SUM(G284:G289)</f>
        <v>37605716.470108449</v>
      </c>
      <c r="H290" s="57">
        <f t="shared" si="136"/>
        <v>12258447.489520533</v>
      </c>
      <c r="I290" s="57">
        <f t="shared" si="136"/>
        <v>1518864.0597290616</v>
      </c>
      <c r="J290" s="57">
        <f t="shared" si="136"/>
        <v>16861937.272430427</v>
      </c>
      <c r="K290" s="57">
        <f t="shared" si="136"/>
        <v>11649502.378448293</v>
      </c>
      <c r="L290" s="57">
        <f t="shared" si="136"/>
        <v>4230533.6416559163</v>
      </c>
      <c r="M290" s="57">
        <f t="shared" si="136"/>
        <v>0</v>
      </c>
      <c r="N290" s="57">
        <f t="shared" si="136"/>
        <v>0</v>
      </c>
      <c r="O290" s="57">
        <f>SUM(O284:O289)</f>
        <v>0</v>
      </c>
      <c r="P290" s="57">
        <f t="shared" si="136"/>
        <v>3403991.0547656515</v>
      </c>
      <c r="Q290" s="57">
        <f t="shared" ref="Q290:W290" si="137">SUM(Q284:Q289)</f>
        <v>1643501.6604174473</v>
      </c>
      <c r="R290" s="57">
        <f t="shared" si="137"/>
        <v>360562.0512179521</v>
      </c>
      <c r="S290" s="57">
        <f t="shared" si="137"/>
        <v>278801.35204934631</v>
      </c>
      <c r="T290" s="57">
        <f t="shared" si="137"/>
        <v>10534.267398565584</v>
      </c>
      <c r="U290" s="57">
        <f t="shared" si="137"/>
        <v>18850.622703618872</v>
      </c>
      <c r="V290" s="57">
        <f t="shared" si="137"/>
        <v>0</v>
      </c>
      <c r="W290" s="57">
        <f t="shared" si="137"/>
        <v>0</v>
      </c>
      <c r="X290" s="41">
        <f>SUM(X284:X289)</f>
        <v>0</v>
      </c>
      <c r="Y290" s="41">
        <f>SUM(Y284:Y289)</f>
        <v>0</v>
      </c>
      <c r="Z290" s="41">
        <f>SUM(Z284:Z289)</f>
        <v>0</v>
      </c>
      <c r="AA290" s="43">
        <f t="shared" si="134"/>
        <v>89841242.320445284</v>
      </c>
      <c r="AB290" s="37" t="str">
        <f t="shared" si="135"/>
        <v>ok</v>
      </c>
    </row>
    <row r="291" spans="1:28">
      <c r="F291" s="58"/>
      <c r="G291" s="58"/>
    </row>
    <row r="292" spans="1:28">
      <c r="A292" s="44" t="s">
        <v>1237</v>
      </c>
      <c r="F292" s="58"/>
      <c r="G292" s="58"/>
    </row>
    <row r="293" spans="1:28">
      <c r="A293" s="45" t="s">
        <v>377</v>
      </c>
      <c r="C293" s="39" t="s">
        <v>1178</v>
      </c>
      <c r="D293" s="39" t="s">
        <v>531</v>
      </c>
      <c r="E293" s="39" t="s">
        <v>939</v>
      </c>
      <c r="F293" s="57">
        <f>VLOOKUP(C293,'Functional Assignment'!$C$2:$AP$725,'Functional Assignment'!$N$2,)</f>
        <v>2158363.569932871</v>
      </c>
      <c r="G293" s="57">
        <f t="shared" ref="G293:P295" si="138">IF(VLOOKUP($E293,$D$6:$AN$1197,3,)=0,0,(VLOOKUP($E293,$D$6:$AN$1197,G$2,)/VLOOKUP($E293,$D$6:$AN$1197,3,))*$F293)</f>
        <v>789041.93762585463</v>
      </c>
      <c r="H293" s="57">
        <f t="shared" si="138"/>
        <v>260251.06381321163</v>
      </c>
      <c r="I293" s="57">
        <f t="shared" si="138"/>
        <v>42595.298571968015</v>
      </c>
      <c r="J293" s="57">
        <f t="shared" si="138"/>
        <v>433945.87271615834</v>
      </c>
      <c r="K293" s="57">
        <f t="shared" si="138"/>
        <v>348970.06519963883</v>
      </c>
      <c r="L293" s="57">
        <f t="shared" si="138"/>
        <v>117986.8168130711</v>
      </c>
      <c r="M293" s="57">
        <f t="shared" si="138"/>
        <v>0</v>
      </c>
      <c r="N293" s="57">
        <f t="shared" si="138"/>
        <v>0</v>
      </c>
      <c r="O293" s="57">
        <f t="shared" si="138"/>
        <v>0</v>
      </c>
      <c r="P293" s="57">
        <f t="shared" si="138"/>
        <v>94476.336554784604</v>
      </c>
      <c r="Q293" s="57">
        <f t="shared" ref="Q293:Z295" si="139">IF(VLOOKUP($E293,$D$6:$AN$1197,3,)=0,0,(VLOOKUP($E293,$D$6:$AN$1197,Q$2,)/VLOOKUP($E293,$D$6:$AN$1197,3,))*$F293)</f>
        <v>39659.3959199413</v>
      </c>
      <c r="R293" s="57">
        <f t="shared" si="139"/>
        <v>10658.028970626592</v>
      </c>
      <c r="S293" s="57">
        <f t="shared" si="139"/>
        <v>19496.570720854888</v>
      </c>
      <c r="T293" s="57">
        <f t="shared" si="139"/>
        <v>704.73875084667304</v>
      </c>
      <c r="U293" s="57">
        <f t="shared" si="139"/>
        <v>577.44427591418912</v>
      </c>
      <c r="V293" s="57">
        <f t="shared" si="139"/>
        <v>0</v>
      </c>
      <c r="W293" s="57">
        <f t="shared" si="139"/>
        <v>0</v>
      </c>
      <c r="X293" s="41">
        <f t="shared" si="139"/>
        <v>0</v>
      </c>
      <c r="Y293" s="41">
        <f t="shared" si="139"/>
        <v>0</v>
      </c>
      <c r="Z293" s="41">
        <f t="shared" si="139"/>
        <v>0</v>
      </c>
      <c r="AA293" s="43">
        <f>SUM(G293:Z293)</f>
        <v>2158363.5699328706</v>
      </c>
      <c r="AB293" s="37" t="str">
        <f>IF(ABS(F293-AA293)&lt;0.01,"ok","err")</f>
        <v>ok</v>
      </c>
    </row>
    <row r="294" spans="1:28">
      <c r="A294" s="45" t="s">
        <v>379</v>
      </c>
      <c r="C294" s="39" t="s">
        <v>1178</v>
      </c>
      <c r="D294" s="39" t="s">
        <v>532</v>
      </c>
      <c r="E294" s="39" t="s">
        <v>204</v>
      </c>
      <c r="F294" s="58">
        <f>VLOOKUP(C294,'Functional Assignment'!$C$2:$AP$725,'Functional Assignment'!$O$2,)</f>
        <v>2034641.3108567079</v>
      </c>
      <c r="G294" s="58">
        <f t="shared" si="138"/>
        <v>820441.46575430373</v>
      </c>
      <c r="H294" s="58">
        <f t="shared" si="138"/>
        <v>323861.11176518461</v>
      </c>
      <c r="I294" s="58">
        <f t="shared" si="138"/>
        <v>32980.852947482184</v>
      </c>
      <c r="J294" s="58">
        <f t="shared" si="138"/>
        <v>379810.71286362596</v>
      </c>
      <c r="K294" s="58">
        <f t="shared" si="138"/>
        <v>249863.45826878853</v>
      </c>
      <c r="L294" s="58">
        <f t="shared" si="138"/>
        <v>95444.39874667718</v>
      </c>
      <c r="M294" s="58">
        <f t="shared" si="138"/>
        <v>0</v>
      </c>
      <c r="N294" s="58">
        <f t="shared" si="138"/>
        <v>0</v>
      </c>
      <c r="O294" s="58">
        <f t="shared" si="138"/>
        <v>0</v>
      </c>
      <c r="P294" s="58">
        <f t="shared" si="138"/>
        <v>88441.900164773906</v>
      </c>
      <c r="Q294" s="58">
        <f t="shared" si="139"/>
        <v>36308.492820845058</v>
      </c>
      <c r="R294" s="58">
        <f t="shared" si="139"/>
        <v>7026.8775062449131</v>
      </c>
      <c r="S294" s="58">
        <f t="shared" si="139"/>
        <v>0</v>
      </c>
      <c r="T294" s="58">
        <f t="shared" si="139"/>
        <v>14.229813661071312</v>
      </c>
      <c r="U294" s="58">
        <f t="shared" si="139"/>
        <v>447.81020512083387</v>
      </c>
      <c r="V294" s="58">
        <f t="shared" si="139"/>
        <v>0</v>
      </c>
      <c r="W294" s="58">
        <f t="shared" si="139"/>
        <v>0</v>
      </c>
      <c r="X294" s="42">
        <f t="shared" si="139"/>
        <v>0</v>
      </c>
      <c r="Y294" s="42">
        <f t="shared" si="139"/>
        <v>0</v>
      </c>
      <c r="Z294" s="42">
        <f t="shared" si="139"/>
        <v>0</v>
      </c>
      <c r="AA294" s="42">
        <f>SUM(G294:Z294)</f>
        <v>2034641.3108567079</v>
      </c>
      <c r="AB294" s="37" t="str">
        <f>IF(ABS(F294-AA294)&lt;0.01,"ok","err")</f>
        <v>ok</v>
      </c>
    </row>
    <row r="295" spans="1:28">
      <c r="A295" s="45" t="s">
        <v>378</v>
      </c>
      <c r="C295" s="39" t="s">
        <v>1178</v>
      </c>
      <c r="D295" s="39" t="s">
        <v>533</v>
      </c>
      <c r="E295" s="39" t="s">
        <v>207</v>
      </c>
      <c r="F295" s="58">
        <f>VLOOKUP(C295,'Functional Assignment'!$C$2:$AP$725,'Functional Assignment'!$P$2,)</f>
        <v>2089590.6721903766</v>
      </c>
      <c r="G295" s="58">
        <f t="shared" si="138"/>
        <v>1020283.2935120341</v>
      </c>
      <c r="H295" s="58">
        <f t="shared" si="138"/>
        <v>273120.71318113111</v>
      </c>
      <c r="I295" s="58">
        <f t="shared" si="138"/>
        <v>30637.969531982635</v>
      </c>
      <c r="J295" s="58">
        <f t="shared" si="138"/>
        <v>365398.21444561827</v>
      </c>
      <c r="K295" s="58">
        <f t="shared" si="138"/>
        <v>215815.85077128006</v>
      </c>
      <c r="L295" s="58">
        <f t="shared" si="138"/>
        <v>82409.883219793031</v>
      </c>
      <c r="M295" s="58">
        <f t="shared" si="138"/>
        <v>0</v>
      </c>
      <c r="N295" s="58">
        <f t="shared" si="138"/>
        <v>0</v>
      </c>
      <c r="O295" s="58">
        <f t="shared" si="138"/>
        <v>0</v>
      </c>
      <c r="P295" s="58">
        <f t="shared" si="138"/>
        <v>55122.762165732012</v>
      </c>
      <c r="Q295" s="58">
        <f t="shared" si="139"/>
        <v>38962.136227312869</v>
      </c>
      <c r="R295" s="58">
        <f t="shared" si="139"/>
        <v>7529.1876412340689</v>
      </c>
      <c r="S295" s="58">
        <f t="shared" si="139"/>
        <v>0</v>
      </c>
      <c r="T295" s="58">
        <f t="shared" si="139"/>
        <v>17.69245890141908</v>
      </c>
      <c r="U295" s="58">
        <f t="shared" si="139"/>
        <v>292.96903535670748</v>
      </c>
      <c r="V295" s="58">
        <f t="shared" si="139"/>
        <v>0</v>
      </c>
      <c r="W295" s="58">
        <f t="shared" si="139"/>
        <v>0</v>
      </c>
      <c r="X295" s="42">
        <f t="shared" si="139"/>
        <v>0</v>
      </c>
      <c r="Y295" s="42">
        <f t="shared" si="139"/>
        <v>0</v>
      </c>
      <c r="Z295" s="42">
        <f t="shared" si="139"/>
        <v>0</v>
      </c>
      <c r="AA295" s="42">
        <f>SUM(G295:Z295)</f>
        <v>2089590.6721903763</v>
      </c>
      <c r="AB295" s="37" t="str">
        <f>IF(ABS(F295-AA295)&lt;0.01,"ok","err")</f>
        <v>ok</v>
      </c>
    </row>
    <row r="296" spans="1:28">
      <c r="A296" s="39" t="s">
        <v>1239</v>
      </c>
      <c r="D296" s="39" t="s">
        <v>534</v>
      </c>
      <c r="F296" s="57">
        <f>SUM(F293:F295)</f>
        <v>6282595.5529799554</v>
      </c>
      <c r="G296" s="57">
        <f t="shared" ref="G296:W296" si="140">SUM(G293:G295)</f>
        <v>2629766.6968921926</v>
      </c>
      <c r="H296" s="57">
        <f t="shared" si="140"/>
        <v>857232.88875952736</v>
      </c>
      <c r="I296" s="57">
        <f t="shared" si="140"/>
        <v>106214.12105143283</v>
      </c>
      <c r="J296" s="57">
        <f t="shared" si="140"/>
        <v>1179154.8000254026</v>
      </c>
      <c r="K296" s="57">
        <f t="shared" si="140"/>
        <v>814649.37423970737</v>
      </c>
      <c r="L296" s="57">
        <f t="shared" si="140"/>
        <v>295841.09877954132</v>
      </c>
      <c r="M296" s="57">
        <f t="shared" si="140"/>
        <v>0</v>
      </c>
      <c r="N296" s="57">
        <f t="shared" si="140"/>
        <v>0</v>
      </c>
      <c r="O296" s="57">
        <f>SUM(O293:O295)</f>
        <v>0</v>
      </c>
      <c r="P296" s="57">
        <f t="shared" si="140"/>
        <v>238040.99888529052</v>
      </c>
      <c r="Q296" s="57">
        <f t="shared" si="140"/>
        <v>114930.02496809923</v>
      </c>
      <c r="R296" s="57">
        <f t="shared" si="140"/>
        <v>25214.094118105571</v>
      </c>
      <c r="S296" s="57">
        <f t="shared" si="140"/>
        <v>19496.570720854888</v>
      </c>
      <c r="T296" s="57">
        <f t="shared" si="140"/>
        <v>736.66102340916336</v>
      </c>
      <c r="U296" s="57">
        <f t="shared" si="140"/>
        <v>1318.2235163917305</v>
      </c>
      <c r="V296" s="57">
        <f t="shared" si="140"/>
        <v>0</v>
      </c>
      <c r="W296" s="57">
        <f t="shared" si="140"/>
        <v>0</v>
      </c>
      <c r="X296" s="41">
        <f>SUM(X293:X295)</f>
        <v>0</v>
      </c>
      <c r="Y296" s="41">
        <f>SUM(Y293:Y295)</f>
        <v>0</v>
      </c>
      <c r="Z296" s="41">
        <f>SUM(Z293:Z295)</f>
        <v>0</v>
      </c>
      <c r="AA296" s="43">
        <f>SUM(G296:Z296)</f>
        <v>6282595.5529799554</v>
      </c>
      <c r="AB296" s="37" t="str">
        <f>IF(ABS(F296-AA296)&lt;0.01,"ok","err")</f>
        <v>ok</v>
      </c>
    </row>
    <row r="297" spans="1:28">
      <c r="F297" s="58"/>
      <c r="G297" s="58"/>
    </row>
    <row r="298" spans="1:28">
      <c r="A298" s="44" t="s">
        <v>365</v>
      </c>
      <c r="F298" s="58"/>
      <c r="G298" s="58"/>
    </row>
    <row r="299" spans="1:28">
      <c r="A299" s="45" t="s">
        <v>392</v>
      </c>
      <c r="C299" s="39" t="s">
        <v>1178</v>
      </c>
      <c r="D299" s="39" t="s">
        <v>535</v>
      </c>
      <c r="E299" s="39" t="s">
        <v>1472</v>
      </c>
      <c r="F299" s="57">
        <f>VLOOKUP(C299,'Functional Assignment'!$C$2:$AP$725,'Functional Assignment'!$Q$2,)</f>
        <v>0</v>
      </c>
      <c r="G299" s="57">
        <f t="shared" ref="G299:Z299" si="141">IF(VLOOKUP($E299,$D$6:$AN$1197,3,)=0,0,(VLOOKUP($E299,$D$6:$AN$1197,G$2,)/VLOOKUP($E299,$D$6:$AN$1197,3,))*$F299)</f>
        <v>0</v>
      </c>
      <c r="H299" s="57">
        <f t="shared" si="141"/>
        <v>0</v>
      </c>
      <c r="I299" s="57">
        <f t="shared" si="141"/>
        <v>0</v>
      </c>
      <c r="J299" s="57">
        <f t="shared" si="141"/>
        <v>0</v>
      </c>
      <c r="K299" s="57">
        <f t="shared" si="141"/>
        <v>0</v>
      </c>
      <c r="L299" s="57">
        <f t="shared" si="141"/>
        <v>0</v>
      </c>
      <c r="M299" s="57">
        <f t="shared" si="141"/>
        <v>0</v>
      </c>
      <c r="N299" s="57">
        <f t="shared" si="141"/>
        <v>0</v>
      </c>
      <c r="O299" s="57">
        <f t="shared" si="141"/>
        <v>0</v>
      </c>
      <c r="P299" s="57">
        <f t="shared" si="141"/>
        <v>0</v>
      </c>
      <c r="Q299" s="57">
        <f t="shared" si="141"/>
        <v>0</v>
      </c>
      <c r="R299" s="57">
        <f t="shared" si="141"/>
        <v>0</v>
      </c>
      <c r="S299" s="57">
        <f t="shared" si="141"/>
        <v>0</v>
      </c>
      <c r="T299" s="57">
        <f t="shared" si="141"/>
        <v>0</v>
      </c>
      <c r="U299" s="57">
        <f t="shared" si="141"/>
        <v>0</v>
      </c>
      <c r="V299" s="57">
        <f t="shared" si="141"/>
        <v>0</v>
      </c>
      <c r="W299" s="57">
        <f t="shared" si="141"/>
        <v>0</v>
      </c>
      <c r="X299" s="41">
        <f t="shared" si="141"/>
        <v>0</v>
      </c>
      <c r="Y299" s="41">
        <f t="shared" si="141"/>
        <v>0</v>
      </c>
      <c r="Z299" s="41">
        <f t="shared" si="141"/>
        <v>0</v>
      </c>
      <c r="AA299" s="43">
        <f>SUM(G299:Z299)</f>
        <v>0</v>
      </c>
      <c r="AB299" s="37" t="str">
        <f>IF(ABS(F299-AA299)&lt;0.01,"ok","err")</f>
        <v>ok</v>
      </c>
    </row>
    <row r="300" spans="1:28">
      <c r="F300" s="58"/>
    </row>
    <row r="301" spans="1:28">
      <c r="A301" s="44" t="s">
        <v>366</v>
      </c>
      <c r="F301" s="58"/>
      <c r="G301" s="58"/>
    </row>
    <row r="302" spans="1:28">
      <c r="A302" s="45" t="s">
        <v>394</v>
      </c>
      <c r="C302" s="39" t="s">
        <v>1178</v>
      </c>
      <c r="D302" s="39" t="s">
        <v>536</v>
      </c>
      <c r="E302" s="39" t="s">
        <v>1471</v>
      </c>
      <c r="F302" s="57">
        <f>VLOOKUP(C302,'Functional Assignment'!$C$2:$AP$725,'Functional Assignment'!$R$2,)</f>
        <v>2841757.2287074761</v>
      </c>
      <c r="G302" s="57">
        <f t="shared" ref="G302:Z302" si="142">IF(VLOOKUP($E302,$D$6:$AN$1197,3,)=0,0,(VLOOKUP($E302,$D$6:$AN$1197,G$2,)/VLOOKUP($E302,$D$6:$AN$1197,3,))*$F302)</f>
        <v>1363345.0460845509</v>
      </c>
      <c r="H302" s="57">
        <f t="shared" si="142"/>
        <v>386782.97143267858</v>
      </c>
      <c r="I302" s="57">
        <f t="shared" si="142"/>
        <v>40308.67210815155</v>
      </c>
      <c r="J302" s="57">
        <f t="shared" si="142"/>
        <v>471574.64754441171</v>
      </c>
      <c r="K302" s="57">
        <f t="shared" si="142"/>
        <v>377371.48154182581</v>
      </c>
      <c r="L302" s="57">
        <f t="shared" si="142"/>
        <v>113064.72600662972</v>
      </c>
      <c r="M302" s="57">
        <f t="shared" si="142"/>
        <v>0</v>
      </c>
      <c r="N302" s="57">
        <f t="shared" si="142"/>
        <v>0</v>
      </c>
      <c r="O302" s="57">
        <f t="shared" si="142"/>
        <v>0</v>
      </c>
      <c r="P302" s="57">
        <f t="shared" si="142"/>
        <v>0</v>
      </c>
      <c r="Q302" s="57">
        <f t="shared" si="142"/>
        <v>52860.866044293696</v>
      </c>
      <c r="R302" s="57">
        <f t="shared" si="142"/>
        <v>11935.172414963501</v>
      </c>
      <c r="S302" s="57">
        <f t="shared" si="142"/>
        <v>23329.010928497435</v>
      </c>
      <c r="T302" s="57">
        <f t="shared" si="142"/>
        <v>839.60221633596166</v>
      </c>
      <c r="U302" s="57">
        <f t="shared" si="142"/>
        <v>345.03238513722334</v>
      </c>
      <c r="V302" s="57">
        <f t="shared" si="142"/>
        <v>0</v>
      </c>
      <c r="W302" s="57">
        <f t="shared" si="142"/>
        <v>0</v>
      </c>
      <c r="X302" s="41">
        <f t="shared" si="142"/>
        <v>0</v>
      </c>
      <c r="Y302" s="41">
        <f t="shared" si="142"/>
        <v>0</v>
      </c>
      <c r="Z302" s="41">
        <f t="shared" si="142"/>
        <v>0</v>
      </c>
      <c r="AA302" s="43">
        <f>SUM(G302:Z302)</f>
        <v>2841757.2287074765</v>
      </c>
      <c r="AB302" s="37" t="str">
        <f>IF(ABS(F302-AA302)&lt;0.01,"ok","err")</f>
        <v>ok</v>
      </c>
    </row>
    <row r="303" spans="1:28">
      <c r="F303" s="58"/>
    </row>
    <row r="304" spans="1:28">
      <c r="A304" s="44" t="s">
        <v>393</v>
      </c>
      <c r="F304" s="58"/>
    </row>
    <row r="305" spans="1:28">
      <c r="A305" s="45" t="s">
        <v>644</v>
      </c>
      <c r="C305" s="39" t="s">
        <v>1178</v>
      </c>
      <c r="D305" s="39" t="s">
        <v>537</v>
      </c>
      <c r="E305" s="39" t="s">
        <v>1472</v>
      </c>
      <c r="F305" s="57">
        <f>VLOOKUP(C305,'Functional Assignment'!$C$2:$AP$725,'Functional Assignment'!$S$2,)</f>
        <v>0</v>
      </c>
      <c r="G305" s="57">
        <f t="shared" ref="G305:P309" si="143">IF(VLOOKUP($E305,$D$6:$AN$1197,3,)=0,0,(VLOOKUP($E305,$D$6:$AN$1197,G$2,)/VLOOKUP($E305,$D$6:$AN$1197,3,))*$F305)</f>
        <v>0</v>
      </c>
      <c r="H305" s="57">
        <f t="shared" si="143"/>
        <v>0</v>
      </c>
      <c r="I305" s="57">
        <f t="shared" si="143"/>
        <v>0</v>
      </c>
      <c r="J305" s="57">
        <f t="shared" si="143"/>
        <v>0</v>
      </c>
      <c r="K305" s="57">
        <f t="shared" si="143"/>
        <v>0</v>
      </c>
      <c r="L305" s="57">
        <f t="shared" si="143"/>
        <v>0</v>
      </c>
      <c r="M305" s="57">
        <f t="shared" si="143"/>
        <v>0</v>
      </c>
      <c r="N305" s="57">
        <f t="shared" si="143"/>
        <v>0</v>
      </c>
      <c r="O305" s="57">
        <f t="shared" si="143"/>
        <v>0</v>
      </c>
      <c r="P305" s="57">
        <f t="shared" si="143"/>
        <v>0</v>
      </c>
      <c r="Q305" s="57">
        <f t="shared" ref="Q305:Z309" si="144">IF(VLOOKUP($E305,$D$6:$AN$1197,3,)=0,0,(VLOOKUP($E305,$D$6:$AN$1197,Q$2,)/VLOOKUP($E305,$D$6:$AN$1197,3,))*$F305)</f>
        <v>0</v>
      </c>
      <c r="R305" s="57">
        <f t="shared" si="144"/>
        <v>0</v>
      </c>
      <c r="S305" s="57">
        <f t="shared" si="144"/>
        <v>0</v>
      </c>
      <c r="T305" s="57">
        <f t="shared" si="144"/>
        <v>0</v>
      </c>
      <c r="U305" s="57">
        <f t="shared" si="144"/>
        <v>0</v>
      </c>
      <c r="V305" s="57">
        <f t="shared" si="144"/>
        <v>0</v>
      </c>
      <c r="W305" s="57">
        <f t="shared" si="144"/>
        <v>0</v>
      </c>
      <c r="X305" s="41">
        <f t="shared" si="144"/>
        <v>0</v>
      </c>
      <c r="Y305" s="41">
        <f t="shared" si="144"/>
        <v>0</v>
      </c>
      <c r="Z305" s="41">
        <f t="shared" si="144"/>
        <v>0</v>
      </c>
      <c r="AA305" s="43">
        <f t="shared" ref="AA305:AA310" si="145">SUM(G305:Z305)</f>
        <v>0</v>
      </c>
      <c r="AB305" s="37" t="str">
        <f t="shared" ref="AB305:AB310" si="146">IF(ABS(F305-AA305)&lt;0.01,"ok","err")</f>
        <v>ok</v>
      </c>
    </row>
    <row r="306" spans="1:28">
      <c r="A306" s="45" t="s">
        <v>645</v>
      </c>
      <c r="C306" s="39" t="s">
        <v>1178</v>
      </c>
      <c r="D306" s="39" t="s">
        <v>538</v>
      </c>
      <c r="E306" s="39" t="s">
        <v>1472</v>
      </c>
      <c r="F306" s="58">
        <f>VLOOKUP(C306,'Functional Assignment'!$C$2:$AP$725,'Functional Assignment'!$T$2,)</f>
        <v>4375724.3282650653</v>
      </c>
      <c r="G306" s="58">
        <f t="shared" si="143"/>
        <v>2099272.2480678568</v>
      </c>
      <c r="H306" s="58">
        <f t="shared" si="143"/>
        <v>595566.5884331743</v>
      </c>
      <c r="I306" s="58">
        <f t="shared" si="143"/>
        <v>62067.102496268279</v>
      </c>
      <c r="J306" s="58">
        <f t="shared" si="143"/>
        <v>726128.40991756506</v>
      </c>
      <c r="K306" s="58">
        <f t="shared" si="143"/>
        <v>581074.82085197384</v>
      </c>
      <c r="L306" s="58">
        <f t="shared" si="143"/>
        <v>174096.52987171512</v>
      </c>
      <c r="M306" s="58">
        <f t="shared" si="143"/>
        <v>0</v>
      </c>
      <c r="N306" s="58">
        <f t="shared" si="143"/>
        <v>0</v>
      </c>
      <c r="O306" s="58">
        <f t="shared" si="143"/>
        <v>0</v>
      </c>
      <c r="P306" s="58">
        <f t="shared" si="143"/>
        <v>0</v>
      </c>
      <c r="Q306" s="58">
        <f t="shared" si="144"/>
        <v>81394.911298732404</v>
      </c>
      <c r="R306" s="58">
        <f t="shared" si="144"/>
        <v>18377.721985050619</v>
      </c>
      <c r="S306" s="58">
        <f t="shared" si="144"/>
        <v>35921.90059128229</v>
      </c>
      <c r="T306" s="58">
        <f t="shared" si="144"/>
        <v>1292.8155181494976</v>
      </c>
      <c r="U306" s="58">
        <f t="shared" si="144"/>
        <v>531.27923329712473</v>
      </c>
      <c r="V306" s="58">
        <f t="shared" si="144"/>
        <v>0</v>
      </c>
      <c r="W306" s="58">
        <f t="shared" si="144"/>
        <v>0</v>
      </c>
      <c r="X306" s="42">
        <f t="shared" si="144"/>
        <v>0</v>
      </c>
      <c r="Y306" s="42">
        <f t="shared" si="144"/>
        <v>0</v>
      </c>
      <c r="Z306" s="42">
        <f t="shared" si="144"/>
        <v>0</v>
      </c>
      <c r="AA306" s="42">
        <f t="shared" si="145"/>
        <v>4375724.3282650644</v>
      </c>
      <c r="AB306" s="37" t="str">
        <f t="shared" si="146"/>
        <v>ok</v>
      </c>
    </row>
    <row r="307" spans="1:28">
      <c r="A307" s="45" t="s">
        <v>646</v>
      </c>
      <c r="C307" s="39" t="s">
        <v>1178</v>
      </c>
      <c r="D307" s="39" t="s">
        <v>539</v>
      </c>
      <c r="E307" s="39" t="s">
        <v>733</v>
      </c>
      <c r="F307" s="58">
        <f>VLOOKUP(C307,'Functional Assignment'!$C$2:$AP$725,'Functional Assignment'!$U$2,)</f>
        <v>7163442.0563546037</v>
      </c>
      <c r="G307" s="58">
        <f t="shared" si="143"/>
        <v>6166799.7954726331</v>
      </c>
      <c r="H307" s="58">
        <f t="shared" si="143"/>
        <v>767496.32298349345</v>
      </c>
      <c r="I307" s="58">
        <f t="shared" si="143"/>
        <v>1507.2590789149517</v>
      </c>
      <c r="J307" s="58">
        <f t="shared" si="143"/>
        <v>51601.457878147172</v>
      </c>
      <c r="K307" s="58">
        <f t="shared" si="143"/>
        <v>1631.3862971785361</v>
      </c>
      <c r="L307" s="58">
        <f t="shared" si="143"/>
        <v>2872.6584798143786</v>
      </c>
      <c r="M307" s="58">
        <f t="shared" si="143"/>
        <v>0</v>
      </c>
      <c r="N307" s="58">
        <f t="shared" si="143"/>
        <v>0</v>
      </c>
      <c r="O307" s="58">
        <f t="shared" si="143"/>
        <v>0</v>
      </c>
      <c r="P307" s="58">
        <f t="shared" si="143"/>
        <v>0</v>
      </c>
      <c r="Q307" s="58">
        <f t="shared" si="144"/>
        <v>17.732459751940606</v>
      </c>
      <c r="R307" s="58">
        <f t="shared" si="144"/>
        <v>35.464919503881212</v>
      </c>
      <c r="S307" s="58">
        <f t="shared" si="144"/>
        <v>169373.36256663594</v>
      </c>
      <c r="T307" s="58">
        <f t="shared" si="144"/>
        <v>301.45181578299037</v>
      </c>
      <c r="U307" s="58">
        <f t="shared" si="144"/>
        <v>1805.164402747554</v>
      </c>
      <c r="V307" s="58">
        <f t="shared" si="144"/>
        <v>0</v>
      </c>
      <c r="W307" s="58">
        <f t="shared" si="144"/>
        <v>0</v>
      </c>
      <c r="X307" s="42">
        <f t="shared" si="144"/>
        <v>0</v>
      </c>
      <c r="Y307" s="42">
        <f t="shared" si="144"/>
        <v>0</v>
      </c>
      <c r="Z307" s="42">
        <f t="shared" si="144"/>
        <v>0</v>
      </c>
      <c r="AA307" s="42">
        <f t="shared" si="145"/>
        <v>7163442.0563546037</v>
      </c>
      <c r="AB307" s="37" t="str">
        <f t="shared" si="146"/>
        <v>ok</v>
      </c>
    </row>
    <row r="308" spans="1:28">
      <c r="A308" s="45" t="s">
        <v>647</v>
      </c>
      <c r="C308" s="39" t="s">
        <v>1178</v>
      </c>
      <c r="D308" s="39" t="s">
        <v>540</v>
      </c>
      <c r="E308" s="39" t="s">
        <v>711</v>
      </c>
      <c r="F308" s="58">
        <f>VLOOKUP(C308,'Functional Assignment'!$C$2:$AP$725,'Functional Assignment'!$V$2,)</f>
        <v>1458574.7760883549</v>
      </c>
      <c r="G308" s="58">
        <f t="shared" si="143"/>
        <v>1009480.2913006521</v>
      </c>
      <c r="H308" s="58">
        <f t="shared" si="143"/>
        <v>194582.78024218793</v>
      </c>
      <c r="I308" s="58">
        <f t="shared" si="143"/>
        <v>0</v>
      </c>
      <c r="J308" s="58">
        <f t="shared" si="143"/>
        <v>193989.70959645303</v>
      </c>
      <c r="K308" s="58">
        <f t="shared" si="143"/>
        <v>0</v>
      </c>
      <c r="L308" s="58">
        <f t="shared" si="143"/>
        <v>52053.784324919798</v>
      </c>
      <c r="M308" s="58">
        <f t="shared" si="143"/>
        <v>0</v>
      </c>
      <c r="N308" s="58">
        <f t="shared" si="143"/>
        <v>0</v>
      </c>
      <c r="O308" s="58">
        <f t="shared" si="143"/>
        <v>0</v>
      </c>
      <c r="P308" s="58">
        <f t="shared" si="143"/>
        <v>0</v>
      </c>
      <c r="Q308" s="58">
        <f t="shared" si="144"/>
        <v>0</v>
      </c>
      <c r="R308" s="58">
        <f t="shared" si="144"/>
        <v>0</v>
      </c>
      <c r="S308" s="58">
        <f t="shared" si="144"/>
        <v>8050.0823593258237</v>
      </c>
      <c r="T308" s="58">
        <f t="shared" si="144"/>
        <v>299.06881881150696</v>
      </c>
      <c r="U308" s="58">
        <f t="shared" si="144"/>
        <v>119.05944600490484</v>
      </c>
      <c r="V308" s="58">
        <f t="shared" si="144"/>
        <v>0</v>
      </c>
      <c r="W308" s="58">
        <f t="shared" si="144"/>
        <v>0</v>
      </c>
      <c r="X308" s="42">
        <f t="shared" si="144"/>
        <v>0</v>
      </c>
      <c r="Y308" s="42">
        <f t="shared" si="144"/>
        <v>0</v>
      </c>
      <c r="Z308" s="42">
        <f t="shared" si="144"/>
        <v>0</v>
      </c>
      <c r="AA308" s="42">
        <f t="shared" si="145"/>
        <v>1458574.7760883551</v>
      </c>
      <c r="AB308" s="37" t="str">
        <f t="shared" si="146"/>
        <v>ok</v>
      </c>
    </row>
    <row r="309" spans="1:28">
      <c r="A309" s="45" t="s">
        <v>648</v>
      </c>
      <c r="C309" s="39" t="s">
        <v>1178</v>
      </c>
      <c r="D309" s="39" t="s">
        <v>541</v>
      </c>
      <c r="E309" s="39" t="s">
        <v>732</v>
      </c>
      <c r="F309" s="58">
        <f>VLOOKUP(C309,'Functional Assignment'!$C$2:$AP$725,'Functional Assignment'!$W$2,)</f>
        <v>2387814.0187848681</v>
      </c>
      <c r="G309" s="58">
        <f t="shared" si="143"/>
        <v>2056516.2617784115</v>
      </c>
      <c r="H309" s="58">
        <f t="shared" si="143"/>
        <v>255946.15058355752</v>
      </c>
      <c r="I309" s="58">
        <f t="shared" si="143"/>
        <v>0</v>
      </c>
      <c r="J309" s="58">
        <f t="shared" si="143"/>
        <v>17208.153463290801</v>
      </c>
      <c r="K309" s="58">
        <f t="shared" si="143"/>
        <v>0</v>
      </c>
      <c r="L309" s="58">
        <f t="shared" si="143"/>
        <v>957.97967733783821</v>
      </c>
      <c r="M309" s="58">
        <f t="shared" si="143"/>
        <v>0</v>
      </c>
      <c r="N309" s="58">
        <f t="shared" si="143"/>
        <v>0</v>
      </c>
      <c r="O309" s="58">
        <f t="shared" si="143"/>
        <v>0</v>
      </c>
      <c r="P309" s="58">
        <f t="shared" si="143"/>
        <v>0</v>
      </c>
      <c r="Q309" s="58">
        <f t="shared" si="144"/>
        <v>0</v>
      </c>
      <c r="R309" s="58">
        <f t="shared" si="144"/>
        <v>0</v>
      </c>
      <c r="S309" s="58">
        <f t="shared" si="144"/>
        <v>56482.954852222814</v>
      </c>
      <c r="T309" s="58">
        <f t="shared" si="144"/>
        <v>100.52873157248921</v>
      </c>
      <c r="U309" s="58">
        <f t="shared" si="144"/>
        <v>601.98969847525882</v>
      </c>
      <c r="V309" s="58">
        <f t="shared" si="144"/>
        <v>0</v>
      </c>
      <c r="W309" s="58">
        <f t="shared" si="144"/>
        <v>0</v>
      </c>
      <c r="X309" s="42">
        <f t="shared" si="144"/>
        <v>0</v>
      </c>
      <c r="Y309" s="42">
        <f t="shared" si="144"/>
        <v>0</v>
      </c>
      <c r="Z309" s="42">
        <f t="shared" si="144"/>
        <v>0</v>
      </c>
      <c r="AA309" s="42">
        <f t="shared" si="145"/>
        <v>2387814.0187848681</v>
      </c>
      <c r="AB309" s="37" t="str">
        <f t="shared" si="146"/>
        <v>ok</v>
      </c>
    </row>
    <row r="310" spans="1:28">
      <c r="A310" s="39" t="s">
        <v>398</v>
      </c>
      <c r="D310" s="39" t="s">
        <v>542</v>
      </c>
      <c r="F310" s="57">
        <f>SUM(F305:F309)</f>
        <v>15385555.179492891</v>
      </c>
      <c r="G310" s="57">
        <f t="shared" ref="G310:W310" si="147">SUM(G305:G309)</f>
        <v>11332068.596619554</v>
      </c>
      <c r="H310" s="57">
        <f t="shared" si="147"/>
        <v>1813591.8422424132</v>
      </c>
      <c r="I310" s="57">
        <f t="shared" si="147"/>
        <v>63574.361575183233</v>
      </c>
      <c r="J310" s="57">
        <f t="shared" si="147"/>
        <v>988927.73085545597</v>
      </c>
      <c r="K310" s="57">
        <f t="shared" si="147"/>
        <v>582706.20714915241</v>
      </c>
      <c r="L310" s="57">
        <f t="shared" si="147"/>
        <v>229980.95235378714</v>
      </c>
      <c r="M310" s="57">
        <f t="shared" si="147"/>
        <v>0</v>
      </c>
      <c r="N310" s="57">
        <f t="shared" si="147"/>
        <v>0</v>
      </c>
      <c r="O310" s="57">
        <f>SUM(O305:O309)</f>
        <v>0</v>
      </c>
      <c r="P310" s="57">
        <f t="shared" si="147"/>
        <v>0</v>
      </c>
      <c r="Q310" s="57">
        <f t="shared" si="147"/>
        <v>81412.643758484352</v>
      </c>
      <c r="R310" s="57">
        <f t="shared" si="147"/>
        <v>18413.186904554499</v>
      </c>
      <c r="S310" s="57">
        <f t="shared" si="147"/>
        <v>269828.30036946689</v>
      </c>
      <c r="T310" s="57">
        <f t="shared" si="147"/>
        <v>1993.864884316484</v>
      </c>
      <c r="U310" s="57">
        <f t="shared" si="147"/>
        <v>3057.4927805248426</v>
      </c>
      <c r="V310" s="57">
        <f t="shared" si="147"/>
        <v>0</v>
      </c>
      <c r="W310" s="57">
        <f t="shared" si="147"/>
        <v>0</v>
      </c>
      <c r="X310" s="41">
        <f>SUM(X305:X309)</f>
        <v>0</v>
      </c>
      <c r="Y310" s="41">
        <f>SUM(Y305:Y309)</f>
        <v>0</v>
      </c>
      <c r="Z310" s="41">
        <f>SUM(Z305:Z309)</f>
        <v>0</v>
      </c>
      <c r="AA310" s="43">
        <f t="shared" si="145"/>
        <v>15385555.179492893</v>
      </c>
      <c r="AB310" s="37" t="str">
        <f t="shared" si="146"/>
        <v>ok</v>
      </c>
    </row>
    <row r="311" spans="1:28">
      <c r="F311" s="58"/>
    </row>
    <row r="312" spans="1:28">
      <c r="A312" s="44" t="s">
        <v>666</v>
      </c>
      <c r="F312" s="58"/>
    </row>
    <row r="313" spans="1:28">
      <c r="A313" s="45" t="s">
        <v>1196</v>
      </c>
      <c r="C313" s="39" t="s">
        <v>1178</v>
      </c>
      <c r="D313" s="39" t="s">
        <v>543</v>
      </c>
      <c r="E313" s="39" t="s">
        <v>711</v>
      </c>
      <c r="F313" s="57">
        <f>VLOOKUP(C313,'Functional Assignment'!$C$2:$AP$725,'Functional Assignment'!$X$2,)</f>
        <v>2042958.0597370737</v>
      </c>
      <c r="G313" s="57">
        <f t="shared" ref="G313:P314" si="148">IF(VLOOKUP($E313,$D$6:$AN$1197,3,)=0,0,(VLOOKUP($E313,$D$6:$AN$1197,G$2,)/VLOOKUP($E313,$D$6:$AN$1197,3,))*$F313)</f>
        <v>1413932.2378720941</v>
      </c>
      <c r="H313" s="57">
        <f t="shared" si="148"/>
        <v>272543.07814640639</v>
      </c>
      <c r="I313" s="57">
        <f t="shared" si="148"/>
        <v>0</v>
      </c>
      <c r="J313" s="57">
        <f t="shared" si="148"/>
        <v>271712.39159158542</v>
      </c>
      <c r="K313" s="57">
        <f t="shared" si="148"/>
        <v>0</v>
      </c>
      <c r="L313" s="57">
        <f t="shared" si="148"/>
        <v>72909.322147751416</v>
      </c>
      <c r="M313" s="57">
        <f t="shared" si="148"/>
        <v>0</v>
      </c>
      <c r="N313" s="57">
        <f t="shared" si="148"/>
        <v>0</v>
      </c>
      <c r="O313" s="57">
        <f t="shared" si="148"/>
        <v>0</v>
      </c>
      <c r="P313" s="57">
        <f t="shared" si="148"/>
        <v>0</v>
      </c>
      <c r="Q313" s="57">
        <f t="shared" ref="Q313:Z314" si="149">IF(VLOOKUP($E313,$D$6:$AN$1197,3,)=0,0,(VLOOKUP($E313,$D$6:$AN$1197,Q$2,)/VLOOKUP($E313,$D$6:$AN$1197,3,))*$F313)</f>
        <v>0</v>
      </c>
      <c r="R313" s="57">
        <f t="shared" si="149"/>
        <v>0</v>
      </c>
      <c r="S313" s="57">
        <f t="shared" si="149"/>
        <v>11275.37710588771</v>
      </c>
      <c r="T313" s="57">
        <f t="shared" si="149"/>
        <v>418.89182770976674</v>
      </c>
      <c r="U313" s="57">
        <f t="shared" si="149"/>
        <v>166.76104563926529</v>
      </c>
      <c r="V313" s="57">
        <f t="shared" si="149"/>
        <v>0</v>
      </c>
      <c r="W313" s="57">
        <f t="shared" si="149"/>
        <v>0</v>
      </c>
      <c r="X313" s="41">
        <f t="shared" si="149"/>
        <v>0</v>
      </c>
      <c r="Y313" s="41">
        <f t="shared" si="149"/>
        <v>0</v>
      </c>
      <c r="Z313" s="41">
        <f t="shared" si="149"/>
        <v>0</v>
      </c>
      <c r="AA313" s="43">
        <f>SUM(G313:Z313)</f>
        <v>2042958.0597370742</v>
      </c>
      <c r="AB313" s="37" t="str">
        <f>IF(ABS(F313-AA313)&lt;0.01,"ok","err")</f>
        <v>ok</v>
      </c>
    </row>
    <row r="314" spans="1:28">
      <c r="A314" s="45" t="s">
        <v>1199</v>
      </c>
      <c r="C314" s="39" t="s">
        <v>1178</v>
      </c>
      <c r="D314" s="39" t="s">
        <v>544</v>
      </c>
      <c r="E314" s="39" t="s">
        <v>732</v>
      </c>
      <c r="F314" s="58">
        <f>VLOOKUP(C314,'Functional Assignment'!$C$2:$AP$725,'Functional Assignment'!$Y$2,)</f>
        <v>1624830.1983187138</v>
      </c>
      <c r="G314" s="58">
        <f t="shared" si="148"/>
        <v>1399392.7915590021</v>
      </c>
      <c r="H314" s="58">
        <f t="shared" si="148"/>
        <v>174163.07607709928</v>
      </c>
      <c r="I314" s="58">
        <f t="shared" si="148"/>
        <v>0</v>
      </c>
      <c r="J314" s="58">
        <f t="shared" si="148"/>
        <v>11709.591779131253</v>
      </c>
      <c r="K314" s="58">
        <f t="shared" si="148"/>
        <v>0</v>
      </c>
      <c r="L314" s="58">
        <f t="shared" si="148"/>
        <v>651.87418151864711</v>
      </c>
      <c r="M314" s="58">
        <f t="shared" si="148"/>
        <v>0</v>
      </c>
      <c r="N314" s="58">
        <f t="shared" si="148"/>
        <v>0</v>
      </c>
      <c r="O314" s="58">
        <f t="shared" si="148"/>
        <v>0</v>
      </c>
      <c r="P314" s="58">
        <f t="shared" si="148"/>
        <v>0</v>
      </c>
      <c r="Q314" s="58">
        <f t="shared" si="149"/>
        <v>0</v>
      </c>
      <c r="R314" s="58">
        <f t="shared" si="149"/>
        <v>0</v>
      </c>
      <c r="S314" s="58">
        <f t="shared" si="149"/>
        <v>38434.823655515487</v>
      </c>
      <c r="T314" s="58">
        <f t="shared" si="149"/>
        <v>68.406549912450629</v>
      </c>
      <c r="U314" s="58">
        <f t="shared" si="149"/>
        <v>409.63451653455724</v>
      </c>
      <c r="V314" s="58">
        <f t="shared" si="149"/>
        <v>0</v>
      </c>
      <c r="W314" s="58">
        <f t="shared" si="149"/>
        <v>0</v>
      </c>
      <c r="X314" s="42">
        <f t="shared" si="149"/>
        <v>0</v>
      </c>
      <c r="Y314" s="42">
        <f t="shared" si="149"/>
        <v>0</v>
      </c>
      <c r="Z314" s="42">
        <f t="shared" si="149"/>
        <v>0</v>
      </c>
      <c r="AA314" s="42">
        <f>SUM(G314:Z314)</f>
        <v>1624830.1983187136</v>
      </c>
      <c r="AB314" s="37" t="str">
        <f>IF(ABS(F314-AA314)&lt;0.01,"ok","err")</f>
        <v>ok</v>
      </c>
    </row>
    <row r="315" spans="1:28">
      <c r="A315" s="39" t="s">
        <v>773</v>
      </c>
      <c r="D315" s="39" t="s">
        <v>545</v>
      </c>
      <c r="F315" s="57">
        <f>F313+F314</f>
        <v>3667788.2580557875</v>
      </c>
      <c r="G315" s="57">
        <f t="shared" ref="G315:W315" si="150">G313+G314</f>
        <v>2813325.0294310963</v>
      </c>
      <c r="H315" s="57">
        <f t="shared" si="150"/>
        <v>446706.15422350564</v>
      </c>
      <c r="I315" s="57">
        <f t="shared" si="150"/>
        <v>0</v>
      </c>
      <c r="J315" s="57">
        <f t="shared" si="150"/>
        <v>283421.98337071668</v>
      </c>
      <c r="K315" s="57">
        <f t="shared" si="150"/>
        <v>0</v>
      </c>
      <c r="L315" s="57">
        <f t="shared" si="150"/>
        <v>73561.196329270068</v>
      </c>
      <c r="M315" s="57">
        <f t="shared" si="150"/>
        <v>0</v>
      </c>
      <c r="N315" s="57">
        <f t="shared" si="150"/>
        <v>0</v>
      </c>
      <c r="O315" s="57">
        <f>O313+O314</f>
        <v>0</v>
      </c>
      <c r="P315" s="57">
        <f t="shared" si="150"/>
        <v>0</v>
      </c>
      <c r="Q315" s="57">
        <f t="shared" si="150"/>
        <v>0</v>
      </c>
      <c r="R315" s="57">
        <f t="shared" si="150"/>
        <v>0</v>
      </c>
      <c r="S315" s="57">
        <f t="shared" si="150"/>
        <v>49710.200761403197</v>
      </c>
      <c r="T315" s="57">
        <f t="shared" si="150"/>
        <v>487.29837762221734</v>
      </c>
      <c r="U315" s="57">
        <f t="shared" si="150"/>
        <v>576.39556217382255</v>
      </c>
      <c r="V315" s="57">
        <f t="shared" si="150"/>
        <v>0</v>
      </c>
      <c r="W315" s="57">
        <f t="shared" si="150"/>
        <v>0</v>
      </c>
      <c r="X315" s="41">
        <f>X313+X314</f>
        <v>0</v>
      </c>
      <c r="Y315" s="41">
        <f>Y313+Y314</f>
        <v>0</v>
      </c>
      <c r="Z315" s="41">
        <f>Z313+Z314</f>
        <v>0</v>
      </c>
      <c r="AA315" s="43">
        <f>SUM(G315:Z315)</f>
        <v>3667788.258055788</v>
      </c>
      <c r="AB315" s="37" t="str">
        <f>IF(ABS(F315-AA315)&lt;0.01,"ok","err")</f>
        <v>ok</v>
      </c>
    </row>
    <row r="316" spans="1:28">
      <c r="F316" s="58"/>
    </row>
    <row r="317" spans="1:28">
      <c r="A317" s="44" t="s">
        <v>371</v>
      </c>
      <c r="F317" s="58"/>
    </row>
    <row r="318" spans="1:28">
      <c r="A318" s="45" t="s">
        <v>1199</v>
      </c>
      <c r="C318" s="39" t="s">
        <v>1178</v>
      </c>
      <c r="D318" s="39" t="s">
        <v>546</v>
      </c>
      <c r="E318" s="39" t="s">
        <v>1201</v>
      </c>
      <c r="F318" s="57">
        <f>VLOOKUP(C318,'Functional Assignment'!$C$2:$AP$725,'Functional Assignment'!$Z$2,)</f>
        <v>743945.46313482651</v>
      </c>
      <c r="G318" s="57">
        <f t="shared" ref="G318:Z318" si="151">IF(VLOOKUP($E318,$D$6:$AN$1197,3,)=0,0,(VLOOKUP($E318,$D$6:$AN$1197,G$2,)/VLOOKUP($E318,$D$6:$AN$1197,3,))*$F318)</f>
        <v>615387.49902693008</v>
      </c>
      <c r="H318" s="57">
        <f t="shared" si="151"/>
        <v>102775.72465491951</v>
      </c>
      <c r="I318" s="57">
        <f t="shared" si="151"/>
        <v>0</v>
      </c>
      <c r="J318" s="57">
        <f t="shared" si="151"/>
        <v>21955.210321112845</v>
      </c>
      <c r="K318" s="57">
        <f t="shared" si="151"/>
        <v>0</v>
      </c>
      <c r="L318" s="57">
        <f t="shared" si="151"/>
        <v>1748.3062385444221</v>
      </c>
      <c r="M318" s="57">
        <f t="shared" si="151"/>
        <v>0</v>
      </c>
      <c r="N318" s="57">
        <f t="shared" si="151"/>
        <v>0</v>
      </c>
      <c r="O318" s="57">
        <f t="shared" si="151"/>
        <v>0</v>
      </c>
      <c r="P318" s="57">
        <f t="shared" si="151"/>
        <v>0</v>
      </c>
      <c r="Q318" s="57">
        <f t="shared" si="151"/>
        <v>0</v>
      </c>
      <c r="R318" s="57">
        <f t="shared" si="151"/>
        <v>0</v>
      </c>
      <c r="S318" s="57">
        <f t="shared" si="151"/>
        <v>0</v>
      </c>
      <c r="T318" s="57">
        <f t="shared" si="151"/>
        <v>301.94715410938898</v>
      </c>
      <c r="U318" s="57">
        <f t="shared" si="151"/>
        <v>1776.7757392101614</v>
      </c>
      <c r="V318" s="57">
        <f t="shared" si="151"/>
        <v>0</v>
      </c>
      <c r="W318" s="57">
        <f t="shared" si="151"/>
        <v>0</v>
      </c>
      <c r="X318" s="41">
        <f t="shared" si="151"/>
        <v>0</v>
      </c>
      <c r="Y318" s="41">
        <f t="shared" si="151"/>
        <v>0</v>
      </c>
      <c r="Z318" s="41">
        <f t="shared" si="151"/>
        <v>0</v>
      </c>
      <c r="AA318" s="43">
        <f>SUM(G318:Z318)</f>
        <v>743945.46313482639</v>
      </c>
      <c r="AB318" s="37" t="str">
        <f>IF(ABS(F318-AA318)&lt;0.01,"ok","err")</f>
        <v>ok</v>
      </c>
    </row>
    <row r="319" spans="1:28">
      <c r="F319" s="58"/>
    </row>
    <row r="320" spans="1:28">
      <c r="A320" s="44" t="s">
        <v>370</v>
      </c>
      <c r="F320" s="58"/>
    </row>
    <row r="321" spans="1:28">
      <c r="A321" s="45" t="s">
        <v>1199</v>
      </c>
      <c r="C321" s="39" t="s">
        <v>1178</v>
      </c>
      <c r="D321" s="39" t="s">
        <v>547</v>
      </c>
      <c r="E321" s="39" t="s">
        <v>1202</v>
      </c>
      <c r="F321" s="57">
        <f>VLOOKUP(C321,'Functional Assignment'!$C$2:$AP$725,'Functional Assignment'!$AA$2,)</f>
        <v>1002493.5168171015</v>
      </c>
      <c r="G321" s="57">
        <f t="shared" ref="G321:Z321" si="152">IF(VLOOKUP($E321,$D$6:$AN$1197,3,)=0,0,(VLOOKUP($E321,$D$6:$AN$1197,G$2,)/VLOOKUP($E321,$D$6:$AN$1197,3,))*$F321)</f>
        <v>701635.51972603716</v>
      </c>
      <c r="H321" s="57">
        <f t="shared" si="152"/>
        <v>208371.07932986596</v>
      </c>
      <c r="I321" s="57">
        <f t="shared" si="152"/>
        <v>9507.9732191224721</v>
      </c>
      <c r="J321" s="57">
        <f t="shared" si="152"/>
        <v>54593.960201194997</v>
      </c>
      <c r="K321" s="57">
        <f t="shared" si="152"/>
        <v>10699.702663521557</v>
      </c>
      <c r="L321" s="57">
        <f t="shared" si="152"/>
        <v>3279.9848977785355</v>
      </c>
      <c r="M321" s="57">
        <f t="shared" si="152"/>
        <v>0</v>
      </c>
      <c r="N321" s="57">
        <f t="shared" si="152"/>
        <v>0</v>
      </c>
      <c r="O321" s="57">
        <f t="shared" si="152"/>
        <v>0</v>
      </c>
      <c r="P321" s="57">
        <f t="shared" si="152"/>
        <v>9456.2568036042339</v>
      </c>
      <c r="Q321" s="57">
        <f t="shared" si="152"/>
        <v>859.65970941856665</v>
      </c>
      <c r="R321" s="57">
        <f t="shared" si="152"/>
        <v>1719.3194188371333</v>
      </c>
      <c r="S321" s="57">
        <f t="shared" si="152"/>
        <v>0</v>
      </c>
      <c r="T321" s="57">
        <f t="shared" si="152"/>
        <v>344.26576545401656</v>
      </c>
      <c r="U321" s="57">
        <f t="shared" si="152"/>
        <v>2025.7950822669877</v>
      </c>
      <c r="V321" s="57">
        <f t="shared" si="152"/>
        <v>0</v>
      </c>
      <c r="W321" s="57">
        <f t="shared" si="152"/>
        <v>0</v>
      </c>
      <c r="X321" s="41">
        <f t="shared" si="152"/>
        <v>0</v>
      </c>
      <c r="Y321" s="41">
        <f t="shared" si="152"/>
        <v>0</v>
      </c>
      <c r="Z321" s="41">
        <f t="shared" si="152"/>
        <v>0</v>
      </c>
      <c r="AA321" s="43">
        <f>SUM(G321:Z321)</f>
        <v>1002493.5168171015</v>
      </c>
      <c r="AB321" s="37" t="str">
        <f>IF(ABS(F321-AA321)&lt;0.01,"ok","err")</f>
        <v>ok</v>
      </c>
    </row>
    <row r="322" spans="1:28">
      <c r="F322" s="58"/>
    </row>
    <row r="323" spans="1:28">
      <c r="A323" s="44" t="s">
        <v>391</v>
      </c>
      <c r="F323" s="58"/>
    </row>
    <row r="324" spans="1:28">
      <c r="A324" s="45" t="s">
        <v>1199</v>
      </c>
      <c r="C324" s="39" t="s">
        <v>1178</v>
      </c>
      <c r="D324" s="39" t="s">
        <v>548</v>
      </c>
      <c r="E324" s="39" t="s">
        <v>1203</v>
      </c>
      <c r="F324" s="57">
        <f>VLOOKUP(C324,'Functional Assignment'!$C$2:$AP$725,'Functional Assignment'!$AB$2,)</f>
        <v>2204985.3850666825</v>
      </c>
      <c r="G324" s="57">
        <f t="shared" ref="G324:Z324" si="153">IF(VLOOKUP($E324,$D$6:$AN$1197,3,)=0,0,(VLOOKUP($E324,$D$6:$AN$1197,G$2,)/VLOOKUP($E324,$D$6:$AN$1197,3,))*$F324)</f>
        <v>0</v>
      </c>
      <c r="H324" s="57">
        <f t="shared" si="153"/>
        <v>0</v>
      </c>
      <c r="I324" s="57">
        <f t="shared" si="153"/>
        <v>0</v>
      </c>
      <c r="J324" s="57">
        <f t="shared" si="153"/>
        <v>0</v>
      </c>
      <c r="K324" s="57">
        <f t="shared" si="153"/>
        <v>0</v>
      </c>
      <c r="L324" s="57">
        <f t="shared" si="153"/>
        <v>0</v>
      </c>
      <c r="M324" s="57">
        <f t="shared" si="153"/>
        <v>0</v>
      </c>
      <c r="N324" s="57">
        <f t="shared" si="153"/>
        <v>0</v>
      </c>
      <c r="O324" s="57">
        <f t="shared" si="153"/>
        <v>0</v>
      </c>
      <c r="P324" s="57">
        <f t="shared" si="153"/>
        <v>0</v>
      </c>
      <c r="Q324" s="57">
        <f t="shared" si="153"/>
        <v>0</v>
      </c>
      <c r="R324" s="57">
        <f t="shared" si="153"/>
        <v>0</v>
      </c>
      <c r="S324" s="57">
        <f t="shared" si="153"/>
        <v>2204985.3850666825</v>
      </c>
      <c r="T324" s="57">
        <f t="shared" si="153"/>
        <v>0</v>
      </c>
      <c r="U324" s="57">
        <f t="shared" si="153"/>
        <v>0</v>
      </c>
      <c r="V324" s="57">
        <f t="shared" si="153"/>
        <v>0</v>
      </c>
      <c r="W324" s="57">
        <f t="shared" si="153"/>
        <v>0</v>
      </c>
      <c r="X324" s="41">
        <f t="shared" si="153"/>
        <v>0</v>
      </c>
      <c r="Y324" s="41">
        <f t="shared" si="153"/>
        <v>0</v>
      </c>
      <c r="Z324" s="41">
        <f t="shared" si="153"/>
        <v>0</v>
      </c>
      <c r="AA324" s="43">
        <f>SUM(G324:Z324)</f>
        <v>2204985.3850666825</v>
      </c>
      <c r="AB324" s="37" t="str">
        <f>IF(ABS(F324-AA324)&lt;0.01,"ok","err")</f>
        <v>ok</v>
      </c>
    </row>
    <row r="325" spans="1:28">
      <c r="F325" s="58"/>
    </row>
    <row r="326" spans="1:28">
      <c r="A326" s="44" t="s">
        <v>1129</v>
      </c>
      <c r="F326" s="58"/>
    </row>
    <row r="327" spans="1:28">
      <c r="A327" s="45" t="s">
        <v>1199</v>
      </c>
      <c r="C327" s="39" t="s">
        <v>1178</v>
      </c>
      <c r="D327" s="39" t="s">
        <v>549</v>
      </c>
      <c r="E327" s="39" t="s">
        <v>1204</v>
      </c>
      <c r="F327" s="57">
        <f>VLOOKUP(C327,'Functional Assignment'!$C$2:$AP$725,'Functional Assignment'!$AC$2,)</f>
        <v>0</v>
      </c>
      <c r="G327" s="57">
        <f t="shared" ref="G327:Z327" si="154">IF(VLOOKUP($E327,$D$6:$AN$1197,3,)=0,0,(VLOOKUP($E327,$D$6:$AN$1197,G$2,)/VLOOKUP($E327,$D$6:$AN$1197,3,))*$F327)</f>
        <v>0</v>
      </c>
      <c r="H327" s="57">
        <f t="shared" si="154"/>
        <v>0</v>
      </c>
      <c r="I327" s="57">
        <f t="shared" si="154"/>
        <v>0</v>
      </c>
      <c r="J327" s="57">
        <f t="shared" si="154"/>
        <v>0</v>
      </c>
      <c r="K327" s="57">
        <f t="shared" si="154"/>
        <v>0</v>
      </c>
      <c r="L327" s="57">
        <f t="shared" si="154"/>
        <v>0</v>
      </c>
      <c r="M327" s="57">
        <f t="shared" si="154"/>
        <v>0</v>
      </c>
      <c r="N327" s="57">
        <f t="shared" si="154"/>
        <v>0</v>
      </c>
      <c r="O327" s="57">
        <f t="shared" si="154"/>
        <v>0</v>
      </c>
      <c r="P327" s="57">
        <f t="shared" si="154"/>
        <v>0</v>
      </c>
      <c r="Q327" s="57">
        <f t="shared" si="154"/>
        <v>0</v>
      </c>
      <c r="R327" s="57">
        <f t="shared" si="154"/>
        <v>0</v>
      </c>
      <c r="S327" s="57">
        <f t="shared" si="154"/>
        <v>0</v>
      </c>
      <c r="T327" s="57">
        <f t="shared" si="154"/>
        <v>0</v>
      </c>
      <c r="U327" s="57">
        <f t="shared" si="154"/>
        <v>0</v>
      </c>
      <c r="V327" s="57">
        <f t="shared" si="154"/>
        <v>0</v>
      </c>
      <c r="W327" s="57">
        <f t="shared" si="154"/>
        <v>0</v>
      </c>
      <c r="X327" s="41">
        <f t="shared" si="154"/>
        <v>0</v>
      </c>
      <c r="Y327" s="41">
        <f t="shared" si="154"/>
        <v>0</v>
      </c>
      <c r="Z327" s="41">
        <f t="shared" si="154"/>
        <v>0</v>
      </c>
      <c r="AA327" s="43">
        <f>SUM(G327:Z327)</f>
        <v>0</v>
      </c>
      <c r="AB327" s="37" t="str">
        <f>IF(ABS(F327-AA327)&lt;0.01,"ok","err")</f>
        <v>ok</v>
      </c>
    </row>
    <row r="328" spans="1:28">
      <c r="F328" s="58"/>
    </row>
    <row r="329" spans="1:28">
      <c r="A329" s="44" t="s">
        <v>368</v>
      </c>
      <c r="F329" s="58"/>
    </row>
    <row r="330" spans="1:28">
      <c r="A330" s="45" t="s">
        <v>1199</v>
      </c>
      <c r="C330" s="39" t="s">
        <v>1178</v>
      </c>
      <c r="D330" s="39" t="s">
        <v>550</v>
      </c>
      <c r="E330" s="39" t="s">
        <v>1204</v>
      </c>
      <c r="F330" s="57">
        <f>VLOOKUP(C330,'Functional Assignment'!$C$2:$AP$725,'Functional Assignment'!$AD$2,)</f>
        <v>0</v>
      </c>
      <c r="G330" s="57">
        <f t="shared" ref="G330:Z330" si="155">IF(VLOOKUP($E330,$D$6:$AN$1197,3,)=0,0,(VLOOKUP($E330,$D$6:$AN$1197,G$2,)/VLOOKUP($E330,$D$6:$AN$1197,3,))*$F330)</f>
        <v>0</v>
      </c>
      <c r="H330" s="57">
        <f t="shared" si="155"/>
        <v>0</v>
      </c>
      <c r="I330" s="57">
        <f t="shared" si="155"/>
        <v>0</v>
      </c>
      <c r="J330" s="57">
        <f t="shared" si="155"/>
        <v>0</v>
      </c>
      <c r="K330" s="57">
        <f t="shared" si="155"/>
        <v>0</v>
      </c>
      <c r="L330" s="57">
        <f t="shared" si="155"/>
        <v>0</v>
      </c>
      <c r="M330" s="57">
        <f t="shared" si="155"/>
        <v>0</v>
      </c>
      <c r="N330" s="57">
        <f t="shared" si="155"/>
        <v>0</v>
      </c>
      <c r="O330" s="57">
        <f t="shared" si="155"/>
        <v>0</v>
      </c>
      <c r="P330" s="57">
        <f t="shared" si="155"/>
        <v>0</v>
      </c>
      <c r="Q330" s="57">
        <f t="shared" si="155"/>
        <v>0</v>
      </c>
      <c r="R330" s="57">
        <f t="shared" si="155"/>
        <v>0</v>
      </c>
      <c r="S330" s="57">
        <f t="shared" si="155"/>
        <v>0</v>
      </c>
      <c r="T330" s="57">
        <f t="shared" si="155"/>
        <v>0</v>
      </c>
      <c r="U330" s="57">
        <f t="shared" si="155"/>
        <v>0</v>
      </c>
      <c r="V330" s="57">
        <f t="shared" si="155"/>
        <v>0</v>
      </c>
      <c r="W330" s="57">
        <f t="shared" si="155"/>
        <v>0</v>
      </c>
      <c r="X330" s="41">
        <f t="shared" si="155"/>
        <v>0</v>
      </c>
      <c r="Y330" s="41">
        <f t="shared" si="155"/>
        <v>0</v>
      </c>
      <c r="Z330" s="41">
        <f t="shared" si="155"/>
        <v>0</v>
      </c>
      <c r="AA330" s="43">
        <f>SUM(G330:Z330)</f>
        <v>0</v>
      </c>
      <c r="AB330" s="37" t="str">
        <f>IF(ABS(F330-AA330)&lt;0.01,"ok","err")</f>
        <v>ok</v>
      </c>
    </row>
    <row r="331" spans="1:28">
      <c r="F331" s="58"/>
    </row>
    <row r="332" spans="1:28">
      <c r="A332" s="44" t="s">
        <v>367</v>
      </c>
      <c r="F332" s="58"/>
    </row>
    <row r="333" spans="1:28">
      <c r="A333" s="45" t="s">
        <v>1199</v>
      </c>
      <c r="C333" s="39" t="s">
        <v>1178</v>
      </c>
      <c r="D333" s="39" t="s">
        <v>551</v>
      </c>
      <c r="E333" s="39" t="s">
        <v>1205</v>
      </c>
      <c r="F333" s="57">
        <f>VLOOKUP(C333,'Functional Assignment'!$C$2:$AP$725,'Functional Assignment'!$AE$2,)</f>
        <v>0</v>
      </c>
      <c r="G333" s="57">
        <f t="shared" ref="G333:Z333" si="156">IF(VLOOKUP($E333,$D$6:$AN$1197,3,)=0,0,(VLOOKUP($E333,$D$6:$AN$1197,G$2,)/VLOOKUP($E333,$D$6:$AN$1197,3,))*$F333)</f>
        <v>0</v>
      </c>
      <c r="H333" s="57">
        <f t="shared" si="156"/>
        <v>0</v>
      </c>
      <c r="I333" s="57">
        <f t="shared" si="156"/>
        <v>0</v>
      </c>
      <c r="J333" s="57">
        <f t="shared" si="156"/>
        <v>0</v>
      </c>
      <c r="K333" s="57">
        <f t="shared" si="156"/>
        <v>0</v>
      </c>
      <c r="L333" s="57">
        <f t="shared" si="156"/>
        <v>0</v>
      </c>
      <c r="M333" s="57">
        <f t="shared" si="156"/>
        <v>0</v>
      </c>
      <c r="N333" s="57">
        <f t="shared" si="156"/>
        <v>0</v>
      </c>
      <c r="O333" s="57">
        <f t="shared" si="156"/>
        <v>0</v>
      </c>
      <c r="P333" s="57">
        <f t="shared" si="156"/>
        <v>0</v>
      </c>
      <c r="Q333" s="57">
        <f t="shared" si="156"/>
        <v>0</v>
      </c>
      <c r="R333" s="57">
        <f t="shared" si="156"/>
        <v>0</v>
      </c>
      <c r="S333" s="57">
        <f t="shared" si="156"/>
        <v>0</v>
      </c>
      <c r="T333" s="57">
        <f t="shared" si="156"/>
        <v>0</v>
      </c>
      <c r="U333" s="57">
        <f t="shared" si="156"/>
        <v>0</v>
      </c>
      <c r="V333" s="57">
        <f t="shared" si="156"/>
        <v>0</v>
      </c>
      <c r="W333" s="57">
        <f t="shared" si="156"/>
        <v>0</v>
      </c>
      <c r="X333" s="41">
        <f t="shared" si="156"/>
        <v>0</v>
      </c>
      <c r="Y333" s="41">
        <f t="shared" si="156"/>
        <v>0</v>
      </c>
      <c r="Z333" s="41">
        <f t="shared" si="156"/>
        <v>0</v>
      </c>
      <c r="AA333" s="43">
        <f>SUM(G333:Z333)</f>
        <v>0</v>
      </c>
      <c r="AB333" s="37" t="str">
        <f>IF(ABS(F333-AA333)&lt;0.01,"ok","err")</f>
        <v>ok</v>
      </c>
    </row>
    <row r="334" spans="1:28">
      <c r="F334" s="58"/>
    </row>
    <row r="335" spans="1:28">
      <c r="A335" s="39" t="s">
        <v>1026</v>
      </c>
      <c r="D335" s="39" t="s">
        <v>552</v>
      </c>
      <c r="F335" s="57">
        <f>F290+F296+F299+F302+F310+F315+F318+F321+F324+F327+F330+F333</f>
        <v>121970362.90470001</v>
      </c>
      <c r="G335" s="57">
        <f t="shared" ref="G335:Z335" si="157">G290+G296+G299+G302+G310+G315+G318+G321+G324+G327+G330+G333</f>
        <v>57061244.857888818</v>
      </c>
      <c r="H335" s="57">
        <f t="shared" si="157"/>
        <v>16073908.150163444</v>
      </c>
      <c r="I335" s="57">
        <f t="shared" si="157"/>
        <v>1738469.1876829516</v>
      </c>
      <c r="J335" s="57">
        <f t="shared" si="157"/>
        <v>19861565.604748726</v>
      </c>
      <c r="K335" s="57">
        <f t="shared" si="157"/>
        <v>13434929.144042499</v>
      </c>
      <c r="L335" s="57">
        <f t="shared" si="157"/>
        <v>4948009.9062614674</v>
      </c>
      <c r="M335" s="57">
        <f t="shared" si="157"/>
        <v>0</v>
      </c>
      <c r="N335" s="57">
        <f t="shared" si="157"/>
        <v>0</v>
      </c>
      <c r="O335" s="57">
        <f>O290+O296+O299+O302+O310+O315+O318+O321+O324+O327+O330+O333</f>
        <v>0</v>
      </c>
      <c r="P335" s="57">
        <f t="shared" si="157"/>
        <v>3651488.3104545465</v>
      </c>
      <c r="Q335" s="57">
        <f t="shared" si="157"/>
        <v>1893564.8548977433</v>
      </c>
      <c r="R335" s="57">
        <f t="shared" si="157"/>
        <v>417843.82407441281</v>
      </c>
      <c r="S335" s="57">
        <f t="shared" si="157"/>
        <v>2846150.819896251</v>
      </c>
      <c r="T335" s="57">
        <f t="shared" si="157"/>
        <v>15237.906819812815</v>
      </c>
      <c r="U335" s="57">
        <f t="shared" si="157"/>
        <v>27950.337769323643</v>
      </c>
      <c r="V335" s="57">
        <f t="shared" si="157"/>
        <v>0</v>
      </c>
      <c r="W335" s="57">
        <f t="shared" si="157"/>
        <v>0</v>
      </c>
      <c r="X335" s="41">
        <f t="shared" si="157"/>
        <v>0</v>
      </c>
      <c r="Y335" s="41">
        <f t="shared" si="157"/>
        <v>0</v>
      </c>
      <c r="Z335" s="41">
        <f t="shared" si="157"/>
        <v>0</v>
      </c>
      <c r="AA335" s="43">
        <f>SUM(G335:Z335)</f>
        <v>121970362.9047</v>
      </c>
      <c r="AB335" s="37" t="str">
        <f>IF(ABS(F335-AA335)&lt;0.01,"ok","err")</f>
        <v>ok</v>
      </c>
    </row>
    <row r="336" spans="1:28">
      <c r="A336" s="191" t="s">
        <v>821</v>
      </c>
    </row>
    <row r="338" spans="1:28">
      <c r="A338" s="44" t="s">
        <v>384</v>
      </c>
    </row>
    <row r="339" spans="1:28">
      <c r="A339" s="45" t="s">
        <v>376</v>
      </c>
      <c r="C339" s="85" t="s">
        <v>827</v>
      </c>
      <c r="D339" s="39" t="s">
        <v>828</v>
      </c>
      <c r="E339" s="39" t="s">
        <v>939</v>
      </c>
      <c r="F339" s="57">
        <f>VLOOKUP(C339,'Functional Assignment'!$C$2:$AP$725,'Functional Assignment'!$H$2,)</f>
        <v>-1309698.724094663</v>
      </c>
      <c r="G339" s="57">
        <f t="shared" ref="G339:P344" si="158">IF(VLOOKUP($E339,$D$6:$AN$1197,3,)=0,0,(VLOOKUP($E339,$D$6:$AN$1197,G$2,)/VLOOKUP($E339,$D$6:$AN$1197,3,))*$F339)</f>
        <v>-478792.00398008164</v>
      </c>
      <c r="H339" s="57">
        <f t="shared" si="158"/>
        <v>-157920.7928491135</v>
      </c>
      <c r="I339" s="57">
        <f t="shared" si="158"/>
        <v>-25846.90038753425</v>
      </c>
      <c r="J339" s="57">
        <f t="shared" si="158"/>
        <v>-263319.10144321702</v>
      </c>
      <c r="K339" s="57">
        <f t="shared" si="158"/>
        <v>-211755.63538325162</v>
      </c>
      <c r="L339" s="57">
        <f t="shared" si="158"/>
        <v>-71594.603241415913</v>
      </c>
      <c r="M339" s="57">
        <f t="shared" si="158"/>
        <v>0</v>
      </c>
      <c r="N339" s="57">
        <f t="shared" si="158"/>
        <v>0</v>
      </c>
      <c r="O339" s="57">
        <f t="shared" si="158"/>
        <v>0</v>
      </c>
      <c r="P339" s="57">
        <f t="shared" si="158"/>
        <v>-57328.403410176063</v>
      </c>
      <c r="Q339" s="57">
        <f t="shared" ref="Q339:Z344" si="159">IF(VLOOKUP($E339,$D$6:$AN$1197,3,)=0,0,(VLOOKUP($E339,$D$6:$AN$1197,Q$2,)/VLOOKUP($E339,$D$6:$AN$1197,3,))*$F339)</f>
        <v>-24065.389611967777</v>
      </c>
      <c r="R339" s="57">
        <f t="shared" si="159"/>
        <v>-6467.3102987129023</v>
      </c>
      <c r="S339" s="57">
        <f t="shared" si="159"/>
        <v>-11830.552624699454</v>
      </c>
      <c r="T339" s="57">
        <f t="shared" si="159"/>
        <v>-427.63668533965347</v>
      </c>
      <c r="U339" s="57">
        <f t="shared" si="159"/>
        <v>-350.39417915309872</v>
      </c>
      <c r="V339" s="57">
        <f t="shared" si="159"/>
        <v>0</v>
      </c>
      <c r="W339" s="57">
        <f t="shared" si="159"/>
        <v>0</v>
      </c>
      <c r="X339" s="41">
        <f t="shared" si="159"/>
        <v>0</v>
      </c>
      <c r="Y339" s="41">
        <f t="shared" si="159"/>
        <v>0</v>
      </c>
      <c r="Z339" s="41">
        <f t="shared" si="159"/>
        <v>0</v>
      </c>
      <c r="AA339" s="43">
        <f t="shared" ref="AA339:AA345" si="160">SUM(G339:Z339)</f>
        <v>-1309698.724094663</v>
      </c>
      <c r="AB339" s="37" t="str">
        <f t="shared" ref="AB339:AB345" si="161">IF(ABS(F339-AA339)&lt;0.01,"ok","err")</f>
        <v>ok</v>
      </c>
    </row>
    <row r="340" spans="1:28">
      <c r="A340" s="45" t="s">
        <v>1391</v>
      </c>
      <c r="C340" s="85" t="s">
        <v>827</v>
      </c>
      <c r="D340" s="39" t="s">
        <v>829</v>
      </c>
      <c r="E340" s="39" t="s">
        <v>204</v>
      </c>
      <c r="F340" s="58">
        <f>VLOOKUP(C340,'Functional Assignment'!$C$2:$AP$725,'Functional Assignment'!$I$2,)</f>
        <v>-1234623.8446297545</v>
      </c>
      <c r="G340" s="58">
        <f t="shared" si="158"/>
        <v>-497845.29161886603</v>
      </c>
      <c r="H340" s="58">
        <f t="shared" si="158"/>
        <v>-196519.47928121005</v>
      </c>
      <c r="I340" s="58">
        <f t="shared" si="158"/>
        <v>-20012.838257001611</v>
      </c>
      <c r="J340" s="58">
        <f t="shared" si="158"/>
        <v>-230469.79339558005</v>
      </c>
      <c r="K340" s="58">
        <f t="shared" si="158"/>
        <v>-151617.57595023268</v>
      </c>
      <c r="L340" s="58">
        <f t="shared" si="158"/>
        <v>-57915.825212150521</v>
      </c>
      <c r="M340" s="58">
        <f t="shared" si="158"/>
        <v>0</v>
      </c>
      <c r="N340" s="58">
        <f t="shared" si="158"/>
        <v>0</v>
      </c>
      <c r="O340" s="58">
        <f t="shared" si="158"/>
        <v>0</v>
      </c>
      <c r="P340" s="58">
        <f t="shared" si="158"/>
        <v>-53666.697036549107</v>
      </c>
      <c r="Q340" s="58">
        <f t="shared" si="159"/>
        <v>-22032.055851804431</v>
      </c>
      <c r="R340" s="58">
        <f t="shared" si="159"/>
        <v>-4263.9213487951356</v>
      </c>
      <c r="S340" s="58">
        <f t="shared" si="159"/>
        <v>0</v>
      </c>
      <c r="T340" s="58">
        <f t="shared" si="159"/>
        <v>-8.6346753881643501</v>
      </c>
      <c r="U340" s="58">
        <f t="shared" si="159"/>
        <v>-271.73200217680039</v>
      </c>
      <c r="V340" s="58">
        <f t="shared" si="159"/>
        <v>0</v>
      </c>
      <c r="W340" s="58">
        <f t="shared" si="159"/>
        <v>0</v>
      </c>
      <c r="X340" s="42">
        <f t="shared" si="159"/>
        <v>0</v>
      </c>
      <c r="Y340" s="42">
        <f t="shared" si="159"/>
        <v>0</v>
      </c>
      <c r="Z340" s="42">
        <f t="shared" si="159"/>
        <v>0</v>
      </c>
      <c r="AA340" s="42">
        <f t="shared" si="160"/>
        <v>-1234623.8446297545</v>
      </c>
      <c r="AB340" s="37" t="str">
        <f t="shared" si="161"/>
        <v>ok</v>
      </c>
    </row>
    <row r="341" spans="1:28">
      <c r="A341" s="45" t="s">
        <v>1392</v>
      </c>
      <c r="C341" s="85" t="s">
        <v>827</v>
      </c>
      <c r="D341" s="39" t="s">
        <v>830</v>
      </c>
      <c r="E341" s="39" t="s">
        <v>207</v>
      </c>
      <c r="F341" s="58">
        <f>VLOOKUP(C341,'Functional Assignment'!$C$2:$AP$725,'Functional Assignment'!$J$2,)</f>
        <v>-1267967.2115356186</v>
      </c>
      <c r="G341" s="58">
        <f t="shared" si="158"/>
        <v>-619109.65619632462</v>
      </c>
      <c r="H341" s="58">
        <f t="shared" si="158"/>
        <v>-165730.11820630255</v>
      </c>
      <c r="I341" s="58">
        <f t="shared" si="158"/>
        <v>-18591.172573458894</v>
      </c>
      <c r="J341" s="58">
        <f t="shared" si="158"/>
        <v>-221724.26458290275</v>
      </c>
      <c r="K341" s="58">
        <f t="shared" si="158"/>
        <v>-130957.42919870574</v>
      </c>
      <c r="L341" s="58">
        <f t="shared" si="158"/>
        <v>-50006.458786324867</v>
      </c>
      <c r="M341" s="58">
        <f t="shared" si="158"/>
        <v>0</v>
      </c>
      <c r="N341" s="58">
        <f t="shared" si="158"/>
        <v>0</v>
      </c>
      <c r="O341" s="58">
        <f t="shared" si="158"/>
        <v>0</v>
      </c>
      <c r="P341" s="58">
        <f t="shared" si="158"/>
        <v>-33448.586828806678</v>
      </c>
      <c r="Q341" s="58">
        <f t="shared" si="159"/>
        <v>-23642.291232010182</v>
      </c>
      <c r="R341" s="58">
        <f t="shared" si="159"/>
        <v>-4568.7240020921308</v>
      </c>
      <c r="S341" s="58">
        <f t="shared" si="159"/>
        <v>0</v>
      </c>
      <c r="T341" s="58">
        <f t="shared" si="159"/>
        <v>-10.735814471704838</v>
      </c>
      <c r="U341" s="58">
        <f t="shared" si="159"/>
        <v>-177.77411421832787</v>
      </c>
      <c r="V341" s="58">
        <f t="shared" si="159"/>
        <v>0</v>
      </c>
      <c r="W341" s="58">
        <f t="shared" si="159"/>
        <v>0</v>
      </c>
      <c r="X341" s="42">
        <f t="shared" si="159"/>
        <v>0</v>
      </c>
      <c r="Y341" s="42">
        <f t="shared" si="159"/>
        <v>0</v>
      </c>
      <c r="Z341" s="42">
        <f t="shared" si="159"/>
        <v>0</v>
      </c>
      <c r="AA341" s="42">
        <f t="shared" si="160"/>
        <v>-1267967.2115356184</v>
      </c>
      <c r="AB341" s="37" t="str">
        <f t="shared" si="161"/>
        <v>ok</v>
      </c>
    </row>
    <row r="342" spans="1:28">
      <c r="A342" s="45" t="s">
        <v>1393</v>
      </c>
      <c r="C342" s="85" t="s">
        <v>827</v>
      </c>
      <c r="D342" s="39" t="s">
        <v>831</v>
      </c>
      <c r="E342" s="39" t="s">
        <v>1197</v>
      </c>
      <c r="F342" s="58">
        <f>VLOOKUP(C342,'Functional Assignment'!$C$2:$AP$725,'Functional Assignment'!$K$2,)</f>
        <v>0</v>
      </c>
      <c r="G342" s="58">
        <f t="shared" si="158"/>
        <v>0</v>
      </c>
      <c r="H342" s="58">
        <f t="shared" si="158"/>
        <v>0</v>
      </c>
      <c r="I342" s="58">
        <f t="shared" si="158"/>
        <v>0</v>
      </c>
      <c r="J342" s="58">
        <f t="shared" si="158"/>
        <v>0</v>
      </c>
      <c r="K342" s="58">
        <f t="shared" si="158"/>
        <v>0</v>
      </c>
      <c r="L342" s="58">
        <f t="shared" si="158"/>
        <v>0</v>
      </c>
      <c r="M342" s="58">
        <f t="shared" si="158"/>
        <v>0</v>
      </c>
      <c r="N342" s="58">
        <f t="shared" si="158"/>
        <v>0</v>
      </c>
      <c r="O342" s="58">
        <f t="shared" si="158"/>
        <v>0</v>
      </c>
      <c r="P342" s="58">
        <f t="shared" si="158"/>
        <v>0</v>
      </c>
      <c r="Q342" s="58">
        <f t="shared" si="159"/>
        <v>0</v>
      </c>
      <c r="R342" s="58">
        <f t="shared" si="159"/>
        <v>0</v>
      </c>
      <c r="S342" s="58">
        <f t="shared" si="159"/>
        <v>0</v>
      </c>
      <c r="T342" s="58">
        <f t="shared" si="159"/>
        <v>0</v>
      </c>
      <c r="U342" s="58">
        <f t="shared" si="159"/>
        <v>0</v>
      </c>
      <c r="V342" s="58">
        <f t="shared" si="159"/>
        <v>0</v>
      </c>
      <c r="W342" s="58">
        <f t="shared" si="159"/>
        <v>0</v>
      </c>
      <c r="X342" s="42">
        <f t="shared" si="159"/>
        <v>0</v>
      </c>
      <c r="Y342" s="42">
        <f t="shared" si="159"/>
        <v>0</v>
      </c>
      <c r="Z342" s="42">
        <f t="shared" si="159"/>
        <v>0</v>
      </c>
      <c r="AA342" s="42">
        <f t="shared" si="160"/>
        <v>0</v>
      </c>
      <c r="AB342" s="37" t="str">
        <f t="shared" si="161"/>
        <v>ok</v>
      </c>
    </row>
    <row r="343" spans="1:28">
      <c r="A343" s="45" t="s">
        <v>1394</v>
      </c>
      <c r="C343" s="85" t="s">
        <v>827</v>
      </c>
      <c r="D343" s="39" t="s">
        <v>832</v>
      </c>
      <c r="E343" s="39" t="s">
        <v>1197</v>
      </c>
      <c r="F343" s="58">
        <f>VLOOKUP(C343,'Functional Assignment'!$C$2:$AP$725,'Functional Assignment'!$L$2,)</f>
        <v>0</v>
      </c>
      <c r="G343" s="58">
        <f t="shared" si="158"/>
        <v>0</v>
      </c>
      <c r="H343" s="58">
        <f t="shared" si="158"/>
        <v>0</v>
      </c>
      <c r="I343" s="58">
        <f t="shared" si="158"/>
        <v>0</v>
      </c>
      <c r="J343" s="58">
        <f t="shared" si="158"/>
        <v>0</v>
      </c>
      <c r="K343" s="58">
        <f t="shared" si="158"/>
        <v>0</v>
      </c>
      <c r="L343" s="58">
        <f t="shared" si="158"/>
        <v>0</v>
      </c>
      <c r="M343" s="58">
        <f t="shared" si="158"/>
        <v>0</v>
      </c>
      <c r="N343" s="58">
        <f t="shared" si="158"/>
        <v>0</v>
      </c>
      <c r="O343" s="58">
        <f t="shared" si="158"/>
        <v>0</v>
      </c>
      <c r="P343" s="58">
        <f t="shared" si="158"/>
        <v>0</v>
      </c>
      <c r="Q343" s="58">
        <f t="shared" si="159"/>
        <v>0</v>
      </c>
      <c r="R343" s="58">
        <f t="shared" si="159"/>
        <v>0</v>
      </c>
      <c r="S343" s="58">
        <f t="shared" si="159"/>
        <v>0</v>
      </c>
      <c r="T343" s="58">
        <f t="shared" si="159"/>
        <v>0</v>
      </c>
      <c r="U343" s="58">
        <f t="shared" si="159"/>
        <v>0</v>
      </c>
      <c r="V343" s="58">
        <f t="shared" si="159"/>
        <v>0</v>
      </c>
      <c r="W343" s="58">
        <f t="shared" si="159"/>
        <v>0</v>
      </c>
      <c r="X343" s="42">
        <f t="shared" si="159"/>
        <v>0</v>
      </c>
      <c r="Y343" s="42">
        <f t="shared" si="159"/>
        <v>0</v>
      </c>
      <c r="Z343" s="42">
        <f t="shared" si="159"/>
        <v>0</v>
      </c>
      <c r="AA343" s="42">
        <f t="shared" si="160"/>
        <v>0</v>
      </c>
      <c r="AB343" s="37" t="str">
        <f t="shared" si="161"/>
        <v>ok</v>
      </c>
    </row>
    <row r="344" spans="1:28">
      <c r="A344" s="45" t="s">
        <v>1394</v>
      </c>
      <c r="C344" s="85" t="s">
        <v>827</v>
      </c>
      <c r="D344" s="39" t="s">
        <v>833</v>
      </c>
      <c r="E344" s="39" t="s">
        <v>1197</v>
      </c>
      <c r="F344" s="58">
        <f>VLOOKUP(C344,'Functional Assignment'!$C$2:$AP$725,'Functional Assignment'!$M$2,)</f>
        <v>0</v>
      </c>
      <c r="G344" s="58">
        <f t="shared" si="158"/>
        <v>0</v>
      </c>
      <c r="H344" s="58">
        <f t="shared" si="158"/>
        <v>0</v>
      </c>
      <c r="I344" s="58">
        <f t="shared" si="158"/>
        <v>0</v>
      </c>
      <c r="J344" s="58">
        <f t="shared" si="158"/>
        <v>0</v>
      </c>
      <c r="K344" s="58">
        <f t="shared" si="158"/>
        <v>0</v>
      </c>
      <c r="L344" s="58">
        <f t="shared" si="158"/>
        <v>0</v>
      </c>
      <c r="M344" s="58">
        <f t="shared" si="158"/>
        <v>0</v>
      </c>
      <c r="N344" s="58">
        <f t="shared" si="158"/>
        <v>0</v>
      </c>
      <c r="O344" s="58">
        <f t="shared" si="158"/>
        <v>0</v>
      </c>
      <c r="P344" s="58">
        <f t="shared" si="158"/>
        <v>0</v>
      </c>
      <c r="Q344" s="58">
        <f t="shared" si="159"/>
        <v>0</v>
      </c>
      <c r="R344" s="58">
        <f t="shared" si="159"/>
        <v>0</v>
      </c>
      <c r="S344" s="58">
        <f t="shared" si="159"/>
        <v>0</v>
      </c>
      <c r="T344" s="58">
        <f t="shared" si="159"/>
        <v>0</v>
      </c>
      <c r="U344" s="58">
        <f t="shared" si="159"/>
        <v>0</v>
      </c>
      <c r="V344" s="58">
        <f t="shared" si="159"/>
        <v>0</v>
      </c>
      <c r="W344" s="58">
        <f t="shared" si="159"/>
        <v>0</v>
      </c>
      <c r="X344" s="42">
        <f t="shared" si="159"/>
        <v>0</v>
      </c>
      <c r="Y344" s="42">
        <f t="shared" si="159"/>
        <v>0</v>
      </c>
      <c r="Z344" s="42">
        <f t="shared" si="159"/>
        <v>0</v>
      </c>
      <c r="AA344" s="42">
        <f t="shared" si="160"/>
        <v>0</v>
      </c>
      <c r="AB344" s="37" t="str">
        <f t="shared" si="161"/>
        <v>ok</v>
      </c>
    </row>
    <row r="345" spans="1:28">
      <c r="A345" s="39" t="s">
        <v>407</v>
      </c>
      <c r="D345" s="39" t="s">
        <v>834</v>
      </c>
      <c r="F345" s="57">
        <f t="shared" ref="F345:P345" si="162">SUM(F339:F344)</f>
        <v>-3812289.7802600362</v>
      </c>
      <c r="G345" s="57">
        <f t="shared" si="162"/>
        <v>-1595746.9517952723</v>
      </c>
      <c r="H345" s="57">
        <f t="shared" si="162"/>
        <v>-520170.39033662609</v>
      </c>
      <c r="I345" s="57">
        <f t="shared" si="162"/>
        <v>-64450.911217994755</v>
      </c>
      <c r="J345" s="57">
        <f t="shared" si="162"/>
        <v>-715513.15942169982</v>
      </c>
      <c r="K345" s="57">
        <f t="shared" si="162"/>
        <v>-494330.64053218998</v>
      </c>
      <c r="L345" s="57">
        <f t="shared" si="162"/>
        <v>-179516.88723989131</v>
      </c>
      <c r="M345" s="57">
        <f t="shared" si="162"/>
        <v>0</v>
      </c>
      <c r="N345" s="57">
        <f t="shared" si="162"/>
        <v>0</v>
      </c>
      <c r="O345" s="57">
        <f>SUM(O339:O344)</f>
        <v>0</v>
      </c>
      <c r="P345" s="57">
        <f t="shared" si="162"/>
        <v>-144443.68727553185</v>
      </c>
      <c r="Q345" s="57">
        <f t="shared" ref="Q345:Z345" si="163">SUM(Q339:Q344)</f>
        <v>-69739.736695782398</v>
      </c>
      <c r="R345" s="57">
        <f t="shared" si="163"/>
        <v>-15299.955649600168</v>
      </c>
      <c r="S345" s="57">
        <f t="shared" si="163"/>
        <v>-11830.552624699454</v>
      </c>
      <c r="T345" s="57">
        <f t="shared" si="163"/>
        <v>-447.00717519952264</v>
      </c>
      <c r="U345" s="57">
        <f t="shared" si="163"/>
        <v>-799.90029554822695</v>
      </c>
      <c r="V345" s="57">
        <f t="shared" si="163"/>
        <v>0</v>
      </c>
      <c r="W345" s="57">
        <f t="shared" si="163"/>
        <v>0</v>
      </c>
      <c r="X345" s="41">
        <f t="shared" si="163"/>
        <v>0</v>
      </c>
      <c r="Y345" s="41">
        <f t="shared" si="163"/>
        <v>0</v>
      </c>
      <c r="Z345" s="41">
        <f t="shared" si="163"/>
        <v>0</v>
      </c>
      <c r="AA345" s="43">
        <f t="shared" si="160"/>
        <v>-3812289.7802600358</v>
      </c>
      <c r="AB345" s="37" t="str">
        <f t="shared" si="161"/>
        <v>ok</v>
      </c>
    </row>
    <row r="346" spans="1:28">
      <c r="F346" s="58"/>
      <c r="G346" s="58"/>
    </row>
    <row r="347" spans="1:28">
      <c r="A347" s="44" t="s">
        <v>1237</v>
      </c>
      <c r="F347" s="58"/>
      <c r="G347" s="58"/>
    </row>
    <row r="348" spans="1:28">
      <c r="A348" s="45" t="s">
        <v>377</v>
      </c>
      <c r="C348" s="85" t="s">
        <v>827</v>
      </c>
      <c r="D348" s="39" t="s">
        <v>835</v>
      </c>
      <c r="E348" s="39" t="s">
        <v>939</v>
      </c>
      <c r="F348" s="57">
        <f>VLOOKUP(C348,'Functional Assignment'!$C$2:$AP$725,'Functional Assignment'!$N$2,)</f>
        <v>-2501.0010352740883</v>
      </c>
      <c r="G348" s="57">
        <f t="shared" ref="G348:P350" si="164">IF(VLOOKUP($E348,$D$6:$AN$1197,3,)=0,0,(VLOOKUP($E348,$D$6:$AN$1197,G$2,)/VLOOKUP($E348,$D$6:$AN$1197,3,))*$F348)</f>
        <v>-914.30133938848451</v>
      </c>
      <c r="H348" s="57">
        <f t="shared" si="164"/>
        <v>-301.56558843710883</v>
      </c>
      <c r="I348" s="57">
        <f t="shared" si="164"/>
        <v>-49.357247921680866</v>
      </c>
      <c r="J348" s="57">
        <f t="shared" si="164"/>
        <v>-502.83422683500191</v>
      </c>
      <c r="K348" s="57">
        <f t="shared" si="164"/>
        <v>-404.36861819860479</v>
      </c>
      <c r="L348" s="57">
        <f t="shared" si="164"/>
        <v>-136.71707357781372</v>
      </c>
      <c r="M348" s="57">
        <f t="shared" si="164"/>
        <v>0</v>
      </c>
      <c r="N348" s="57">
        <f t="shared" si="164"/>
        <v>0</v>
      </c>
      <c r="O348" s="57">
        <f t="shared" si="164"/>
        <v>0</v>
      </c>
      <c r="P348" s="57">
        <f t="shared" si="164"/>
        <v>-109.47433454863604</v>
      </c>
      <c r="Q348" s="57">
        <f t="shared" ref="Q348:Z350" si="165">IF(VLOOKUP($E348,$D$6:$AN$1197,3,)=0,0,(VLOOKUP($E348,$D$6:$AN$1197,Q$2,)/VLOOKUP($E348,$D$6:$AN$1197,3,))*$F348)</f>
        <v>-45.955274466202688</v>
      </c>
      <c r="R348" s="57">
        <f t="shared" si="165"/>
        <v>-12.349977483333531</v>
      </c>
      <c r="S348" s="57">
        <f t="shared" si="165"/>
        <v>-22.591626469431702</v>
      </c>
      <c r="T348" s="57">
        <f t="shared" si="165"/>
        <v>-0.81661512917405088</v>
      </c>
      <c r="U348" s="57">
        <f t="shared" si="165"/>
        <v>-0.6691128186153551</v>
      </c>
      <c r="V348" s="57">
        <f t="shared" si="165"/>
        <v>0</v>
      </c>
      <c r="W348" s="57">
        <f t="shared" si="165"/>
        <v>0</v>
      </c>
      <c r="X348" s="41">
        <f t="shared" si="165"/>
        <v>0</v>
      </c>
      <c r="Y348" s="41">
        <f t="shared" si="165"/>
        <v>0</v>
      </c>
      <c r="Z348" s="41">
        <f t="shared" si="165"/>
        <v>0</v>
      </c>
      <c r="AA348" s="43">
        <f>SUM(G348:Z348)</f>
        <v>-2501.0010352740878</v>
      </c>
      <c r="AB348" s="37" t="str">
        <f>IF(ABS(F348-AA348)&lt;0.01,"ok","err")</f>
        <v>ok</v>
      </c>
    </row>
    <row r="349" spans="1:28">
      <c r="A349" s="45" t="s">
        <v>379</v>
      </c>
      <c r="C349" s="85" t="s">
        <v>827</v>
      </c>
      <c r="D349" s="39" t="s">
        <v>836</v>
      </c>
      <c r="E349" s="39" t="s">
        <v>204</v>
      </c>
      <c r="F349" s="58">
        <f>VLOOKUP(C349,'Functional Assignment'!$C$2:$AP$725,'Functional Assignment'!$O$2,)</f>
        <v>-2357.6380252852027</v>
      </c>
      <c r="G349" s="58">
        <f t="shared" si="164"/>
        <v>-950.68550258060679</v>
      </c>
      <c r="H349" s="58">
        <f t="shared" si="164"/>
        <v>-375.27365041420512</v>
      </c>
      <c r="I349" s="58">
        <f t="shared" si="164"/>
        <v>-38.216521310374439</v>
      </c>
      <c r="J349" s="58">
        <f t="shared" si="164"/>
        <v>-440.10517936496757</v>
      </c>
      <c r="K349" s="58">
        <f t="shared" si="164"/>
        <v>-289.52896375416486</v>
      </c>
      <c r="L349" s="58">
        <f t="shared" si="164"/>
        <v>-110.59607537944905</v>
      </c>
      <c r="M349" s="58">
        <f t="shared" si="164"/>
        <v>0</v>
      </c>
      <c r="N349" s="58">
        <f t="shared" si="164"/>
        <v>0</v>
      </c>
      <c r="O349" s="58">
        <f t="shared" si="164"/>
        <v>0</v>
      </c>
      <c r="P349" s="58">
        <f t="shared" si="164"/>
        <v>-102.48193907414154</v>
      </c>
      <c r="Q349" s="58">
        <f t="shared" si="165"/>
        <v>-42.072419771706755</v>
      </c>
      <c r="R349" s="58">
        <f t="shared" si="165"/>
        <v>-8.142385352811214</v>
      </c>
      <c r="S349" s="58">
        <f t="shared" si="165"/>
        <v>0</v>
      </c>
      <c r="T349" s="58">
        <f t="shared" si="165"/>
        <v>-1.6488778440234511E-2</v>
      </c>
      <c r="U349" s="58">
        <f t="shared" si="165"/>
        <v>-0.51889950433528698</v>
      </c>
      <c r="V349" s="58">
        <f t="shared" si="165"/>
        <v>0</v>
      </c>
      <c r="W349" s="58">
        <f t="shared" si="165"/>
        <v>0</v>
      </c>
      <c r="X349" s="42">
        <f t="shared" si="165"/>
        <v>0</v>
      </c>
      <c r="Y349" s="42">
        <f t="shared" si="165"/>
        <v>0</v>
      </c>
      <c r="Z349" s="42">
        <f t="shared" si="165"/>
        <v>0</v>
      </c>
      <c r="AA349" s="42">
        <f>SUM(G349:Z349)</f>
        <v>-2357.6380252852032</v>
      </c>
      <c r="AB349" s="37" t="str">
        <f>IF(ABS(F349-AA349)&lt;0.01,"ok","err")</f>
        <v>ok</v>
      </c>
    </row>
    <row r="350" spans="1:28">
      <c r="A350" s="45" t="s">
        <v>378</v>
      </c>
      <c r="C350" s="85" t="s">
        <v>827</v>
      </c>
      <c r="D350" s="39" t="s">
        <v>837</v>
      </c>
      <c r="E350" s="39" t="s">
        <v>207</v>
      </c>
      <c r="F350" s="58">
        <f>VLOOKUP(C350,'Functional Assignment'!$C$2:$AP$725,'Functional Assignment'!$P$2,)</f>
        <v>-2421.3105276835959</v>
      </c>
      <c r="G350" s="58">
        <f t="shared" si="164"/>
        <v>-1182.2519657454268</v>
      </c>
      <c r="H350" s="58">
        <f t="shared" si="164"/>
        <v>-316.4782782365304</v>
      </c>
      <c r="I350" s="58">
        <f t="shared" si="164"/>
        <v>-35.501708139267627</v>
      </c>
      <c r="J350" s="58">
        <f t="shared" si="164"/>
        <v>-423.40471519551147</v>
      </c>
      <c r="K350" s="58">
        <f t="shared" si="164"/>
        <v>-250.0763419687986</v>
      </c>
      <c r="L350" s="58">
        <f t="shared" si="164"/>
        <v>-95.492347128491147</v>
      </c>
      <c r="M350" s="58">
        <f t="shared" si="164"/>
        <v>0</v>
      </c>
      <c r="N350" s="58">
        <f t="shared" si="164"/>
        <v>0</v>
      </c>
      <c r="O350" s="58">
        <f t="shared" si="164"/>
        <v>0</v>
      </c>
      <c r="P350" s="58">
        <f t="shared" si="164"/>
        <v>-63.873430391502978</v>
      </c>
      <c r="Q350" s="58">
        <f t="shared" si="165"/>
        <v>-45.14732568620505</v>
      </c>
      <c r="R350" s="58">
        <f t="shared" si="165"/>
        <v>-8.724436581407339</v>
      </c>
      <c r="S350" s="58">
        <f t="shared" si="165"/>
        <v>0</v>
      </c>
      <c r="T350" s="58">
        <f t="shared" si="165"/>
        <v>-2.0501114198461755E-2</v>
      </c>
      <c r="U350" s="58">
        <f t="shared" si="165"/>
        <v>-0.3394774962557236</v>
      </c>
      <c r="V350" s="58">
        <f t="shared" si="165"/>
        <v>0</v>
      </c>
      <c r="W350" s="58">
        <f t="shared" si="165"/>
        <v>0</v>
      </c>
      <c r="X350" s="42">
        <f t="shared" si="165"/>
        <v>0</v>
      </c>
      <c r="Y350" s="42">
        <f t="shared" si="165"/>
        <v>0</v>
      </c>
      <c r="Z350" s="42">
        <f t="shared" si="165"/>
        <v>0</v>
      </c>
      <c r="AA350" s="42">
        <f>SUM(G350:Z350)</f>
        <v>-2421.3105276835954</v>
      </c>
      <c r="AB350" s="37" t="str">
        <f>IF(ABS(F350-AA350)&lt;0.01,"ok","err")</f>
        <v>ok</v>
      </c>
    </row>
    <row r="351" spans="1:28">
      <c r="A351" s="39" t="s">
        <v>1239</v>
      </c>
      <c r="D351" s="39" t="s">
        <v>838</v>
      </c>
      <c r="F351" s="57">
        <f t="shared" ref="F351:P351" si="166">SUM(F348:F350)</f>
        <v>-7279.9495882428873</v>
      </c>
      <c r="G351" s="57">
        <f t="shared" si="166"/>
        <v>-3047.2388077145179</v>
      </c>
      <c r="H351" s="57">
        <f t="shared" si="166"/>
        <v>-993.31751708784429</v>
      </c>
      <c r="I351" s="57">
        <f t="shared" si="166"/>
        <v>-123.07547737132293</v>
      </c>
      <c r="J351" s="57">
        <f t="shared" si="166"/>
        <v>-1366.3441213954809</v>
      </c>
      <c r="K351" s="57">
        <f t="shared" si="166"/>
        <v>-943.97392392156826</v>
      </c>
      <c r="L351" s="57">
        <f t="shared" si="166"/>
        <v>-342.80549608575393</v>
      </c>
      <c r="M351" s="57">
        <f t="shared" si="166"/>
        <v>0</v>
      </c>
      <c r="N351" s="57">
        <f t="shared" si="166"/>
        <v>0</v>
      </c>
      <c r="O351" s="57">
        <f>SUM(O348:O350)</f>
        <v>0</v>
      </c>
      <c r="P351" s="57">
        <f t="shared" si="166"/>
        <v>-275.82970401428054</v>
      </c>
      <c r="Q351" s="57">
        <f t="shared" ref="Q351:Z351" si="167">SUM(Q348:Q350)</f>
        <v>-133.17501992411451</v>
      </c>
      <c r="R351" s="57">
        <f t="shared" si="167"/>
        <v>-29.216799417552082</v>
      </c>
      <c r="S351" s="57">
        <f t="shared" si="167"/>
        <v>-22.591626469431702</v>
      </c>
      <c r="T351" s="57">
        <f t="shared" si="167"/>
        <v>-0.85360502181274722</v>
      </c>
      <c r="U351" s="57">
        <f t="shared" si="167"/>
        <v>-1.5274898192063657</v>
      </c>
      <c r="V351" s="57">
        <f t="shared" si="167"/>
        <v>0</v>
      </c>
      <c r="W351" s="57">
        <f t="shared" si="167"/>
        <v>0</v>
      </c>
      <c r="X351" s="41">
        <f t="shared" si="167"/>
        <v>0</v>
      </c>
      <c r="Y351" s="41">
        <f t="shared" si="167"/>
        <v>0</v>
      </c>
      <c r="Z351" s="41">
        <f t="shared" si="167"/>
        <v>0</v>
      </c>
      <c r="AA351" s="43">
        <f>SUM(G351:Z351)</f>
        <v>-7279.9495882428855</v>
      </c>
      <c r="AB351" s="37" t="str">
        <f>IF(ABS(F351-AA351)&lt;0.01,"ok","err")</f>
        <v>ok</v>
      </c>
    </row>
    <row r="352" spans="1:28">
      <c r="F352" s="58"/>
      <c r="G352" s="58"/>
    </row>
    <row r="353" spans="1:28">
      <c r="A353" s="44" t="s">
        <v>365</v>
      </c>
      <c r="F353" s="58"/>
      <c r="G353" s="58"/>
    </row>
    <row r="354" spans="1:28">
      <c r="A354" s="45" t="s">
        <v>392</v>
      </c>
      <c r="C354" s="85" t="s">
        <v>827</v>
      </c>
      <c r="D354" s="39" t="s">
        <v>839</v>
      </c>
      <c r="E354" s="39" t="s">
        <v>1472</v>
      </c>
      <c r="F354" s="57">
        <f>VLOOKUP(C354,'Functional Assignment'!$C$2:$AP$725,'Functional Assignment'!$Q$2,)</f>
        <v>0</v>
      </c>
      <c r="G354" s="57">
        <f t="shared" ref="G354:Z354" si="168">IF(VLOOKUP($E354,$D$6:$AN$1197,3,)=0,0,(VLOOKUP($E354,$D$6:$AN$1197,G$2,)/VLOOKUP($E354,$D$6:$AN$1197,3,))*$F354)</f>
        <v>0</v>
      </c>
      <c r="H354" s="57">
        <f t="shared" si="168"/>
        <v>0</v>
      </c>
      <c r="I354" s="57">
        <f t="shared" si="168"/>
        <v>0</v>
      </c>
      <c r="J354" s="57">
        <f t="shared" si="168"/>
        <v>0</v>
      </c>
      <c r="K354" s="57">
        <f t="shared" si="168"/>
        <v>0</v>
      </c>
      <c r="L354" s="57">
        <f t="shared" si="168"/>
        <v>0</v>
      </c>
      <c r="M354" s="57">
        <f t="shared" si="168"/>
        <v>0</v>
      </c>
      <c r="N354" s="57">
        <f t="shared" si="168"/>
        <v>0</v>
      </c>
      <c r="O354" s="57">
        <f t="shared" si="168"/>
        <v>0</v>
      </c>
      <c r="P354" s="57">
        <f t="shared" si="168"/>
        <v>0</v>
      </c>
      <c r="Q354" s="57">
        <f t="shared" si="168"/>
        <v>0</v>
      </c>
      <c r="R354" s="57">
        <f t="shared" si="168"/>
        <v>0</v>
      </c>
      <c r="S354" s="57">
        <f t="shared" si="168"/>
        <v>0</v>
      </c>
      <c r="T354" s="57">
        <f t="shared" si="168"/>
        <v>0</v>
      </c>
      <c r="U354" s="57">
        <f t="shared" si="168"/>
        <v>0</v>
      </c>
      <c r="V354" s="57">
        <f t="shared" si="168"/>
        <v>0</v>
      </c>
      <c r="W354" s="57">
        <f t="shared" si="168"/>
        <v>0</v>
      </c>
      <c r="X354" s="41">
        <f t="shared" si="168"/>
        <v>0</v>
      </c>
      <c r="Y354" s="41">
        <f t="shared" si="168"/>
        <v>0</v>
      </c>
      <c r="Z354" s="41">
        <f t="shared" si="168"/>
        <v>0</v>
      </c>
      <c r="AA354" s="43">
        <f>SUM(G354:Z354)</f>
        <v>0</v>
      </c>
      <c r="AB354" s="37" t="str">
        <f>IF(ABS(F354-AA354)&lt;0.01,"ok","err")</f>
        <v>ok</v>
      </c>
    </row>
    <row r="355" spans="1:28">
      <c r="F355" s="58"/>
    </row>
    <row r="356" spans="1:28">
      <c r="A356" s="44" t="s">
        <v>366</v>
      </c>
      <c r="F356" s="58"/>
      <c r="G356" s="58"/>
    </row>
    <row r="357" spans="1:28">
      <c r="A357" s="45" t="s">
        <v>394</v>
      </c>
      <c r="C357" s="85" t="s">
        <v>827</v>
      </c>
      <c r="D357" s="39" t="s">
        <v>840</v>
      </c>
      <c r="E357" s="39" t="s">
        <v>1471</v>
      </c>
      <c r="F357" s="57">
        <f>VLOOKUP(C357,'Functional Assignment'!$C$2:$AP$725,'Functional Assignment'!$R$2,)</f>
        <v>-4243.1721480632996</v>
      </c>
      <c r="G357" s="57">
        <f t="shared" ref="G357:Z357" si="169">IF(VLOOKUP($E357,$D$6:$AN$1197,3,)=0,0,(VLOOKUP($E357,$D$6:$AN$1197,G$2,)/VLOOKUP($E357,$D$6:$AN$1197,3,))*$F357)</f>
        <v>-2035.6797791545362</v>
      </c>
      <c r="H357" s="57">
        <f t="shared" si="169"/>
        <v>-577.52531255978181</v>
      </c>
      <c r="I357" s="57">
        <f t="shared" si="169"/>
        <v>-60.186926978458914</v>
      </c>
      <c r="J357" s="57">
        <f t="shared" si="169"/>
        <v>-704.13207362661387</v>
      </c>
      <c r="K357" s="57">
        <f t="shared" si="169"/>
        <v>-563.472538672827</v>
      </c>
      <c r="L357" s="57">
        <f t="shared" si="169"/>
        <v>-168.82268881847688</v>
      </c>
      <c r="M357" s="57">
        <f t="shared" si="169"/>
        <v>0</v>
      </c>
      <c r="N357" s="57">
        <f t="shared" si="169"/>
        <v>0</v>
      </c>
      <c r="O357" s="57">
        <f t="shared" si="169"/>
        <v>0</v>
      </c>
      <c r="P357" s="57">
        <f t="shared" si="169"/>
        <v>0</v>
      </c>
      <c r="Q357" s="57">
        <f t="shared" si="169"/>
        <v>-78.929245699031782</v>
      </c>
      <c r="R357" s="57">
        <f t="shared" si="169"/>
        <v>-17.821012527710046</v>
      </c>
      <c r="S357" s="57">
        <f t="shared" si="169"/>
        <v>-34.833731894363147</v>
      </c>
      <c r="T357" s="57">
        <f t="shared" si="169"/>
        <v>-1.2536527412756318</v>
      </c>
      <c r="U357" s="57">
        <f t="shared" si="169"/>
        <v>-0.51518539022420473</v>
      </c>
      <c r="V357" s="57">
        <f t="shared" si="169"/>
        <v>0</v>
      </c>
      <c r="W357" s="57">
        <f t="shared" si="169"/>
        <v>0</v>
      </c>
      <c r="X357" s="41">
        <f t="shared" si="169"/>
        <v>0</v>
      </c>
      <c r="Y357" s="41">
        <f t="shared" si="169"/>
        <v>0</v>
      </c>
      <c r="Z357" s="41">
        <f t="shared" si="169"/>
        <v>0</v>
      </c>
      <c r="AA357" s="43">
        <f>SUM(G357:Z357)</f>
        <v>-4243.1721480632996</v>
      </c>
      <c r="AB357" s="37" t="str">
        <f>IF(ABS(F357-AA357)&lt;0.01,"ok","err")</f>
        <v>ok</v>
      </c>
    </row>
    <row r="358" spans="1:28">
      <c r="F358" s="58"/>
    </row>
    <row r="359" spans="1:28">
      <c r="A359" s="44" t="s">
        <v>393</v>
      </c>
      <c r="F359" s="58"/>
    </row>
    <row r="360" spans="1:28">
      <c r="A360" s="45" t="s">
        <v>644</v>
      </c>
      <c r="C360" s="85" t="s">
        <v>827</v>
      </c>
      <c r="D360" s="39" t="s">
        <v>841</v>
      </c>
      <c r="E360" s="39" t="s">
        <v>1472</v>
      </c>
      <c r="F360" s="57">
        <f>VLOOKUP(C360,'Functional Assignment'!$C$2:$AP$725,'Functional Assignment'!$S$2,)</f>
        <v>0</v>
      </c>
      <c r="G360" s="57">
        <f t="shared" ref="G360:P364" si="170">IF(VLOOKUP($E360,$D$6:$AN$1197,3,)=0,0,(VLOOKUP($E360,$D$6:$AN$1197,G$2,)/VLOOKUP($E360,$D$6:$AN$1197,3,))*$F360)</f>
        <v>0</v>
      </c>
      <c r="H360" s="57">
        <f t="shared" si="170"/>
        <v>0</v>
      </c>
      <c r="I360" s="57">
        <f t="shared" si="170"/>
        <v>0</v>
      </c>
      <c r="J360" s="57">
        <f t="shared" si="170"/>
        <v>0</v>
      </c>
      <c r="K360" s="57">
        <f t="shared" si="170"/>
        <v>0</v>
      </c>
      <c r="L360" s="57">
        <f t="shared" si="170"/>
        <v>0</v>
      </c>
      <c r="M360" s="57">
        <f t="shared" si="170"/>
        <v>0</v>
      </c>
      <c r="N360" s="57">
        <f t="shared" si="170"/>
        <v>0</v>
      </c>
      <c r="O360" s="57">
        <f t="shared" si="170"/>
        <v>0</v>
      </c>
      <c r="P360" s="57">
        <f t="shared" si="170"/>
        <v>0</v>
      </c>
      <c r="Q360" s="57">
        <f t="shared" ref="Q360:Z364" si="171">IF(VLOOKUP($E360,$D$6:$AN$1197,3,)=0,0,(VLOOKUP($E360,$D$6:$AN$1197,Q$2,)/VLOOKUP($E360,$D$6:$AN$1197,3,))*$F360)</f>
        <v>0</v>
      </c>
      <c r="R360" s="57">
        <f t="shared" si="171"/>
        <v>0</v>
      </c>
      <c r="S360" s="57">
        <f t="shared" si="171"/>
        <v>0</v>
      </c>
      <c r="T360" s="57">
        <f t="shared" si="171"/>
        <v>0</v>
      </c>
      <c r="U360" s="57">
        <f t="shared" si="171"/>
        <v>0</v>
      </c>
      <c r="V360" s="57">
        <f t="shared" si="171"/>
        <v>0</v>
      </c>
      <c r="W360" s="57">
        <f t="shared" si="171"/>
        <v>0</v>
      </c>
      <c r="X360" s="41">
        <f t="shared" si="171"/>
        <v>0</v>
      </c>
      <c r="Y360" s="41">
        <f t="shared" si="171"/>
        <v>0</v>
      </c>
      <c r="Z360" s="41">
        <f t="shared" si="171"/>
        <v>0</v>
      </c>
      <c r="AA360" s="43">
        <f t="shared" ref="AA360:AA365" si="172">SUM(G360:Z360)</f>
        <v>0</v>
      </c>
      <c r="AB360" s="37" t="str">
        <f t="shared" ref="AB360:AB365" si="173">IF(ABS(F360-AA360)&lt;0.01,"ok","err")</f>
        <v>ok</v>
      </c>
    </row>
    <row r="361" spans="1:28">
      <c r="A361" s="45" t="s">
        <v>645</v>
      </c>
      <c r="C361" s="85" t="s">
        <v>827</v>
      </c>
      <c r="D361" s="39" t="s">
        <v>842</v>
      </c>
      <c r="E361" s="39" t="s">
        <v>1472</v>
      </c>
      <c r="F361" s="58">
        <f>VLOOKUP(C361,'Functional Assignment'!$C$2:$AP$725,'Functional Assignment'!$T$2,)</f>
        <v>-6533.6163869783395</v>
      </c>
      <c r="G361" s="58">
        <f t="shared" si="170"/>
        <v>-3134.5300873063024</v>
      </c>
      <c r="H361" s="58">
        <f t="shared" si="170"/>
        <v>-889.27074235195221</v>
      </c>
      <c r="I361" s="58">
        <f t="shared" si="170"/>
        <v>-92.675545244567232</v>
      </c>
      <c r="J361" s="58">
        <f t="shared" si="170"/>
        <v>-1084.2192337031838</v>
      </c>
      <c r="K361" s="58">
        <f t="shared" si="170"/>
        <v>-867.63234764477147</v>
      </c>
      <c r="L361" s="58">
        <f t="shared" si="170"/>
        <v>-259.9523770586577</v>
      </c>
      <c r="M361" s="58">
        <f t="shared" si="170"/>
        <v>0</v>
      </c>
      <c r="N361" s="58">
        <f t="shared" si="170"/>
        <v>0</v>
      </c>
      <c r="O361" s="58">
        <f t="shared" si="170"/>
        <v>0</v>
      </c>
      <c r="P361" s="58">
        <f t="shared" si="170"/>
        <v>0</v>
      </c>
      <c r="Q361" s="58">
        <f t="shared" si="171"/>
        <v>-121.53487888687484</v>
      </c>
      <c r="R361" s="58">
        <f t="shared" si="171"/>
        <v>-27.440710727877747</v>
      </c>
      <c r="S361" s="58">
        <f t="shared" si="171"/>
        <v>-53.636815472711746</v>
      </c>
      <c r="T361" s="58">
        <f t="shared" si="171"/>
        <v>-1.9303685563917856</v>
      </c>
      <c r="U361" s="58">
        <f t="shared" si="171"/>
        <v>-0.79328002504848638</v>
      </c>
      <c r="V361" s="58">
        <f t="shared" si="171"/>
        <v>0</v>
      </c>
      <c r="W361" s="58">
        <f t="shared" si="171"/>
        <v>0</v>
      </c>
      <c r="X361" s="42">
        <f t="shared" si="171"/>
        <v>0</v>
      </c>
      <c r="Y361" s="42">
        <f t="shared" si="171"/>
        <v>0</v>
      </c>
      <c r="Z361" s="42">
        <f t="shared" si="171"/>
        <v>0</v>
      </c>
      <c r="AA361" s="42">
        <f t="shared" si="172"/>
        <v>-6533.6163869783386</v>
      </c>
      <c r="AB361" s="37" t="str">
        <f t="shared" si="173"/>
        <v>ok</v>
      </c>
    </row>
    <row r="362" spans="1:28">
      <c r="A362" s="45" t="s">
        <v>646</v>
      </c>
      <c r="C362" s="85" t="s">
        <v>827</v>
      </c>
      <c r="D362" s="39" t="s">
        <v>843</v>
      </c>
      <c r="E362" s="39" t="s">
        <v>733</v>
      </c>
      <c r="F362" s="58">
        <f>VLOOKUP(C362,'Functional Assignment'!$C$2:$AP$725,'Functional Assignment'!$U$2,)</f>
        <v>-10696.099410157607</v>
      </c>
      <c r="G362" s="58">
        <f t="shared" si="170"/>
        <v>-9207.9621969444052</v>
      </c>
      <c r="H362" s="58">
        <f t="shared" si="170"/>
        <v>-1145.987767190715</v>
      </c>
      <c r="I362" s="58">
        <f t="shared" si="170"/>
        <v>-2.2505651358812155</v>
      </c>
      <c r="J362" s="58">
        <f t="shared" si="170"/>
        <v>-77.04875935781574</v>
      </c>
      <c r="K362" s="58">
        <f t="shared" si="170"/>
        <v>-2.4359057941302571</v>
      </c>
      <c r="L362" s="58">
        <f t="shared" si="170"/>
        <v>-4.2893123766206696</v>
      </c>
      <c r="M362" s="58">
        <f t="shared" si="170"/>
        <v>0</v>
      </c>
      <c r="N362" s="58">
        <f t="shared" si="170"/>
        <v>0</v>
      </c>
      <c r="O362" s="58">
        <f t="shared" si="170"/>
        <v>0</v>
      </c>
      <c r="P362" s="58">
        <f t="shared" si="170"/>
        <v>0</v>
      </c>
      <c r="Q362" s="58">
        <f t="shared" si="171"/>
        <v>-2.6477236892720184E-2</v>
      </c>
      <c r="R362" s="58">
        <f t="shared" si="171"/>
        <v>-5.2954473785440367E-2</v>
      </c>
      <c r="S362" s="58">
        <f t="shared" si="171"/>
        <v>-252.89997590450614</v>
      </c>
      <c r="T362" s="58">
        <f t="shared" si="171"/>
        <v>-0.45011302717624313</v>
      </c>
      <c r="U362" s="58">
        <f t="shared" si="171"/>
        <v>-2.6953827156789147</v>
      </c>
      <c r="V362" s="58">
        <f t="shared" si="171"/>
        <v>0</v>
      </c>
      <c r="W362" s="58">
        <f t="shared" si="171"/>
        <v>0</v>
      </c>
      <c r="X362" s="42">
        <f t="shared" si="171"/>
        <v>0</v>
      </c>
      <c r="Y362" s="42">
        <f t="shared" si="171"/>
        <v>0</v>
      </c>
      <c r="Z362" s="42">
        <f t="shared" si="171"/>
        <v>0</v>
      </c>
      <c r="AA362" s="42">
        <f t="shared" si="172"/>
        <v>-10696.099410157607</v>
      </c>
      <c r="AB362" s="37" t="str">
        <f t="shared" si="173"/>
        <v>ok</v>
      </c>
    </row>
    <row r="363" spans="1:28">
      <c r="A363" s="45" t="s">
        <v>647</v>
      </c>
      <c r="C363" s="85" t="s">
        <v>827</v>
      </c>
      <c r="D363" s="39" t="s">
        <v>844</v>
      </c>
      <c r="E363" s="39" t="s">
        <v>711</v>
      </c>
      <c r="F363" s="58">
        <f>VLOOKUP(C363,'Functional Assignment'!$C$2:$AP$725,'Functional Assignment'!$V$2,)</f>
        <v>-2177.8721289927794</v>
      </c>
      <c r="G363" s="58">
        <f t="shared" si="170"/>
        <v>-1507.306328913249</v>
      </c>
      <c r="H363" s="58">
        <f t="shared" si="170"/>
        <v>-290.54143868296075</v>
      </c>
      <c r="I363" s="58">
        <f t="shared" si="170"/>
        <v>0</v>
      </c>
      <c r="J363" s="58">
        <f t="shared" si="170"/>
        <v>-289.65589475950571</v>
      </c>
      <c r="K363" s="58">
        <f t="shared" si="170"/>
        <v>0</v>
      </c>
      <c r="L363" s="58">
        <f t="shared" si="170"/>
        <v>-77.724150964596646</v>
      </c>
      <c r="M363" s="58">
        <f t="shared" si="170"/>
        <v>0</v>
      </c>
      <c r="N363" s="58">
        <f t="shared" si="170"/>
        <v>0</v>
      </c>
      <c r="O363" s="58">
        <f t="shared" si="170"/>
        <v>0</v>
      </c>
      <c r="P363" s="58">
        <f t="shared" si="170"/>
        <v>0</v>
      </c>
      <c r="Q363" s="58">
        <f t="shared" si="171"/>
        <v>0</v>
      </c>
      <c r="R363" s="58">
        <f t="shared" si="171"/>
        <v>0</v>
      </c>
      <c r="S363" s="58">
        <f t="shared" si="171"/>
        <v>-12.019987109258857</v>
      </c>
      <c r="T363" s="58">
        <f t="shared" si="171"/>
        <v>-0.44655485328433869</v>
      </c>
      <c r="U363" s="58">
        <f t="shared" si="171"/>
        <v>-0.17777370992441718</v>
      </c>
      <c r="V363" s="58">
        <f t="shared" si="171"/>
        <v>0</v>
      </c>
      <c r="W363" s="58">
        <f t="shared" si="171"/>
        <v>0</v>
      </c>
      <c r="X363" s="42">
        <f t="shared" si="171"/>
        <v>0</v>
      </c>
      <c r="Y363" s="42">
        <f t="shared" si="171"/>
        <v>0</v>
      </c>
      <c r="Z363" s="42">
        <f t="shared" si="171"/>
        <v>0</v>
      </c>
      <c r="AA363" s="42">
        <f t="shared" si="172"/>
        <v>-2177.8721289927794</v>
      </c>
      <c r="AB363" s="37" t="str">
        <f t="shared" si="173"/>
        <v>ok</v>
      </c>
    </row>
    <row r="364" spans="1:28">
      <c r="A364" s="45" t="s">
        <v>648</v>
      </c>
      <c r="C364" s="85" t="s">
        <v>827</v>
      </c>
      <c r="D364" s="39" t="s">
        <v>845</v>
      </c>
      <c r="E364" s="39" t="s">
        <v>732</v>
      </c>
      <c r="F364" s="58">
        <f>VLOOKUP(C364,'Functional Assignment'!$C$2:$AP$725,'Functional Assignment'!$W$2,)</f>
        <v>-3565.3664700525355</v>
      </c>
      <c r="G364" s="58">
        <f t="shared" si="170"/>
        <v>-3070.6889511411041</v>
      </c>
      <c r="H364" s="58">
        <f t="shared" si="170"/>
        <v>-382.16620568046397</v>
      </c>
      <c r="I364" s="58">
        <f t="shared" si="170"/>
        <v>0</v>
      </c>
      <c r="J364" s="58">
        <f t="shared" si="170"/>
        <v>-25.694368525718549</v>
      </c>
      <c r="K364" s="58">
        <f t="shared" si="170"/>
        <v>0</v>
      </c>
      <c r="L364" s="58">
        <f t="shared" si="170"/>
        <v>-1.4304081447307231</v>
      </c>
      <c r="M364" s="58">
        <f t="shared" si="170"/>
        <v>0</v>
      </c>
      <c r="N364" s="58">
        <f t="shared" si="170"/>
        <v>0</v>
      </c>
      <c r="O364" s="58">
        <f t="shared" si="170"/>
        <v>0</v>
      </c>
      <c r="P364" s="58">
        <f t="shared" si="170"/>
        <v>0</v>
      </c>
      <c r="Q364" s="58">
        <f t="shared" si="171"/>
        <v>0</v>
      </c>
      <c r="R364" s="58">
        <f t="shared" si="171"/>
        <v>0</v>
      </c>
      <c r="S364" s="58">
        <f t="shared" si="171"/>
        <v>-84.337570587715902</v>
      </c>
      <c r="T364" s="58">
        <f t="shared" si="171"/>
        <v>-0.15010455839766851</v>
      </c>
      <c r="U364" s="58">
        <f t="shared" si="171"/>
        <v>-0.89886141440486189</v>
      </c>
      <c r="V364" s="58">
        <f t="shared" si="171"/>
        <v>0</v>
      </c>
      <c r="W364" s="58">
        <f t="shared" si="171"/>
        <v>0</v>
      </c>
      <c r="X364" s="42">
        <f t="shared" si="171"/>
        <v>0</v>
      </c>
      <c r="Y364" s="42">
        <f t="shared" si="171"/>
        <v>0</v>
      </c>
      <c r="Z364" s="42">
        <f t="shared" si="171"/>
        <v>0</v>
      </c>
      <c r="AA364" s="42">
        <f t="shared" si="172"/>
        <v>-3565.366470052536</v>
      </c>
      <c r="AB364" s="37" t="str">
        <f t="shared" si="173"/>
        <v>ok</v>
      </c>
    </row>
    <row r="365" spans="1:28">
      <c r="A365" s="39" t="s">
        <v>398</v>
      </c>
      <c r="D365" s="39" t="s">
        <v>846</v>
      </c>
      <c r="F365" s="57">
        <f t="shared" ref="F365:P365" si="174">SUM(F360:F364)</f>
        <v>-22972.954396181263</v>
      </c>
      <c r="G365" s="57">
        <f t="shared" si="174"/>
        <v>-16920.487564305062</v>
      </c>
      <c r="H365" s="57">
        <f t="shared" si="174"/>
        <v>-2707.9661539060917</v>
      </c>
      <c r="I365" s="57">
        <f t="shared" si="174"/>
        <v>-94.926110380448449</v>
      </c>
      <c r="J365" s="57">
        <f t="shared" si="174"/>
        <v>-1476.6182563462237</v>
      </c>
      <c r="K365" s="57">
        <f t="shared" si="174"/>
        <v>-870.06825343890171</v>
      </c>
      <c r="L365" s="57">
        <f t="shared" si="174"/>
        <v>-343.39624854460573</v>
      </c>
      <c r="M365" s="57">
        <f t="shared" si="174"/>
        <v>0</v>
      </c>
      <c r="N365" s="57">
        <f t="shared" si="174"/>
        <v>0</v>
      </c>
      <c r="O365" s="57">
        <f>SUM(O360:O364)</f>
        <v>0</v>
      </c>
      <c r="P365" s="57">
        <f t="shared" si="174"/>
        <v>0</v>
      </c>
      <c r="Q365" s="57">
        <f t="shared" ref="Q365:Z365" si="175">SUM(Q360:Q364)</f>
        <v>-121.56135612376755</v>
      </c>
      <c r="R365" s="57">
        <f t="shared" si="175"/>
        <v>-27.493665201663188</v>
      </c>
      <c r="S365" s="57">
        <f t="shared" si="175"/>
        <v>-402.89434907419263</v>
      </c>
      <c r="T365" s="57">
        <f t="shared" si="175"/>
        <v>-2.9771409952500356</v>
      </c>
      <c r="U365" s="57">
        <f t="shared" si="175"/>
        <v>-4.5652978650566798</v>
      </c>
      <c r="V365" s="57">
        <f t="shared" si="175"/>
        <v>0</v>
      </c>
      <c r="W365" s="57">
        <f t="shared" si="175"/>
        <v>0</v>
      </c>
      <c r="X365" s="41">
        <f t="shared" si="175"/>
        <v>0</v>
      </c>
      <c r="Y365" s="41">
        <f t="shared" si="175"/>
        <v>0</v>
      </c>
      <c r="Z365" s="41">
        <f t="shared" si="175"/>
        <v>0</v>
      </c>
      <c r="AA365" s="43">
        <f t="shared" si="172"/>
        <v>-22972.954396181263</v>
      </c>
      <c r="AB365" s="37" t="str">
        <f t="shared" si="173"/>
        <v>ok</v>
      </c>
    </row>
    <row r="366" spans="1:28">
      <c r="F366" s="58"/>
    </row>
    <row r="367" spans="1:28">
      <c r="A367" s="44" t="s">
        <v>666</v>
      </c>
      <c r="F367" s="58"/>
    </row>
    <row r="368" spans="1:28">
      <c r="A368" s="45" t="s">
        <v>1196</v>
      </c>
      <c r="C368" s="85" t="s">
        <v>827</v>
      </c>
      <c r="D368" s="39" t="s">
        <v>847</v>
      </c>
      <c r="E368" s="39" t="s">
        <v>711</v>
      </c>
      <c r="F368" s="57">
        <f>VLOOKUP(C368,'Functional Assignment'!$C$2:$AP$725,'Functional Assignment'!$X$2,)</f>
        <v>-3050.4445105891623</v>
      </c>
      <c r="G368" s="57">
        <f t="shared" ref="G368:P369" si="176">IF(VLOOKUP($E368,$D$6:$AN$1197,3,)=0,0,(VLOOKUP($E368,$D$6:$AN$1197,G$2,)/VLOOKUP($E368,$D$6:$AN$1197,3,))*$F368)</f>
        <v>-2111.214086263265</v>
      </c>
      <c r="H368" s="57">
        <f t="shared" si="176"/>
        <v>-406.94792174919917</v>
      </c>
      <c r="I368" s="57">
        <f t="shared" si="176"/>
        <v>0</v>
      </c>
      <c r="J368" s="57">
        <f t="shared" si="176"/>
        <v>-405.7075814352624</v>
      </c>
      <c r="K368" s="57">
        <f t="shared" si="176"/>
        <v>0</v>
      </c>
      <c r="L368" s="57">
        <f t="shared" si="176"/>
        <v>-108.86461445273551</v>
      </c>
      <c r="M368" s="57">
        <f t="shared" si="176"/>
        <v>0</v>
      </c>
      <c r="N368" s="57">
        <f t="shared" si="176"/>
        <v>0</v>
      </c>
      <c r="O368" s="57">
        <f t="shared" si="176"/>
        <v>0</v>
      </c>
      <c r="P368" s="57">
        <f t="shared" si="176"/>
        <v>0</v>
      </c>
      <c r="Q368" s="57">
        <f t="shared" ref="Q368:Z369" si="177">IF(VLOOKUP($E368,$D$6:$AN$1197,3,)=0,0,(VLOOKUP($E368,$D$6:$AN$1197,Q$2,)/VLOOKUP($E368,$D$6:$AN$1197,3,))*$F368)</f>
        <v>0</v>
      </c>
      <c r="R368" s="57">
        <f t="shared" si="177"/>
        <v>0</v>
      </c>
      <c r="S368" s="57">
        <f t="shared" si="177"/>
        <v>-16.835838618196824</v>
      </c>
      <c r="T368" s="57">
        <f t="shared" si="177"/>
        <v>-0.62546867777225501</v>
      </c>
      <c r="U368" s="57">
        <f t="shared" si="177"/>
        <v>-0.24899939273147587</v>
      </c>
      <c r="V368" s="57">
        <f t="shared" si="177"/>
        <v>0</v>
      </c>
      <c r="W368" s="57">
        <f t="shared" si="177"/>
        <v>0</v>
      </c>
      <c r="X368" s="41">
        <f t="shared" si="177"/>
        <v>0</v>
      </c>
      <c r="Y368" s="41">
        <f t="shared" si="177"/>
        <v>0</v>
      </c>
      <c r="Z368" s="41">
        <f t="shared" si="177"/>
        <v>0</v>
      </c>
      <c r="AA368" s="43">
        <f>SUM(G368:Z368)</f>
        <v>-3050.4445105891627</v>
      </c>
      <c r="AB368" s="37" t="str">
        <f>IF(ABS(F368-AA368)&lt;0.01,"ok","err")</f>
        <v>ok</v>
      </c>
    </row>
    <row r="369" spans="1:28">
      <c r="A369" s="45" t="s">
        <v>1199</v>
      </c>
      <c r="C369" s="85" t="s">
        <v>827</v>
      </c>
      <c r="D369" s="39" t="s">
        <v>848</v>
      </c>
      <c r="E369" s="39" t="s">
        <v>732</v>
      </c>
      <c r="F369" s="58">
        <f>VLOOKUP(C369,'Functional Assignment'!$C$2:$AP$725,'Functional Assignment'!$Y$2,)</f>
        <v>-2426.1165497145403</v>
      </c>
      <c r="G369" s="58">
        <f t="shared" si="176"/>
        <v>-2089.5045000182668</v>
      </c>
      <c r="H369" s="58">
        <f t="shared" si="176"/>
        <v>-260.05174058007077</v>
      </c>
      <c r="I369" s="58">
        <f t="shared" si="176"/>
        <v>0</v>
      </c>
      <c r="J369" s="58">
        <f t="shared" si="176"/>
        <v>-17.484186615406081</v>
      </c>
      <c r="K369" s="58">
        <f t="shared" si="176"/>
        <v>0</v>
      </c>
      <c r="L369" s="58">
        <f t="shared" si="176"/>
        <v>-0.97334647137312191</v>
      </c>
      <c r="M369" s="58">
        <f t="shared" si="176"/>
        <v>0</v>
      </c>
      <c r="N369" s="58">
        <f t="shared" si="176"/>
        <v>0</v>
      </c>
      <c r="O369" s="58">
        <f t="shared" si="176"/>
        <v>0</v>
      </c>
      <c r="P369" s="58">
        <f t="shared" si="176"/>
        <v>0</v>
      </c>
      <c r="Q369" s="58">
        <f t="shared" si="177"/>
        <v>0</v>
      </c>
      <c r="R369" s="58">
        <f t="shared" si="177"/>
        <v>0</v>
      </c>
      <c r="S369" s="58">
        <f t="shared" si="177"/>
        <v>-57.388988617083406</v>
      </c>
      <c r="T369" s="58">
        <f t="shared" si="177"/>
        <v>-0.10214129637866094</v>
      </c>
      <c r="U369" s="58">
        <f t="shared" si="177"/>
        <v>-0.61164611596162843</v>
      </c>
      <c r="V369" s="58">
        <f t="shared" si="177"/>
        <v>0</v>
      </c>
      <c r="W369" s="58">
        <f t="shared" si="177"/>
        <v>0</v>
      </c>
      <c r="X369" s="42">
        <f t="shared" si="177"/>
        <v>0</v>
      </c>
      <c r="Y369" s="42">
        <f t="shared" si="177"/>
        <v>0</v>
      </c>
      <c r="Z369" s="42">
        <f t="shared" si="177"/>
        <v>0</v>
      </c>
      <c r="AA369" s="42">
        <f>SUM(G369:Z369)</f>
        <v>-2426.1165497145403</v>
      </c>
      <c r="AB369" s="37" t="str">
        <f>IF(ABS(F369-AA369)&lt;0.01,"ok","err")</f>
        <v>ok</v>
      </c>
    </row>
    <row r="370" spans="1:28">
      <c r="A370" s="39" t="s">
        <v>773</v>
      </c>
      <c r="D370" s="39" t="s">
        <v>849</v>
      </c>
      <c r="F370" s="57">
        <f t="shared" ref="F370:P370" si="178">F368+F369</f>
        <v>-5476.5610603037021</v>
      </c>
      <c r="G370" s="57">
        <f t="shared" si="178"/>
        <v>-4200.7185862815313</v>
      </c>
      <c r="H370" s="57">
        <f t="shared" si="178"/>
        <v>-666.99966232927</v>
      </c>
      <c r="I370" s="57">
        <f t="shared" si="178"/>
        <v>0</v>
      </c>
      <c r="J370" s="57">
        <f t="shared" si="178"/>
        <v>-423.19176805066849</v>
      </c>
      <c r="K370" s="57">
        <f t="shared" si="178"/>
        <v>0</v>
      </c>
      <c r="L370" s="57">
        <f t="shared" si="178"/>
        <v>-109.83796092410863</v>
      </c>
      <c r="M370" s="57">
        <f t="shared" si="178"/>
        <v>0</v>
      </c>
      <c r="N370" s="57">
        <f t="shared" si="178"/>
        <v>0</v>
      </c>
      <c r="O370" s="57">
        <f>O368+O369</f>
        <v>0</v>
      </c>
      <c r="P370" s="57">
        <f t="shared" si="178"/>
        <v>0</v>
      </c>
      <c r="Q370" s="57">
        <f t="shared" ref="Q370:Z370" si="179">Q368+Q369</f>
        <v>0</v>
      </c>
      <c r="R370" s="57">
        <f t="shared" si="179"/>
        <v>0</v>
      </c>
      <c r="S370" s="57">
        <f t="shared" si="179"/>
        <v>-74.22482723528023</v>
      </c>
      <c r="T370" s="57">
        <f t="shared" si="179"/>
        <v>-0.72760997415091599</v>
      </c>
      <c r="U370" s="57">
        <f t="shared" si="179"/>
        <v>-0.8606455086931043</v>
      </c>
      <c r="V370" s="57">
        <f t="shared" si="179"/>
        <v>0</v>
      </c>
      <c r="W370" s="57">
        <f t="shared" si="179"/>
        <v>0</v>
      </c>
      <c r="X370" s="41">
        <f t="shared" si="179"/>
        <v>0</v>
      </c>
      <c r="Y370" s="41">
        <f t="shared" si="179"/>
        <v>0</v>
      </c>
      <c r="Z370" s="41">
        <f t="shared" si="179"/>
        <v>0</v>
      </c>
      <c r="AA370" s="43">
        <f>SUM(G370:Z370)</f>
        <v>-5476.5610603037021</v>
      </c>
      <c r="AB370" s="37" t="str">
        <f>IF(ABS(F370-AA370)&lt;0.01,"ok","err")</f>
        <v>ok</v>
      </c>
    </row>
    <row r="371" spans="1:28">
      <c r="F371" s="58"/>
    </row>
    <row r="372" spans="1:28">
      <c r="A372" s="44" t="s">
        <v>371</v>
      </c>
      <c r="F372" s="58"/>
    </row>
    <row r="373" spans="1:28">
      <c r="A373" s="45" t="s">
        <v>1199</v>
      </c>
      <c r="C373" s="85" t="s">
        <v>827</v>
      </c>
      <c r="D373" s="39" t="s">
        <v>850</v>
      </c>
      <c r="E373" s="39" t="s">
        <v>1201</v>
      </c>
      <c r="F373" s="57">
        <f>VLOOKUP(C373,'Functional Assignment'!$C$2:$AP$725,'Functional Assignment'!$Z$2,)</f>
        <v>-1110.8227813983651</v>
      </c>
      <c r="G373" s="57">
        <f t="shared" ref="G373:Z373" si="180">IF(VLOOKUP($E373,$D$6:$AN$1197,3,)=0,0,(VLOOKUP($E373,$D$6:$AN$1197,G$2,)/VLOOKUP($E373,$D$6:$AN$1197,3,))*$F373)</f>
        <v>-918.86635134031405</v>
      </c>
      <c r="H373" s="57">
        <f t="shared" si="180"/>
        <v>-153.4596579705464</v>
      </c>
      <c r="I373" s="57">
        <f t="shared" si="180"/>
        <v>0</v>
      </c>
      <c r="J373" s="57">
        <f t="shared" si="180"/>
        <v>-32.782440385236569</v>
      </c>
      <c r="K373" s="57">
        <f t="shared" si="180"/>
        <v>0</v>
      </c>
      <c r="L373" s="57">
        <f t="shared" si="180"/>
        <v>-2.610484900939662</v>
      </c>
      <c r="M373" s="57">
        <f t="shared" si="180"/>
        <v>0</v>
      </c>
      <c r="N373" s="57">
        <f t="shared" si="180"/>
        <v>0</v>
      </c>
      <c r="O373" s="57">
        <f t="shared" si="180"/>
        <v>0</v>
      </c>
      <c r="P373" s="57">
        <f t="shared" si="180"/>
        <v>0</v>
      </c>
      <c r="Q373" s="57">
        <f t="shared" si="180"/>
        <v>0</v>
      </c>
      <c r="R373" s="57">
        <f t="shared" si="180"/>
        <v>0</v>
      </c>
      <c r="S373" s="57">
        <f t="shared" si="180"/>
        <v>0</v>
      </c>
      <c r="T373" s="57">
        <f t="shared" si="180"/>
        <v>-0.45085264200653558</v>
      </c>
      <c r="U373" s="57">
        <f t="shared" si="180"/>
        <v>-2.6529941593216946</v>
      </c>
      <c r="V373" s="57">
        <f t="shared" si="180"/>
        <v>0</v>
      </c>
      <c r="W373" s="57">
        <f t="shared" si="180"/>
        <v>0</v>
      </c>
      <c r="X373" s="41">
        <f t="shared" si="180"/>
        <v>0</v>
      </c>
      <c r="Y373" s="41">
        <f t="shared" si="180"/>
        <v>0</v>
      </c>
      <c r="Z373" s="41">
        <f t="shared" si="180"/>
        <v>0</v>
      </c>
      <c r="AA373" s="43">
        <f>SUM(G373:Z373)</f>
        <v>-1110.8227813983649</v>
      </c>
      <c r="AB373" s="37" t="str">
        <f>IF(ABS(F373-AA373)&lt;0.01,"ok","err")</f>
        <v>ok</v>
      </c>
    </row>
    <row r="374" spans="1:28">
      <c r="A374" s="45"/>
      <c r="C374" s="85"/>
      <c r="F374" s="58"/>
      <c r="AB374" s="37"/>
    </row>
    <row r="375" spans="1:28" hidden="1">
      <c r="F375" s="58">
        <v>-481.11596323706613</v>
      </c>
      <c r="G375" s="39">
        <v>-282.97749498118196</v>
      </c>
      <c r="H375" s="39">
        <v>-81.183507636622537</v>
      </c>
      <c r="I375" s="39">
        <v>0</v>
      </c>
      <c r="J375" s="39">
        <v>-86.606165658267514</v>
      </c>
      <c r="K375" s="39">
        <v>0</v>
      </c>
      <c r="L375" s="39">
        <v>-1.6617745370208263</v>
      </c>
      <c r="M375" s="39">
        <v>0</v>
      </c>
      <c r="N375" s="39">
        <v>-26.887646721466677</v>
      </c>
      <c r="O375" s="39">
        <v>0</v>
      </c>
      <c r="P375" s="39">
        <v>0</v>
      </c>
      <c r="Q375" s="39">
        <v>0</v>
      </c>
      <c r="R375" s="39">
        <v>0</v>
      </c>
      <c r="S375" s="39">
        <v>0</v>
      </c>
      <c r="T375" s="39">
        <v>-0.14048586126522331</v>
      </c>
      <c r="U375" s="39">
        <v>-0.66586449312009954</v>
      </c>
      <c r="V375" s="39">
        <v>0</v>
      </c>
      <c r="W375" s="39">
        <v>-0.99302334812130444</v>
      </c>
      <c r="AA375" s="36">
        <v>-482.10898658518755</v>
      </c>
    </row>
    <row r="376" spans="1:28">
      <c r="A376" s="44" t="s">
        <v>370</v>
      </c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41"/>
      <c r="Y376" s="41"/>
      <c r="Z376" s="41"/>
      <c r="AA376" s="43"/>
    </row>
    <row r="377" spans="1:28">
      <c r="A377" s="45" t="s">
        <v>1199</v>
      </c>
      <c r="C377" s="85" t="s">
        <v>827</v>
      </c>
      <c r="D377" s="39" t="s">
        <v>851</v>
      </c>
      <c r="E377" s="39" t="s">
        <v>1202</v>
      </c>
      <c r="F377" s="57">
        <f>VLOOKUP(C377,'Functional Assignment'!$C$2:$AP$725,'Functional Assignment'!$AA$2,)</f>
        <v>-1496.8740208350234</v>
      </c>
      <c r="G377" s="57">
        <f t="shared" ref="G377:Z377" si="181">IF(VLOOKUP($E377,$D$6:$AN$1197,3,)=0,0,(VLOOKUP($E377,$D$6:$AN$1197,G$2,)/VLOOKUP($E377,$D$6:$AN$1197,3,))*$F377)</f>
        <v>-1047.647654528022</v>
      </c>
      <c r="H377" s="57">
        <f t="shared" si="181"/>
        <v>-311.12944882927877</v>
      </c>
      <c r="I377" s="57">
        <f t="shared" si="181"/>
        <v>-14.19683804807703</v>
      </c>
      <c r="J377" s="57">
        <f t="shared" si="181"/>
        <v>-81.517016667729081</v>
      </c>
      <c r="K377" s="57">
        <f t="shared" si="181"/>
        <v>-15.97626985013885</v>
      </c>
      <c r="L377" s="57">
        <f t="shared" si="181"/>
        <v>-4.8975121532996981</v>
      </c>
      <c r="M377" s="57">
        <f t="shared" si="181"/>
        <v>0</v>
      </c>
      <c r="N377" s="57">
        <f t="shared" si="181"/>
        <v>0</v>
      </c>
      <c r="O377" s="57">
        <f t="shared" si="181"/>
        <v>0</v>
      </c>
      <c r="P377" s="57">
        <f t="shared" si="181"/>
        <v>-14.11961763962417</v>
      </c>
      <c r="Q377" s="57">
        <f t="shared" si="181"/>
        <v>-1.2836016036021971</v>
      </c>
      <c r="R377" s="57">
        <f t="shared" si="181"/>
        <v>-2.5672032072043942</v>
      </c>
      <c r="S377" s="57">
        <f t="shared" si="181"/>
        <v>0</v>
      </c>
      <c r="T377" s="57">
        <f t="shared" si="181"/>
        <v>-0.51404071141241914</v>
      </c>
      <c r="U377" s="57">
        <f t="shared" si="181"/>
        <v>-3.0248175966349291</v>
      </c>
      <c r="V377" s="57">
        <f t="shared" si="181"/>
        <v>0</v>
      </c>
      <c r="W377" s="57">
        <f t="shared" si="181"/>
        <v>0</v>
      </c>
      <c r="X377" s="41">
        <f t="shared" si="181"/>
        <v>0</v>
      </c>
      <c r="Y377" s="41">
        <f t="shared" si="181"/>
        <v>0</v>
      </c>
      <c r="Z377" s="41">
        <f t="shared" si="181"/>
        <v>0</v>
      </c>
      <c r="AA377" s="43">
        <f>SUM(G377:Z377)</f>
        <v>-1496.8740208350234</v>
      </c>
      <c r="AB377" s="37" t="str">
        <f>IF(ABS(F377-AA377)&lt;0.01,"ok","err")</f>
        <v>ok</v>
      </c>
    </row>
    <row r="378" spans="1:28">
      <c r="F378" s="58"/>
    </row>
    <row r="379" spans="1:28">
      <c r="A379" s="44" t="s">
        <v>391</v>
      </c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41"/>
      <c r="Y379" s="41"/>
      <c r="Z379" s="41"/>
      <c r="AA379" s="43"/>
    </row>
    <row r="380" spans="1:28">
      <c r="A380" s="45" t="s">
        <v>1199</v>
      </c>
      <c r="C380" s="85" t="s">
        <v>827</v>
      </c>
      <c r="D380" s="39" t="s">
        <v>852</v>
      </c>
      <c r="E380" s="39" t="s">
        <v>1203</v>
      </c>
      <c r="F380" s="57">
        <f>VLOOKUP(C380,'Functional Assignment'!$C$2:$AP$725,'Functional Assignment'!$AB$2,)</f>
        <v>-3292.3757449390041</v>
      </c>
      <c r="G380" s="57">
        <f t="shared" ref="G380:Z380" si="182">IF(VLOOKUP($E380,$D$6:$AN$1197,3,)=0,0,(VLOOKUP($E380,$D$6:$AN$1197,G$2,)/VLOOKUP($E380,$D$6:$AN$1197,3,))*$F380)</f>
        <v>0</v>
      </c>
      <c r="H380" s="57">
        <f t="shared" si="182"/>
        <v>0</v>
      </c>
      <c r="I380" s="57">
        <f t="shared" si="182"/>
        <v>0</v>
      </c>
      <c r="J380" s="57">
        <f t="shared" si="182"/>
        <v>0</v>
      </c>
      <c r="K380" s="57">
        <f t="shared" si="182"/>
        <v>0</v>
      </c>
      <c r="L380" s="57">
        <f t="shared" si="182"/>
        <v>0</v>
      </c>
      <c r="M380" s="57">
        <f t="shared" si="182"/>
        <v>0</v>
      </c>
      <c r="N380" s="57">
        <f t="shared" si="182"/>
        <v>0</v>
      </c>
      <c r="O380" s="57">
        <f t="shared" si="182"/>
        <v>0</v>
      </c>
      <c r="P380" s="57">
        <f t="shared" si="182"/>
        <v>0</v>
      </c>
      <c r="Q380" s="57">
        <f t="shared" si="182"/>
        <v>0</v>
      </c>
      <c r="R380" s="57">
        <f t="shared" si="182"/>
        <v>0</v>
      </c>
      <c r="S380" s="57">
        <f t="shared" si="182"/>
        <v>-3292.3757449390041</v>
      </c>
      <c r="T380" s="57">
        <f t="shared" si="182"/>
        <v>0</v>
      </c>
      <c r="U380" s="57">
        <f t="shared" si="182"/>
        <v>0</v>
      </c>
      <c r="V380" s="57">
        <f t="shared" si="182"/>
        <v>0</v>
      </c>
      <c r="W380" s="57">
        <f t="shared" si="182"/>
        <v>0</v>
      </c>
      <c r="X380" s="41">
        <f t="shared" si="182"/>
        <v>0</v>
      </c>
      <c r="Y380" s="41">
        <f t="shared" si="182"/>
        <v>0</v>
      </c>
      <c r="Z380" s="41">
        <f t="shared" si="182"/>
        <v>0</v>
      </c>
      <c r="AA380" s="43">
        <f>SUM(G380:Z380)</f>
        <v>-3292.3757449390041</v>
      </c>
      <c r="AB380" s="37" t="str">
        <f>IF(ABS(F380-AA380)&lt;0.01,"ok","err")</f>
        <v>ok</v>
      </c>
    </row>
    <row r="381" spans="1:28">
      <c r="F381" s="58"/>
    </row>
    <row r="382" spans="1:28">
      <c r="A382" s="44" t="s">
        <v>1129</v>
      </c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41"/>
      <c r="Y382" s="41"/>
      <c r="Z382" s="41"/>
      <c r="AA382" s="43"/>
    </row>
    <row r="383" spans="1:28">
      <c r="A383" s="45" t="s">
        <v>1199</v>
      </c>
      <c r="C383" s="85" t="s">
        <v>827</v>
      </c>
      <c r="D383" s="39" t="s">
        <v>853</v>
      </c>
      <c r="E383" s="39" t="s">
        <v>1204</v>
      </c>
      <c r="F383" s="57">
        <f>VLOOKUP(C383,'Functional Assignment'!$C$2:$AP$725,'Functional Assignment'!$AC$2,)</f>
        <v>0</v>
      </c>
      <c r="G383" s="57">
        <f t="shared" ref="G383:Z383" si="183">IF(VLOOKUP($E383,$D$6:$AN$1197,3,)=0,0,(VLOOKUP($E383,$D$6:$AN$1197,G$2,)/VLOOKUP($E383,$D$6:$AN$1197,3,))*$F383)</f>
        <v>0</v>
      </c>
      <c r="H383" s="57">
        <f t="shared" si="183"/>
        <v>0</v>
      </c>
      <c r="I383" s="57">
        <f t="shared" si="183"/>
        <v>0</v>
      </c>
      <c r="J383" s="57">
        <f t="shared" si="183"/>
        <v>0</v>
      </c>
      <c r="K383" s="57">
        <f t="shared" si="183"/>
        <v>0</v>
      </c>
      <c r="L383" s="57">
        <f t="shared" si="183"/>
        <v>0</v>
      </c>
      <c r="M383" s="57">
        <f t="shared" si="183"/>
        <v>0</v>
      </c>
      <c r="N383" s="57">
        <f t="shared" si="183"/>
        <v>0</v>
      </c>
      <c r="O383" s="57">
        <f t="shared" si="183"/>
        <v>0</v>
      </c>
      <c r="P383" s="57">
        <f t="shared" si="183"/>
        <v>0</v>
      </c>
      <c r="Q383" s="57">
        <f t="shared" si="183"/>
        <v>0</v>
      </c>
      <c r="R383" s="57">
        <f t="shared" si="183"/>
        <v>0</v>
      </c>
      <c r="S383" s="57">
        <f t="shared" si="183"/>
        <v>0</v>
      </c>
      <c r="T383" s="57">
        <f t="shared" si="183"/>
        <v>0</v>
      </c>
      <c r="U383" s="57">
        <f t="shared" si="183"/>
        <v>0</v>
      </c>
      <c r="V383" s="57">
        <f t="shared" si="183"/>
        <v>0</v>
      </c>
      <c r="W383" s="57">
        <f t="shared" si="183"/>
        <v>0</v>
      </c>
      <c r="X383" s="41">
        <f t="shared" si="183"/>
        <v>0</v>
      </c>
      <c r="Y383" s="41">
        <f t="shared" si="183"/>
        <v>0</v>
      </c>
      <c r="Z383" s="41">
        <f t="shared" si="183"/>
        <v>0</v>
      </c>
      <c r="AA383" s="43">
        <f>SUM(G383:Z383)</f>
        <v>0</v>
      </c>
      <c r="AB383" s="37" t="str">
        <f>IF(ABS(F383-AA383)&lt;0.01,"ok","err")</f>
        <v>ok</v>
      </c>
    </row>
    <row r="384" spans="1:28">
      <c r="F384" s="58"/>
    </row>
    <row r="385" spans="1:28">
      <c r="A385" s="44" t="s">
        <v>368</v>
      </c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41"/>
      <c r="Y385" s="41"/>
      <c r="Z385" s="41"/>
      <c r="AA385" s="43"/>
    </row>
    <row r="386" spans="1:28">
      <c r="A386" s="45" t="s">
        <v>1199</v>
      </c>
      <c r="C386" s="85" t="s">
        <v>827</v>
      </c>
      <c r="D386" s="39" t="s">
        <v>854</v>
      </c>
      <c r="E386" s="39" t="s">
        <v>1204</v>
      </c>
      <c r="F386" s="57">
        <f>VLOOKUP(C386,'Functional Assignment'!$C$2:$AP$725,'Functional Assignment'!$AD$2,)</f>
        <v>0</v>
      </c>
      <c r="G386" s="57">
        <f t="shared" ref="G386:Z386" si="184">IF(VLOOKUP($E386,$D$6:$AN$1197,3,)=0,0,(VLOOKUP($E386,$D$6:$AN$1197,G$2,)/VLOOKUP($E386,$D$6:$AN$1197,3,))*$F386)</f>
        <v>0</v>
      </c>
      <c r="H386" s="57">
        <f t="shared" si="184"/>
        <v>0</v>
      </c>
      <c r="I386" s="57">
        <f t="shared" si="184"/>
        <v>0</v>
      </c>
      <c r="J386" s="57">
        <f t="shared" si="184"/>
        <v>0</v>
      </c>
      <c r="K386" s="57">
        <f t="shared" si="184"/>
        <v>0</v>
      </c>
      <c r="L386" s="57">
        <f t="shared" si="184"/>
        <v>0</v>
      </c>
      <c r="M386" s="57">
        <f t="shared" si="184"/>
        <v>0</v>
      </c>
      <c r="N386" s="57">
        <f t="shared" si="184"/>
        <v>0</v>
      </c>
      <c r="O386" s="57">
        <f t="shared" si="184"/>
        <v>0</v>
      </c>
      <c r="P386" s="57">
        <f t="shared" si="184"/>
        <v>0</v>
      </c>
      <c r="Q386" s="57">
        <f t="shared" si="184"/>
        <v>0</v>
      </c>
      <c r="R386" s="57">
        <f t="shared" si="184"/>
        <v>0</v>
      </c>
      <c r="S386" s="57">
        <f t="shared" si="184"/>
        <v>0</v>
      </c>
      <c r="T386" s="57">
        <f t="shared" si="184"/>
        <v>0</v>
      </c>
      <c r="U386" s="57">
        <f t="shared" si="184"/>
        <v>0</v>
      </c>
      <c r="V386" s="57">
        <f t="shared" si="184"/>
        <v>0</v>
      </c>
      <c r="W386" s="57">
        <f t="shared" si="184"/>
        <v>0</v>
      </c>
      <c r="X386" s="41">
        <f t="shared" si="184"/>
        <v>0</v>
      </c>
      <c r="Y386" s="41">
        <f t="shared" si="184"/>
        <v>0</v>
      </c>
      <c r="Z386" s="41">
        <f t="shared" si="184"/>
        <v>0</v>
      </c>
      <c r="AA386" s="43">
        <f>SUM(G386:Z386)</f>
        <v>0</v>
      </c>
      <c r="AB386" s="37" t="str">
        <f>IF(ABS(F386-AA386)&lt;0.01,"ok","err")</f>
        <v>ok</v>
      </c>
    </row>
    <row r="387" spans="1:28">
      <c r="F387" s="58"/>
    </row>
    <row r="388" spans="1:28">
      <c r="A388" s="44" t="s">
        <v>367</v>
      </c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41"/>
      <c r="Y388" s="41"/>
      <c r="Z388" s="41"/>
      <c r="AA388" s="43"/>
    </row>
    <row r="389" spans="1:28">
      <c r="A389" s="45" t="s">
        <v>1199</v>
      </c>
      <c r="C389" s="85" t="s">
        <v>827</v>
      </c>
      <c r="D389" s="39" t="s">
        <v>855</v>
      </c>
      <c r="E389" s="39" t="s">
        <v>1205</v>
      </c>
      <c r="F389" s="57">
        <f>VLOOKUP(C389,'Functional Assignment'!$C$2:$AP$725,'Functional Assignment'!$AE$2,)</f>
        <v>0</v>
      </c>
      <c r="G389" s="57">
        <f t="shared" ref="G389:Z389" si="185">IF(VLOOKUP($E389,$D$6:$AN$1197,3,)=0,0,(VLOOKUP($E389,$D$6:$AN$1197,G$2,)/VLOOKUP($E389,$D$6:$AN$1197,3,))*$F389)</f>
        <v>0</v>
      </c>
      <c r="H389" s="57">
        <f t="shared" si="185"/>
        <v>0</v>
      </c>
      <c r="I389" s="57">
        <f t="shared" si="185"/>
        <v>0</v>
      </c>
      <c r="J389" s="57">
        <f t="shared" si="185"/>
        <v>0</v>
      </c>
      <c r="K389" s="57">
        <f t="shared" si="185"/>
        <v>0</v>
      </c>
      <c r="L389" s="57">
        <f t="shared" si="185"/>
        <v>0</v>
      </c>
      <c r="M389" s="57">
        <f t="shared" si="185"/>
        <v>0</v>
      </c>
      <c r="N389" s="57">
        <f t="shared" si="185"/>
        <v>0</v>
      </c>
      <c r="O389" s="57">
        <f t="shared" si="185"/>
        <v>0</v>
      </c>
      <c r="P389" s="57">
        <f t="shared" si="185"/>
        <v>0</v>
      </c>
      <c r="Q389" s="57">
        <f t="shared" si="185"/>
        <v>0</v>
      </c>
      <c r="R389" s="57">
        <f t="shared" si="185"/>
        <v>0</v>
      </c>
      <c r="S389" s="57">
        <f t="shared" si="185"/>
        <v>0</v>
      </c>
      <c r="T389" s="57">
        <f t="shared" si="185"/>
        <v>0</v>
      </c>
      <c r="U389" s="57">
        <f t="shared" si="185"/>
        <v>0</v>
      </c>
      <c r="V389" s="57">
        <f t="shared" si="185"/>
        <v>0</v>
      </c>
      <c r="W389" s="57">
        <f t="shared" si="185"/>
        <v>0</v>
      </c>
      <c r="X389" s="41">
        <f t="shared" si="185"/>
        <v>0</v>
      </c>
      <c r="Y389" s="41">
        <f t="shared" si="185"/>
        <v>0</v>
      </c>
      <c r="Z389" s="41">
        <f t="shared" si="185"/>
        <v>0</v>
      </c>
      <c r="AA389" s="43">
        <f>SUM(G389:Z389)</f>
        <v>0</v>
      </c>
      <c r="AB389" s="37" t="str">
        <f>IF(ABS(F389-AA389)&lt;0.01,"ok","err")</f>
        <v>ok</v>
      </c>
    </row>
    <row r="390" spans="1:28"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41"/>
      <c r="Y390" s="41"/>
      <c r="Z390" s="41"/>
      <c r="AA390" s="43"/>
    </row>
    <row r="391" spans="1:28">
      <c r="A391" s="39" t="s">
        <v>1026</v>
      </c>
      <c r="D391" s="39" t="s">
        <v>856</v>
      </c>
      <c r="F391" s="57">
        <f t="shared" ref="F391:P391" si="186">F345+F351+F354+F357+F365+F370+F373+F377+F380+F383+F386+F389</f>
        <v>-3858162.4899999998</v>
      </c>
      <c r="G391" s="57">
        <f t="shared" si="186"/>
        <v>-1623917.5905385963</v>
      </c>
      <c r="H391" s="57">
        <f t="shared" si="186"/>
        <v>-525580.78808930912</v>
      </c>
      <c r="I391" s="57">
        <f t="shared" si="186"/>
        <v>-64743.296570773055</v>
      </c>
      <c r="J391" s="57">
        <f t="shared" si="186"/>
        <v>-719597.74509817176</v>
      </c>
      <c r="K391" s="57">
        <f t="shared" si="186"/>
        <v>-496724.1315180735</v>
      </c>
      <c r="L391" s="57">
        <f t="shared" si="186"/>
        <v>-180489.25763131847</v>
      </c>
      <c r="M391" s="57">
        <f t="shared" si="186"/>
        <v>0</v>
      </c>
      <c r="N391" s="57">
        <f t="shared" si="186"/>
        <v>0</v>
      </c>
      <c r="O391" s="57">
        <f>O345+O351+O354+O357+O365+O370+O373+O377+O380+O383+O386+O389</f>
        <v>0</v>
      </c>
      <c r="P391" s="57">
        <f t="shared" si="186"/>
        <v>-144733.63659718577</v>
      </c>
      <c r="Q391" s="57">
        <f>Q345+Q351+Q354+Q357+Q365+Q370+Q373+Q377+Q380+Q383+Q386+Q389</f>
        <v>-70074.685919132928</v>
      </c>
      <c r="R391" s="57">
        <f>R345+R351+R354+R357+R365+R370+R373+R377+R380+R383+R386+R389</f>
        <v>-15377.054329954299</v>
      </c>
      <c r="S391" s="57">
        <f t="shared" ref="S391:Z391" si="187">S345+S351+S354+S357+S365+S370+S373+S377+S380+S383+S386+S389</f>
        <v>-15657.472904311726</v>
      </c>
      <c r="T391" s="57">
        <f t="shared" si="187"/>
        <v>-453.7840772854309</v>
      </c>
      <c r="U391" s="57">
        <f t="shared" si="187"/>
        <v>-813.04672588736389</v>
      </c>
      <c r="V391" s="57">
        <f t="shared" si="187"/>
        <v>0</v>
      </c>
      <c r="W391" s="57">
        <f t="shared" si="187"/>
        <v>0</v>
      </c>
      <c r="X391" s="41">
        <f t="shared" si="187"/>
        <v>0</v>
      </c>
      <c r="Y391" s="41">
        <f t="shared" si="187"/>
        <v>0</v>
      </c>
      <c r="Z391" s="41">
        <f t="shared" si="187"/>
        <v>0</v>
      </c>
      <c r="AA391" s="43">
        <f>SUM(G391:Z391)</f>
        <v>-3858162.49</v>
      </c>
      <c r="AB391" s="37" t="str">
        <f>IF(ABS(F391-AA391)&lt;0.01,"ok","err")</f>
        <v>ok</v>
      </c>
    </row>
    <row r="392" spans="1:28">
      <c r="A392" s="44" t="s">
        <v>794</v>
      </c>
    </row>
    <row r="394" spans="1:28">
      <c r="A394" s="44" t="s">
        <v>384</v>
      </c>
    </row>
    <row r="395" spans="1:28">
      <c r="A395" s="45" t="s">
        <v>376</v>
      </c>
      <c r="C395" s="39" t="s">
        <v>795</v>
      </c>
      <c r="D395" s="39" t="s">
        <v>796</v>
      </c>
      <c r="E395" s="39" t="s">
        <v>939</v>
      </c>
      <c r="F395" s="57">
        <f>VLOOKUP(C395,'Functional Assignment'!$C$2:$AP$725,'Functional Assignment'!$H$2,)</f>
        <v>555295.01987767522</v>
      </c>
      <c r="G395" s="57">
        <f t="shared" ref="G395:P400" si="188">IF(VLOOKUP($E395,$D$6:$AN$1197,3,)=0,0,(VLOOKUP($E395,$D$6:$AN$1197,G$2,)/VLOOKUP($E395,$D$6:$AN$1197,3,))*$F395)</f>
        <v>203001.50750408357</v>
      </c>
      <c r="H395" s="57">
        <f t="shared" si="188"/>
        <v>66956.337507975171</v>
      </c>
      <c r="I395" s="57">
        <f t="shared" si="188"/>
        <v>10958.745549968738</v>
      </c>
      <c r="J395" s="57">
        <f t="shared" si="188"/>
        <v>111643.83302820887</v>
      </c>
      <c r="K395" s="57">
        <f t="shared" si="188"/>
        <v>89781.602131921638</v>
      </c>
      <c r="L395" s="57">
        <f t="shared" si="188"/>
        <v>30355.169397876583</v>
      </c>
      <c r="M395" s="57">
        <f t="shared" si="188"/>
        <v>0</v>
      </c>
      <c r="N395" s="57">
        <f t="shared" si="188"/>
        <v>0</v>
      </c>
      <c r="O395" s="57">
        <f t="shared" si="188"/>
        <v>0</v>
      </c>
      <c r="P395" s="57">
        <f t="shared" si="188"/>
        <v>24306.488450780664</v>
      </c>
      <c r="Q395" s="57">
        <f t="shared" ref="Q395:Z400" si="189">IF(VLOOKUP($E395,$D$6:$AN$1197,3,)=0,0,(VLOOKUP($E395,$D$6:$AN$1197,Q$2,)/VLOOKUP($E395,$D$6:$AN$1197,3,))*$F395)</f>
        <v>10203.408430575642</v>
      </c>
      <c r="R395" s="57">
        <f t="shared" si="189"/>
        <v>2742.054439551629</v>
      </c>
      <c r="S395" s="57">
        <f t="shared" si="189"/>
        <v>5015.9985911550266</v>
      </c>
      <c r="T395" s="57">
        <f t="shared" si="189"/>
        <v>181.31232574136831</v>
      </c>
      <c r="U395" s="57">
        <f t="shared" si="189"/>
        <v>148.56251983626294</v>
      </c>
      <c r="V395" s="57">
        <f t="shared" si="189"/>
        <v>0</v>
      </c>
      <c r="W395" s="57">
        <f t="shared" si="189"/>
        <v>0</v>
      </c>
      <c r="X395" s="41">
        <f t="shared" si="189"/>
        <v>0</v>
      </c>
      <c r="Y395" s="41">
        <f t="shared" si="189"/>
        <v>0</v>
      </c>
      <c r="Z395" s="41">
        <f t="shared" si="189"/>
        <v>0</v>
      </c>
      <c r="AA395" s="43">
        <f t="shared" ref="AA395:AA401" si="190">SUM(G395:Z395)</f>
        <v>555295.01987767522</v>
      </c>
      <c r="AB395" s="37" t="str">
        <f t="shared" ref="AB395:AB401" si="191">IF(ABS(F395-AA395)&lt;0.01,"ok","err")</f>
        <v>ok</v>
      </c>
    </row>
    <row r="396" spans="1:28">
      <c r="A396" s="45" t="s">
        <v>1391</v>
      </c>
      <c r="C396" s="39" t="s">
        <v>795</v>
      </c>
      <c r="D396" s="39" t="s">
        <v>797</v>
      </c>
      <c r="E396" s="39" t="s">
        <v>204</v>
      </c>
      <c r="F396" s="58">
        <f>VLOOKUP(C396,'Functional Assignment'!$C$2:$AP$725,'Functional Assignment'!$I$2,)</f>
        <v>523464.25917078217</v>
      </c>
      <c r="G396" s="58">
        <f t="shared" si="188"/>
        <v>211079.85067069807</v>
      </c>
      <c r="H396" s="58">
        <f t="shared" si="188"/>
        <v>83321.672493224818</v>
      </c>
      <c r="I396" s="58">
        <f t="shared" si="188"/>
        <v>8485.1799984858008</v>
      </c>
      <c r="J396" s="58">
        <f t="shared" si="188"/>
        <v>97716.158800771824</v>
      </c>
      <c r="K396" s="58">
        <f t="shared" si="188"/>
        <v>64283.856510044294</v>
      </c>
      <c r="L396" s="58">
        <f t="shared" si="188"/>
        <v>24555.547562775657</v>
      </c>
      <c r="M396" s="58">
        <f t="shared" si="188"/>
        <v>0</v>
      </c>
      <c r="N396" s="58">
        <f t="shared" si="188"/>
        <v>0</v>
      </c>
      <c r="O396" s="58">
        <f t="shared" si="188"/>
        <v>0</v>
      </c>
      <c r="P396" s="58">
        <f t="shared" si="188"/>
        <v>22753.973146213248</v>
      </c>
      <c r="Q396" s="58">
        <f t="shared" si="189"/>
        <v>9341.3016803775372</v>
      </c>
      <c r="R396" s="58">
        <f t="shared" si="189"/>
        <v>1807.8465272788205</v>
      </c>
      <c r="S396" s="58">
        <f t="shared" si="189"/>
        <v>0</v>
      </c>
      <c r="T396" s="58">
        <f t="shared" si="189"/>
        <v>3.6609887091570807</v>
      </c>
      <c r="U396" s="58">
        <f t="shared" si="189"/>
        <v>115.21079220297131</v>
      </c>
      <c r="V396" s="58">
        <f t="shared" si="189"/>
        <v>0</v>
      </c>
      <c r="W396" s="58">
        <f t="shared" si="189"/>
        <v>0</v>
      </c>
      <c r="X396" s="42">
        <f t="shared" si="189"/>
        <v>0</v>
      </c>
      <c r="Y396" s="42">
        <f t="shared" si="189"/>
        <v>0</v>
      </c>
      <c r="Z396" s="42">
        <f t="shared" si="189"/>
        <v>0</v>
      </c>
      <c r="AA396" s="42">
        <f t="shared" si="190"/>
        <v>523464.25917078211</v>
      </c>
      <c r="AB396" s="37" t="str">
        <f t="shared" si="191"/>
        <v>ok</v>
      </c>
    </row>
    <row r="397" spans="1:28">
      <c r="A397" s="45" t="s">
        <v>1392</v>
      </c>
      <c r="C397" s="39" t="s">
        <v>795</v>
      </c>
      <c r="D397" s="39" t="s">
        <v>798</v>
      </c>
      <c r="E397" s="39" t="s">
        <v>207</v>
      </c>
      <c r="F397" s="58">
        <f>VLOOKUP(C397,'Functional Assignment'!$C$2:$AP$725,'Functional Assignment'!$J$2,)</f>
        <v>537601.40785097145</v>
      </c>
      <c r="G397" s="58">
        <f t="shared" si="188"/>
        <v>262494.34508813825</v>
      </c>
      <c r="H397" s="58">
        <f t="shared" si="188"/>
        <v>70267.388667812833</v>
      </c>
      <c r="I397" s="58">
        <f t="shared" si="188"/>
        <v>7882.4124615868341</v>
      </c>
      <c r="J397" s="58">
        <f t="shared" si="188"/>
        <v>94008.169698748839</v>
      </c>
      <c r="K397" s="58">
        <f t="shared" si="188"/>
        <v>55524.226230190987</v>
      </c>
      <c r="L397" s="58">
        <f t="shared" si="188"/>
        <v>21202.080306644144</v>
      </c>
      <c r="M397" s="58">
        <f t="shared" si="188"/>
        <v>0</v>
      </c>
      <c r="N397" s="58">
        <f t="shared" si="188"/>
        <v>0</v>
      </c>
      <c r="O397" s="58">
        <f t="shared" si="188"/>
        <v>0</v>
      </c>
      <c r="P397" s="58">
        <f t="shared" si="188"/>
        <v>14181.76054254128</v>
      </c>
      <c r="Q397" s="58">
        <f t="shared" si="189"/>
        <v>10024.020286580029</v>
      </c>
      <c r="R397" s="58">
        <f t="shared" si="189"/>
        <v>1937.0788402585267</v>
      </c>
      <c r="S397" s="58">
        <f t="shared" si="189"/>
        <v>0</v>
      </c>
      <c r="T397" s="58">
        <f t="shared" si="189"/>
        <v>4.5518440239676687</v>
      </c>
      <c r="U397" s="58">
        <f t="shared" si="189"/>
        <v>75.373884445708114</v>
      </c>
      <c r="V397" s="58">
        <f t="shared" si="189"/>
        <v>0</v>
      </c>
      <c r="W397" s="58">
        <f t="shared" si="189"/>
        <v>0</v>
      </c>
      <c r="X397" s="42">
        <f t="shared" si="189"/>
        <v>0</v>
      </c>
      <c r="Y397" s="42">
        <f t="shared" si="189"/>
        <v>0</v>
      </c>
      <c r="Z397" s="42">
        <f t="shared" si="189"/>
        <v>0</v>
      </c>
      <c r="AA397" s="42">
        <f t="shared" si="190"/>
        <v>537601.40785097156</v>
      </c>
      <c r="AB397" s="37" t="str">
        <f t="shared" si="191"/>
        <v>ok</v>
      </c>
    </row>
    <row r="398" spans="1:28">
      <c r="A398" s="45" t="s">
        <v>1393</v>
      </c>
      <c r="C398" s="39" t="s">
        <v>795</v>
      </c>
      <c r="D398" s="39" t="s">
        <v>799</v>
      </c>
      <c r="E398" s="39" t="s">
        <v>1197</v>
      </c>
      <c r="F398" s="58">
        <f>VLOOKUP(C398,'Functional Assignment'!$C$2:$AP$725,'Functional Assignment'!$K$2,)</f>
        <v>0</v>
      </c>
      <c r="G398" s="58">
        <f t="shared" si="188"/>
        <v>0</v>
      </c>
      <c r="H398" s="58">
        <f t="shared" si="188"/>
        <v>0</v>
      </c>
      <c r="I398" s="58">
        <f t="shared" si="188"/>
        <v>0</v>
      </c>
      <c r="J398" s="58">
        <f t="shared" si="188"/>
        <v>0</v>
      </c>
      <c r="K398" s="58">
        <f t="shared" si="188"/>
        <v>0</v>
      </c>
      <c r="L398" s="58">
        <f t="shared" si="188"/>
        <v>0</v>
      </c>
      <c r="M398" s="58">
        <f t="shared" si="188"/>
        <v>0</v>
      </c>
      <c r="N398" s="58">
        <f t="shared" si="188"/>
        <v>0</v>
      </c>
      <c r="O398" s="58">
        <f t="shared" si="188"/>
        <v>0</v>
      </c>
      <c r="P398" s="58">
        <f t="shared" si="188"/>
        <v>0</v>
      </c>
      <c r="Q398" s="58">
        <f t="shared" si="189"/>
        <v>0</v>
      </c>
      <c r="R398" s="58">
        <f t="shared" si="189"/>
        <v>0</v>
      </c>
      <c r="S398" s="58">
        <f t="shared" si="189"/>
        <v>0</v>
      </c>
      <c r="T398" s="58">
        <f t="shared" si="189"/>
        <v>0</v>
      </c>
      <c r="U398" s="58">
        <f t="shared" si="189"/>
        <v>0</v>
      </c>
      <c r="V398" s="58">
        <f t="shared" si="189"/>
        <v>0</v>
      </c>
      <c r="W398" s="58">
        <f t="shared" si="189"/>
        <v>0</v>
      </c>
      <c r="X398" s="42">
        <f t="shared" si="189"/>
        <v>0</v>
      </c>
      <c r="Y398" s="42">
        <f t="shared" si="189"/>
        <v>0</v>
      </c>
      <c r="Z398" s="42">
        <f t="shared" si="189"/>
        <v>0</v>
      </c>
      <c r="AA398" s="42">
        <f t="shared" si="190"/>
        <v>0</v>
      </c>
      <c r="AB398" s="37" t="str">
        <f t="shared" si="191"/>
        <v>ok</v>
      </c>
    </row>
    <row r="399" spans="1:28">
      <c r="A399" s="45" t="s">
        <v>1394</v>
      </c>
      <c r="C399" s="39" t="s">
        <v>795</v>
      </c>
      <c r="D399" s="39" t="s">
        <v>800</v>
      </c>
      <c r="E399" s="39" t="s">
        <v>1197</v>
      </c>
      <c r="F399" s="58">
        <f>VLOOKUP(C399,'Functional Assignment'!$C$2:$AP$725,'Functional Assignment'!$L$2,)</f>
        <v>0</v>
      </c>
      <c r="G399" s="58">
        <f t="shared" si="188"/>
        <v>0</v>
      </c>
      <c r="H399" s="58">
        <f t="shared" si="188"/>
        <v>0</v>
      </c>
      <c r="I399" s="58">
        <f t="shared" si="188"/>
        <v>0</v>
      </c>
      <c r="J399" s="58">
        <f t="shared" si="188"/>
        <v>0</v>
      </c>
      <c r="K399" s="58">
        <f t="shared" si="188"/>
        <v>0</v>
      </c>
      <c r="L399" s="58">
        <f t="shared" si="188"/>
        <v>0</v>
      </c>
      <c r="M399" s="58">
        <f t="shared" si="188"/>
        <v>0</v>
      </c>
      <c r="N399" s="58">
        <f t="shared" si="188"/>
        <v>0</v>
      </c>
      <c r="O399" s="58">
        <f t="shared" si="188"/>
        <v>0</v>
      </c>
      <c r="P399" s="58">
        <f t="shared" si="188"/>
        <v>0</v>
      </c>
      <c r="Q399" s="58">
        <f t="shared" si="189"/>
        <v>0</v>
      </c>
      <c r="R399" s="58">
        <f t="shared" si="189"/>
        <v>0</v>
      </c>
      <c r="S399" s="58">
        <f t="shared" si="189"/>
        <v>0</v>
      </c>
      <c r="T399" s="58">
        <f t="shared" si="189"/>
        <v>0</v>
      </c>
      <c r="U399" s="58">
        <f t="shared" si="189"/>
        <v>0</v>
      </c>
      <c r="V399" s="58">
        <f t="shared" si="189"/>
        <v>0</v>
      </c>
      <c r="W399" s="58">
        <f t="shared" si="189"/>
        <v>0</v>
      </c>
      <c r="X399" s="42">
        <f t="shared" si="189"/>
        <v>0</v>
      </c>
      <c r="Y399" s="42">
        <f t="shared" si="189"/>
        <v>0</v>
      </c>
      <c r="Z399" s="42">
        <f t="shared" si="189"/>
        <v>0</v>
      </c>
      <c r="AA399" s="42">
        <f t="shared" si="190"/>
        <v>0</v>
      </c>
      <c r="AB399" s="37" t="str">
        <f t="shared" si="191"/>
        <v>ok</v>
      </c>
    </row>
    <row r="400" spans="1:28">
      <c r="A400" s="45" t="s">
        <v>1394</v>
      </c>
      <c r="C400" s="39" t="s">
        <v>795</v>
      </c>
      <c r="D400" s="39" t="s">
        <v>801</v>
      </c>
      <c r="E400" s="39" t="s">
        <v>1197</v>
      </c>
      <c r="F400" s="58">
        <f>VLOOKUP(C400,'Functional Assignment'!$C$2:$AP$725,'Functional Assignment'!$M$2,)</f>
        <v>0</v>
      </c>
      <c r="G400" s="58">
        <f t="shared" si="188"/>
        <v>0</v>
      </c>
      <c r="H400" s="58">
        <f t="shared" si="188"/>
        <v>0</v>
      </c>
      <c r="I400" s="58">
        <f t="shared" si="188"/>
        <v>0</v>
      </c>
      <c r="J400" s="58">
        <f t="shared" si="188"/>
        <v>0</v>
      </c>
      <c r="K400" s="58">
        <f t="shared" si="188"/>
        <v>0</v>
      </c>
      <c r="L400" s="58">
        <f t="shared" si="188"/>
        <v>0</v>
      </c>
      <c r="M400" s="58">
        <f t="shared" si="188"/>
        <v>0</v>
      </c>
      <c r="N400" s="58">
        <f t="shared" si="188"/>
        <v>0</v>
      </c>
      <c r="O400" s="58">
        <f t="shared" si="188"/>
        <v>0</v>
      </c>
      <c r="P400" s="58">
        <f t="shared" si="188"/>
        <v>0</v>
      </c>
      <c r="Q400" s="58">
        <f t="shared" si="189"/>
        <v>0</v>
      </c>
      <c r="R400" s="58">
        <f t="shared" si="189"/>
        <v>0</v>
      </c>
      <c r="S400" s="58">
        <f t="shared" si="189"/>
        <v>0</v>
      </c>
      <c r="T400" s="58">
        <f t="shared" si="189"/>
        <v>0</v>
      </c>
      <c r="U400" s="58">
        <f t="shared" si="189"/>
        <v>0</v>
      </c>
      <c r="V400" s="58">
        <f t="shared" si="189"/>
        <v>0</v>
      </c>
      <c r="W400" s="58">
        <f t="shared" si="189"/>
        <v>0</v>
      </c>
      <c r="X400" s="42">
        <f t="shared" si="189"/>
        <v>0</v>
      </c>
      <c r="Y400" s="42">
        <f t="shared" si="189"/>
        <v>0</v>
      </c>
      <c r="Z400" s="42">
        <f t="shared" si="189"/>
        <v>0</v>
      </c>
      <c r="AA400" s="42">
        <f t="shared" si="190"/>
        <v>0</v>
      </c>
      <c r="AB400" s="37" t="str">
        <f t="shared" si="191"/>
        <v>ok</v>
      </c>
    </row>
    <row r="401" spans="1:28">
      <c r="A401" s="39" t="s">
        <v>407</v>
      </c>
      <c r="D401" s="39" t="s">
        <v>802</v>
      </c>
      <c r="F401" s="57">
        <f>SUM(F395:F400)</f>
        <v>1616360.6868994287</v>
      </c>
      <c r="G401" s="57">
        <f t="shared" ref="G401:W401" si="192">SUM(G395:G400)</f>
        <v>676575.70326291991</v>
      </c>
      <c r="H401" s="57">
        <f t="shared" si="192"/>
        <v>220545.39866901282</v>
      </c>
      <c r="I401" s="57">
        <f t="shared" si="192"/>
        <v>27326.338010041374</v>
      </c>
      <c r="J401" s="57">
        <f t="shared" si="192"/>
        <v>303368.16152772954</v>
      </c>
      <c r="K401" s="57">
        <f t="shared" si="192"/>
        <v>209589.68487215691</v>
      </c>
      <c r="L401" s="57">
        <f t="shared" si="192"/>
        <v>76112.797267296381</v>
      </c>
      <c r="M401" s="57">
        <f t="shared" si="192"/>
        <v>0</v>
      </c>
      <c r="N401" s="57">
        <f t="shared" si="192"/>
        <v>0</v>
      </c>
      <c r="O401" s="57">
        <f>SUM(O395:O400)</f>
        <v>0</v>
      </c>
      <c r="P401" s="57">
        <f t="shared" si="192"/>
        <v>61242.222139535195</v>
      </c>
      <c r="Q401" s="57">
        <f t="shared" si="192"/>
        <v>29568.730397533211</v>
      </c>
      <c r="R401" s="57">
        <f t="shared" si="192"/>
        <v>6486.9798070889765</v>
      </c>
      <c r="S401" s="57">
        <f t="shared" si="192"/>
        <v>5015.9985911550266</v>
      </c>
      <c r="T401" s="57">
        <f t="shared" si="192"/>
        <v>189.52515847449305</v>
      </c>
      <c r="U401" s="57">
        <f t="shared" si="192"/>
        <v>339.14719648494236</v>
      </c>
      <c r="V401" s="57">
        <f t="shared" si="192"/>
        <v>0</v>
      </c>
      <c r="W401" s="57">
        <f t="shared" si="192"/>
        <v>0</v>
      </c>
      <c r="X401" s="41">
        <f>SUM(X395:X400)</f>
        <v>0</v>
      </c>
      <c r="Y401" s="41">
        <f>SUM(Y395:Y400)</f>
        <v>0</v>
      </c>
      <c r="Z401" s="41">
        <f>SUM(Z395:Z400)</f>
        <v>0</v>
      </c>
      <c r="AA401" s="43">
        <f t="shared" si="190"/>
        <v>1616360.686899429</v>
      </c>
      <c r="AB401" s="37" t="str">
        <f t="shared" si="191"/>
        <v>ok</v>
      </c>
    </row>
    <row r="402" spans="1:28">
      <c r="F402" s="58"/>
      <c r="G402" s="58"/>
    </row>
    <row r="403" spans="1:28">
      <c r="A403" s="44" t="s">
        <v>1237</v>
      </c>
      <c r="F403" s="58"/>
      <c r="G403" s="58"/>
    </row>
    <row r="404" spans="1:28">
      <c r="A404" s="45" t="s">
        <v>377</v>
      </c>
      <c r="C404" s="39" t="s">
        <v>795</v>
      </c>
      <c r="D404" s="39" t="s">
        <v>803</v>
      </c>
      <c r="E404" s="39" t="s">
        <v>939</v>
      </c>
      <c r="F404" s="57">
        <f>VLOOKUP(C404,'Functional Assignment'!$C$2:$AP$725,'Functional Assignment'!$N$2,)</f>
        <v>1485.9500515979623</v>
      </c>
      <c r="G404" s="57">
        <f t="shared" ref="G404:P406" si="193">IF(VLOOKUP($E404,$D$6:$AN$1197,3,)=0,0,(VLOOKUP($E404,$D$6:$AN$1197,G$2,)/VLOOKUP($E404,$D$6:$AN$1197,3,))*$F404)</f>
        <v>543.22493404786337</v>
      </c>
      <c r="H404" s="57">
        <f t="shared" si="193"/>
        <v>179.17281735518455</v>
      </c>
      <c r="I404" s="57">
        <f t="shared" si="193"/>
        <v>29.325219806603322</v>
      </c>
      <c r="J404" s="57">
        <f t="shared" si="193"/>
        <v>298.7549924099921</v>
      </c>
      <c r="K404" s="57">
        <f t="shared" si="193"/>
        <v>240.2524271690128</v>
      </c>
      <c r="L404" s="57">
        <f t="shared" si="193"/>
        <v>81.229371628393068</v>
      </c>
      <c r="M404" s="57">
        <f t="shared" si="193"/>
        <v>0</v>
      </c>
      <c r="N404" s="57">
        <f t="shared" si="193"/>
        <v>0</v>
      </c>
      <c r="O404" s="57">
        <f t="shared" si="193"/>
        <v>0</v>
      </c>
      <c r="P404" s="57">
        <f t="shared" si="193"/>
        <v>65.043312968229415</v>
      </c>
      <c r="Q404" s="57">
        <f t="shared" ref="Q404:Z406" si="194">IF(VLOOKUP($E404,$D$6:$AN$1197,3,)=0,0,(VLOOKUP($E404,$D$6:$AN$1197,Q$2,)/VLOOKUP($E404,$D$6:$AN$1197,3,))*$F404)</f>
        <v>27.303964093229055</v>
      </c>
      <c r="R404" s="57">
        <f t="shared" si="194"/>
        <v>7.3376417761386374</v>
      </c>
      <c r="S404" s="57">
        <f t="shared" si="194"/>
        <v>13.422636794012739</v>
      </c>
      <c r="T404" s="57">
        <f t="shared" si="194"/>
        <v>0.48518544223588211</v>
      </c>
      <c r="U404" s="57">
        <f t="shared" si="194"/>
        <v>0.39754810706720944</v>
      </c>
      <c r="V404" s="57">
        <f t="shared" si="194"/>
        <v>0</v>
      </c>
      <c r="W404" s="57">
        <f t="shared" si="194"/>
        <v>0</v>
      </c>
      <c r="X404" s="41">
        <f t="shared" si="194"/>
        <v>0</v>
      </c>
      <c r="Y404" s="41">
        <f t="shared" si="194"/>
        <v>0</v>
      </c>
      <c r="Z404" s="41">
        <f t="shared" si="194"/>
        <v>0</v>
      </c>
      <c r="AA404" s="43">
        <f>SUM(G404:Z404)</f>
        <v>1485.9500515979621</v>
      </c>
      <c r="AB404" s="37" t="str">
        <f>IF(ABS(F404-AA404)&lt;0.01,"ok","err")</f>
        <v>ok</v>
      </c>
    </row>
    <row r="405" spans="1:28">
      <c r="A405" s="45" t="s">
        <v>379</v>
      </c>
      <c r="C405" s="39" t="s">
        <v>795</v>
      </c>
      <c r="D405" s="39" t="s">
        <v>804</v>
      </c>
      <c r="E405" s="39" t="s">
        <v>204</v>
      </c>
      <c r="F405" s="58">
        <f>VLOOKUP(C405,'Functional Assignment'!$C$2:$AP$725,'Functional Assignment'!$O$2,)</f>
        <v>1400.7720492358492</v>
      </c>
      <c r="G405" s="58">
        <f t="shared" si="193"/>
        <v>564.8422978194692</v>
      </c>
      <c r="H405" s="58">
        <f t="shared" si="193"/>
        <v>222.9658813936602</v>
      </c>
      <c r="I405" s="58">
        <f t="shared" si="193"/>
        <v>22.706044904464449</v>
      </c>
      <c r="J405" s="58">
        <f t="shared" si="193"/>
        <v>261.48502330157334</v>
      </c>
      <c r="K405" s="58">
        <f t="shared" si="193"/>
        <v>172.02135167547294</v>
      </c>
      <c r="L405" s="58">
        <f t="shared" si="193"/>
        <v>65.70978644101767</v>
      </c>
      <c r="M405" s="58">
        <f t="shared" si="193"/>
        <v>0</v>
      </c>
      <c r="N405" s="58">
        <f t="shared" si="193"/>
        <v>0</v>
      </c>
      <c r="O405" s="58">
        <f t="shared" si="193"/>
        <v>0</v>
      </c>
      <c r="P405" s="58">
        <f t="shared" si="193"/>
        <v>60.888836312852995</v>
      </c>
      <c r="Q405" s="58">
        <f t="shared" si="194"/>
        <v>24.996996582117525</v>
      </c>
      <c r="R405" s="58">
        <f t="shared" si="194"/>
        <v>4.8377340770730024</v>
      </c>
      <c r="S405" s="58">
        <f t="shared" si="194"/>
        <v>0</v>
      </c>
      <c r="T405" s="58">
        <f t="shared" si="194"/>
        <v>9.796677741626238E-3</v>
      </c>
      <c r="U405" s="58">
        <f t="shared" si="194"/>
        <v>0.30830005040628677</v>
      </c>
      <c r="V405" s="58">
        <f t="shared" si="194"/>
        <v>0</v>
      </c>
      <c r="W405" s="58">
        <f t="shared" si="194"/>
        <v>0</v>
      </c>
      <c r="X405" s="42">
        <f t="shared" si="194"/>
        <v>0</v>
      </c>
      <c r="Y405" s="42">
        <f t="shared" si="194"/>
        <v>0</v>
      </c>
      <c r="Z405" s="42">
        <f t="shared" si="194"/>
        <v>0</v>
      </c>
      <c r="AA405" s="42">
        <f>SUM(G405:Z405)</f>
        <v>1400.7720492358496</v>
      </c>
      <c r="AB405" s="37" t="str">
        <f>IF(ABS(F405-AA405)&lt;0.01,"ok","err")</f>
        <v>ok</v>
      </c>
    </row>
    <row r="406" spans="1:28">
      <c r="A406" s="45" t="s">
        <v>378</v>
      </c>
      <c r="C406" s="39" t="s">
        <v>795</v>
      </c>
      <c r="D406" s="39" t="s">
        <v>805</v>
      </c>
      <c r="E406" s="39" t="s">
        <v>207</v>
      </c>
      <c r="F406" s="58">
        <f>VLOOKUP(C406,'Functional Assignment'!$C$2:$AP$725,'Functional Assignment'!$P$2,)</f>
        <v>1438.6025646534069</v>
      </c>
      <c r="G406" s="58">
        <f t="shared" si="193"/>
        <v>702.42568664458111</v>
      </c>
      <c r="H406" s="58">
        <f t="shared" si="193"/>
        <v>188.03307445399321</v>
      </c>
      <c r="I406" s="58">
        <f t="shared" si="193"/>
        <v>21.093060057681736</v>
      </c>
      <c r="J406" s="58">
        <f t="shared" si="193"/>
        <v>251.56257415248953</v>
      </c>
      <c r="K406" s="58">
        <f t="shared" si="193"/>
        <v>148.58088741704248</v>
      </c>
      <c r="L406" s="58">
        <f t="shared" si="193"/>
        <v>56.736025352041203</v>
      </c>
      <c r="M406" s="58">
        <f t="shared" si="193"/>
        <v>0</v>
      </c>
      <c r="N406" s="58">
        <f t="shared" si="193"/>
        <v>0</v>
      </c>
      <c r="O406" s="58">
        <f t="shared" si="193"/>
        <v>0</v>
      </c>
      <c r="P406" s="58">
        <f t="shared" si="193"/>
        <v>37.949895200899462</v>
      </c>
      <c r="Q406" s="58">
        <f t="shared" si="194"/>
        <v>26.823927694046034</v>
      </c>
      <c r="R406" s="58">
        <f t="shared" si="194"/>
        <v>5.1835552266713218</v>
      </c>
      <c r="S406" s="58">
        <f t="shared" si="194"/>
        <v>0</v>
      </c>
      <c r="T406" s="58">
        <f t="shared" si="194"/>
        <v>1.2180575406151885E-2</v>
      </c>
      <c r="U406" s="58">
        <f t="shared" si="194"/>
        <v>0.20169787855455909</v>
      </c>
      <c r="V406" s="58">
        <f t="shared" si="194"/>
        <v>0</v>
      </c>
      <c r="W406" s="58">
        <f t="shared" si="194"/>
        <v>0</v>
      </c>
      <c r="X406" s="42">
        <f t="shared" si="194"/>
        <v>0</v>
      </c>
      <c r="Y406" s="42">
        <f t="shared" si="194"/>
        <v>0</v>
      </c>
      <c r="Z406" s="42">
        <f t="shared" si="194"/>
        <v>0</v>
      </c>
      <c r="AA406" s="42">
        <f>SUM(G406:Z406)</f>
        <v>1438.6025646534067</v>
      </c>
      <c r="AB406" s="37" t="str">
        <f>IF(ABS(F406-AA406)&lt;0.01,"ok","err")</f>
        <v>ok</v>
      </c>
    </row>
    <row r="407" spans="1:28">
      <c r="A407" s="39" t="s">
        <v>1239</v>
      </c>
      <c r="D407" s="39" t="s">
        <v>806</v>
      </c>
      <c r="F407" s="57">
        <f>SUM(F404:F406)</f>
        <v>4325.3246654872182</v>
      </c>
      <c r="G407" s="57">
        <f t="shared" ref="G407:W407" si="195">SUM(G404:G406)</f>
        <v>1810.4929185119136</v>
      </c>
      <c r="H407" s="57">
        <f t="shared" si="195"/>
        <v>590.17177320283793</v>
      </c>
      <c r="I407" s="57">
        <f t="shared" si="195"/>
        <v>73.124324768749503</v>
      </c>
      <c r="J407" s="57">
        <f t="shared" si="195"/>
        <v>811.80258986405499</v>
      </c>
      <c r="K407" s="57">
        <f t="shared" si="195"/>
        <v>560.85466626152822</v>
      </c>
      <c r="L407" s="57">
        <f t="shared" si="195"/>
        <v>203.67518342145192</v>
      </c>
      <c r="M407" s="57">
        <f t="shared" si="195"/>
        <v>0</v>
      </c>
      <c r="N407" s="57">
        <f t="shared" si="195"/>
        <v>0</v>
      </c>
      <c r="O407" s="57">
        <f>SUM(O404:O406)</f>
        <v>0</v>
      </c>
      <c r="P407" s="57">
        <f t="shared" si="195"/>
        <v>163.88204448198189</v>
      </c>
      <c r="Q407" s="57">
        <f t="shared" si="195"/>
        <v>79.124888369392608</v>
      </c>
      <c r="R407" s="57">
        <f t="shared" si="195"/>
        <v>17.358931079882964</v>
      </c>
      <c r="S407" s="57">
        <f t="shared" si="195"/>
        <v>13.422636794012739</v>
      </c>
      <c r="T407" s="57">
        <f t="shared" si="195"/>
        <v>0.50716269538366021</v>
      </c>
      <c r="U407" s="57">
        <f t="shared" si="195"/>
        <v>0.90754603602805539</v>
      </c>
      <c r="V407" s="57">
        <f t="shared" si="195"/>
        <v>0</v>
      </c>
      <c r="W407" s="57">
        <f t="shared" si="195"/>
        <v>0</v>
      </c>
      <c r="X407" s="41">
        <f>SUM(X404:X406)</f>
        <v>0</v>
      </c>
      <c r="Y407" s="41">
        <f>SUM(Y404:Y406)</f>
        <v>0</v>
      </c>
      <c r="Z407" s="41">
        <f>SUM(Z404:Z406)</f>
        <v>0</v>
      </c>
      <c r="AA407" s="43">
        <f>SUM(G407:Z407)</f>
        <v>4325.3246654872182</v>
      </c>
      <c r="AB407" s="37" t="str">
        <f>IF(ABS(F407-AA407)&lt;0.01,"ok","err")</f>
        <v>ok</v>
      </c>
    </row>
    <row r="408" spans="1:28">
      <c r="F408" s="58"/>
      <c r="G408" s="58"/>
    </row>
    <row r="409" spans="1:28">
      <c r="A409" s="44" t="s">
        <v>365</v>
      </c>
      <c r="F409" s="58"/>
      <c r="G409" s="58"/>
    </row>
    <row r="410" spans="1:28">
      <c r="A410" s="45" t="s">
        <v>392</v>
      </c>
      <c r="C410" s="39" t="s">
        <v>795</v>
      </c>
      <c r="D410" s="39" t="s">
        <v>807</v>
      </c>
      <c r="E410" s="39" t="s">
        <v>1472</v>
      </c>
      <c r="F410" s="57">
        <f>VLOOKUP(C410,'Functional Assignment'!$C$2:$AP$725,'Functional Assignment'!$Q$2,)</f>
        <v>0</v>
      </c>
      <c r="G410" s="57">
        <f t="shared" ref="G410:Z410" si="196">IF(VLOOKUP($E410,$D$6:$AN$1197,3,)=0,0,(VLOOKUP($E410,$D$6:$AN$1197,G$2,)/VLOOKUP($E410,$D$6:$AN$1197,3,))*$F410)</f>
        <v>0</v>
      </c>
      <c r="H410" s="57">
        <f t="shared" si="196"/>
        <v>0</v>
      </c>
      <c r="I410" s="57">
        <f t="shared" si="196"/>
        <v>0</v>
      </c>
      <c r="J410" s="57">
        <f t="shared" si="196"/>
        <v>0</v>
      </c>
      <c r="K410" s="57">
        <f t="shared" si="196"/>
        <v>0</v>
      </c>
      <c r="L410" s="57">
        <f t="shared" si="196"/>
        <v>0</v>
      </c>
      <c r="M410" s="57">
        <f t="shared" si="196"/>
        <v>0</v>
      </c>
      <c r="N410" s="57">
        <f t="shared" si="196"/>
        <v>0</v>
      </c>
      <c r="O410" s="57">
        <f t="shared" si="196"/>
        <v>0</v>
      </c>
      <c r="P410" s="57">
        <f t="shared" si="196"/>
        <v>0</v>
      </c>
      <c r="Q410" s="57">
        <f t="shared" si="196"/>
        <v>0</v>
      </c>
      <c r="R410" s="57">
        <f t="shared" si="196"/>
        <v>0</v>
      </c>
      <c r="S410" s="57">
        <f t="shared" si="196"/>
        <v>0</v>
      </c>
      <c r="T410" s="57">
        <f t="shared" si="196"/>
        <v>0</v>
      </c>
      <c r="U410" s="57">
        <f t="shared" si="196"/>
        <v>0</v>
      </c>
      <c r="V410" s="57">
        <f t="shared" si="196"/>
        <v>0</v>
      </c>
      <c r="W410" s="57">
        <f t="shared" si="196"/>
        <v>0</v>
      </c>
      <c r="X410" s="41">
        <f t="shared" si="196"/>
        <v>0</v>
      </c>
      <c r="Y410" s="41">
        <f t="shared" si="196"/>
        <v>0</v>
      </c>
      <c r="Z410" s="41">
        <f t="shared" si="196"/>
        <v>0</v>
      </c>
      <c r="AA410" s="43">
        <f>SUM(G410:Z410)</f>
        <v>0</v>
      </c>
      <c r="AB410" s="37" t="str">
        <f>IF(ABS(F410-AA410)&lt;0.01,"ok","err")</f>
        <v>ok</v>
      </c>
    </row>
    <row r="411" spans="1:28">
      <c r="F411" s="58"/>
    </row>
    <row r="412" spans="1:28">
      <c r="A412" s="44" t="s">
        <v>366</v>
      </c>
      <c r="F412" s="58"/>
      <c r="G412" s="58"/>
    </row>
    <row r="413" spans="1:28">
      <c r="A413" s="45" t="s">
        <v>394</v>
      </c>
      <c r="C413" s="39" t="s">
        <v>795</v>
      </c>
      <c r="D413" s="39" t="s">
        <v>808</v>
      </c>
      <c r="E413" s="39" t="s">
        <v>1471</v>
      </c>
      <c r="F413" s="57">
        <f>VLOOKUP(C413,'Functional Assignment'!$C$2:$AP$725,'Functional Assignment'!$R$2,)</f>
        <v>3388.9942069798444</v>
      </c>
      <c r="G413" s="57">
        <f t="shared" ref="G413:Z413" si="197">IF(VLOOKUP($E413,$D$6:$AN$1197,3,)=0,0,(VLOOKUP($E413,$D$6:$AN$1197,G$2,)/VLOOKUP($E413,$D$6:$AN$1197,3,))*$F413)</f>
        <v>1625.884300256256</v>
      </c>
      <c r="H413" s="57">
        <f t="shared" si="197"/>
        <v>461.26573948753366</v>
      </c>
      <c r="I413" s="57">
        <f t="shared" si="197"/>
        <v>48.07091009942058</v>
      </c>
      <c r="J413" s="57">
        <f t="shared" si="197"/>
        <v>562.38574236458271</v>
      </c>
      <c r="K413" s="57">
        <f t="shared" si="197"/>
        <v>450.0418796880615</v>
      </c>
      <c r="L413" s="57">
        <f t="shared" si="197"/>
        <v>134.83759188835151</v>
      </c>
      <c r="M413" s="57">
        <f t="shared" si="197"/>
        <v>0</v>
      </c>
      <c r="N413" s="57">
        <f t="shared" si="197"/>
        <v>0</v>
      </c>
      <c r="O413" s="57">
        <f t="shared" si="197"/>
        <v>0</v>
      </c>
      <c r="P413" s="57">
        <f t="shared" si="197"/>
        <v>0</v>
      </c>
      <c r="Q413" s="57">
        <f t="shared" si="197"/>
        <v>63.040279088699627</v>
      </c>
      <c r="R413" s="57">
        <f t="shared" si="197"/>
        <v>14.233527679637193</v>
      </c>
      <c r="S413" s="57">
        <f t="shared" si="197"/>
        <v>27.821476828689974</v>
      </c>
      <c r="T413" s="57">
        <f t="shared" si="197"/>
        <v>1.0012843527186861</v>
      </c>
      <c r="U413" s="57">
        <f t="shared" si="197"/>
        <v>0.41147524589295403</v>
      </c>
      <c r="V413" s="57">
        <f t="shared" si="197"/>
        <v>0</v>
      </c>
      <c r="W413" s="57">
        <f t="shared" si="197"/>
        <v>0</v>
      </c>
      <c r="X413" s="41">
        <f t="shared" si="197"/>
        <v>0</v>
      </c>
      <c r="Y413" s="41">
        <f t="shared" si="197"/>
        <v>0</v>
      </c>
      <c r="Z413" s="41">
        <f t="shared" si="197"/>
        <v>0</v>
      </c>
      <c r="AA413" s="43">
        <f>SUM(G413:Z413)</f>
        <v>3388.994206979844</v>
      </c>
      <c r="AB413" s="37" t="str">
        <f>IF(ABS(F413-AA413)&lt;0.01,"ok","err")</f>
        <v>ok</v>
      </c>
    </row>
    <row r="414" spans="1:28">
      <c r="F414" s="58"/>
    </row>
    <row r="415" spans="1:28">
      <c r="A415" s="44" t="s">
        <v>393</v>
      </c>
      <c r="F415" s="58"/>
    </row>
    <row r="416" spans="1:28">
      <c r="A416" s="45" t="s">
        <v>644</v>
      </c>
      <c r="C416" s="39" t="s">
        <v>795</v>
      </c>
      <c r="D416" s="39" t="s">
        <v>809</v>
      </c>
      <c r="E416" s="39" t="s">
        <v>1472</v>
      </c>
      <c r="F416" s="57">
        <f>VLOOKUP(C416,'Functional Assignment'!$C$2:$AP$725,'Functional Assignment'!$S$2,)</f>
        <v>0</v>
      </c>
      <c r="G416" s="57">
        <f t="shared" ref="G416:P420" si="198">IF(VLOOKUP($E416,$D$6:$AN$1197,3,)=0,0,(VLOOKUP($E416,$D$6:$AN$1197,G$2,)/VLOOKUP($E416,$D$6:$AN$1197,3,))*$F416)</f>
        <v>0</v>
      </c>
      <c r="H416" s="57">
        <f t="shared" si="198"/>
        <v>0</v>
      </c>
      <c r="I416" s="57">
        <f t="shared" si="198"/>
        <v>0</v>
      </c>
      <c r="J416" s="57">
        <f t="shared" si="198"/>
        <v>0</v>
      </c>
      <c r="K416" s="57">
        <f t="shared" si="198"/>
        <v>0</v>
      </c>
      <c r="L416" s="57">
        <f t="shared" si="198"/>
        <v>0</v>
      </c>
      <c r="M416" s="57">
        <f t="shared" si="198"/>
        <v>0</v>
      </c>
      <c r="N416" s="57">
        <f t="shared" si="198"/>
        <v>0</v>
      </c>
      <c r="O416" s="57">
        <f t="shared" si="198"/>
        <v>0</v>
      </c>
      <c r="P416" s="57">
        <f t="shared" si="198"/>
        <v>0</v>
      </c>
      <c r="Q416" s="57">
        <f t="shared" ref="Q416:Z420" si="199">IF(VLOOKUP($E416,$D$6:$AN$1197,3,)=0,0,(VLOOKUP($E416,$D$6:$AN$1197,Q$2,)/VLOOKUP($E416,$D$6:$AN$1197,3,))*$F416)</f>
        <v>0</v>
      </c>
      <c r="R416" s="57">
        <f t="shared" si="199"/>
        <v>0</v>
      </c>
      <c r="S416" s="57">
        <f t="shared" si="199"/>
        <v>0</v>
      </c>
      <c r="T416" s="57">
        <f t="shared" si="199"/>
        <v>0</v>
      </c>
      <c r="U416" s="57">
        <f t="shared" si="199"/>
        <v>0</v>
      </c>
      <c r="V416" s="57">
        <f t="shared" si="199"/>
        <v>0</v>
      </c>
      <c r="W416" s="57">
        <f t="shared" si="199"/>
        <v>0</v>
      </c>
      <c r="X416" s="41">
        <f t="shared" si="199"/>
        <v>0</v>
      </c>
      <c r="Y416" s="41">
        <f t="shared" si="199"/>
        <v>0</v>
      </c>
      <c r="Z416" s="41">
        <f t="shared" si="199"/>
        <v>0</v>
      </c>
      <c r="AA416" s="43">
        <f t="shared" ref="AA416:AA421" si="200">SUM(G416:Z416)</f>
        <v>0</v>
      </c>
      <c r="AB416" s="37" t="str">
        <f t="shared" ref="AB416:AB421" si="201">IF(ABS(F416-AA416)&lt;0.01,"ok","err")</f>
        <v>ok</v>
      </c>
    </row>
    <row r="417" spans="1:28">
      <c r="A417" s="45" t="s">
        <v>645</v>
      </c>
      <c r="C417" s="39" t="s">
        <v>795</v>
      </c>
      <c r="D417" s="39" t="s">
        <v>810</v>
      </c>
      <c r="E417" s="39" t="s">
        <v>1472</v>
      </c>
      <c r="F417" s="58">
        <f>VLOOKUP(C417,'Functional Assignment'!$C$2:$AP$725,'Functional Assignment'!$T$2,)</f>
        <v>5218.3572368621826</v>
      </c>
      <c r="G417" s="58">
        <f t="shared" si="198"/>
        <v>2503.5289488157273</v>
      </c>
      <c r="H417" s="58">
        <f t="shared" si="198"/>
        <v>710.25480209257648</v>
      </c>
      <c r="I417" s="58">
        <f t="shared" si="198"/>
        <v>74.019359809827691</v>
      </c>
      <c r="J417" s="58">
        <f t="shared" si="198"/>
        <v>865.95890383408528</v>
      </c>
      <c r="K417" s="58">
        <f t="shared" si="198"/>
        <v>692.97235590560058</v>
      </c>
      <c r="L417" s="58">
        <f t="shared" si="198"/>
        <v>207.62228568655485</v>
      </c>
      <c r="M417" s="58">
        <f t="shared" si="198"/>
        <v>0</v>
      </c>
      <c r="N417" s="58">
        <f t="shared" si="198"/>
        <v>0</v>
      </c>
      <c r="O417" s="58">
        <f t="shared" si="198"/>
        <v>0</v>
      </c>
      <c r="P417" s="58">
        <f t="shared" si="198"/>
        <v>0</v>
      </c>
      <c r="Q417" s="58">
        <f t="shared" si="199"/>
        <v>97.069123316528547</v>
      </c>
      <c r="R417" s="58">
        <f t="shared" si="199"/>
        <v>21.916718541488699</v>
      </c>
      <c r="S417" s="58">
        <f t="shared" si="199"/>
        <v>42.839378317665947</v>
      </c>
      <c r="T417" s="58">
        <f t="shared" si="199"/>
        <v>1.5417729063700039</v>
      </c>
      <c r="U417" s="58">
        <f t="shared" si="199"/>
        <v>0.63358763575718124</v>
      </c>
      <c r="V417" s="58">
        <f t="shared" si="199"/>
        <v>0</v>
      </c>
      <c r="W417" s="58">
        <f t="shared" si="199"/>
        <v>0</v>
      </c>
      <c r="X417" s="42">
        <f t="shared" si="199"/>
        <v>0</v>
      </c>
      <c r="Y417" s="42">
        <f t="shared" si="199"/>
        <v>0</v>
      </c>
      <c r="Z417" s="42">
        <f t="shared" si="199"/>
        <v>0</v>
      </c>
      <c r="AA417" s="42">
        <f t="shared" si="200"/>
        <v>5218.3572368621844</v>
      </c>
      <c r="AB417" s="37" t="str">
        <f t="shared" si="201"/>
        <v>ok</v>
      </c>
    </row>
    <row r="418" spans="1:28">
      <c r="A418" s="45" t="s">
        <v>646</v>
      </c>
      <c r="C418" s="39" t="s">
        <v>795</v>
      </c>
      <c r="D418" s="39" t="s">
        <v>811</v>
      </c>
      <c r="E418" s="39" t="s">
        <v>733</v>
      </c>
      <c r="F418" s="58">
        <f>VLOOKUP(C418,'Functional Assignment'!$C$2:$AP$725,'Functional Assignment'!$U$2,)</f>
        <v>8542.905560607458</v>
      </c>
      <c r="G418" s="58">
        <f t="shared" si="198"/>
        <v>7354.3399736390938</v>
      </c>
      <c r="H418" s="58">
        <f t="shared" si="198"/>
        <v>915.29303284377647</v>
      </c>
      <c r="I418" s="58">
        <f t="shared" si="198"/>
        <v>1.797511847690056</v>
      </c>
      <c r="J418" s="58">
        <f t="shared" si="198"/>
        <v>61.538346785624263</v>
      </c>
      <c r="K418" s="58">
        <f t="shared" si="198"/>
        <v>1.9455422351468841</v>
      </c>
      <c r="L418" s="58">
        <f t="shared" si="198"/>
        <v>3.4258461097151653</v>
      </c>
      <c r="M418" s="58">
        <f t="shared" si="198"/>
        <v>0</v>
      </c>
      <c r="N418" s="58">
        <f t="shared" si="198"/>
        <v>0</v>
      </c>
      <c r="O418" s="58">
        <f t="shared" si="198"/>
        <v>0</v>
      </c>
      <c r="P418" s="58">
        <f t="shared" si="198"/>
        <v>0</v>
      </c>
      <c r="Q418" s="58">
        <f t="shared" si="199"/>
        <v>2.1147198208118303E-2</v>
      </c>
      <c r="R418" s="58">
        <f t="shared" si="199"/>
        <v>4.2294396416236606E-2</v>
      </c>
      <c r="S418" s="58">
        <f t="shared" si="199"/>
        <v>201.98957840466281</v>
      </c>
      <c r="T418" s="58">
        <f t="shared" si="199"/>
        <v>0.35950236953801118</v>
      </c>
      <c r="U418" s="58">
        <f t="shared" si="199"/>
        <v>2.1527847775864433</v>
      </c>
      <c r="V418" s="58">
        <f t="shared" si="199"/>
        <v>0</v>
      </c>
      <c r="W418" s="58">
        <f t="shared" si="199"/>
        <v>0</v>
      </c>
      <c r="X418" s="42">
        <f t="shared" si="199"/>
        <v>0</v>
      </c>
      <c r="Y418" s="42">
        <f t="shared" si="199"/>
        <v>0</v>
      </c>
      <c r="Z418" s="42">
        <f t="shared" si="199"/>
        <v>0</v>
      </c>
      <c r="AA418" s="42">
        <f t="shared" si="200"/>
        <v>8542.905560607458</v>
      </c>
      <c r="AB418" s="37" t="str">
        <f t="shared" si="201"/>
        <v>ok</v>
      </c>
    </row>
    <row r="419" spans="1:28">
      <c r="A419" s="45" t="s">
        <v>647</v>
      </c>
      <c r="C419" s="39" t="s">
        <v>795</v>
      </c>
      <c r="D419" s="39" t="s">
        <v>812</v>
      </c>
      <c r="E419" s="39" t="s">
        <v>711</v>
      </c>
      <c r="F419" s="58">
        <f>VLOOKUP(C419,'Functional Assignment'!$C$2:$AP$725,'Functional Assignment'!$V$2,)</f>
        <v>1739.4524122873938</v>
      </c>
      <c r="G419" s="58">
        <f t="shared" si="198"/>
        <v>1203.8758359503756</v>
      </c>
      <c r="H419" s="58">
        <f t="shared" si="198"/>
        <v>232.05357176789582</v>
      </c>
      <c r="I419" s="58">
        <f t="shared" si="198"/>
        <v>0</v>
      </c>
      <c r="J419" s="58">
        <f t="shared" si="198"/>
        <v>231.34629355200136</v>
      </c>
      <c r="K419" s="58">
        <f t="shared" si="198"/>
        <v>0</v>
      </c>
      <c r="L419" s="58">
        <f t="shared" si="198"/>
        <v>62.077777702625376</v>
      </c>
      <c r="M419" s="58">
        <f t="shared" si="198"/>
        <v>0</v>
      </c>
      <c r="N419" s="58">
        <f t="shared" si="198"/>
        <v>0</v>
      </c>
      <c r="O419" s="58">
        <f t="shared" si="198"/>
        <v>0</v>
      </c>
      <c r="P419" s="58">
        <f t="shared" si="198"/>
        <v>0</v>
      </c>
      <c r="Q419" s="58">
        <f t="shared" si="199"/>
        <v>0</v>
      </c>
      <c r="R419" s="58">
        <f t="shared" si="199"/>
        <v>0</v>
      </c>
      <c r="S419" s="58">
        <f t="shared" si="199"/>
        <v>9.6002861208078833</v>
      </c>
      <c r="T419" s="58">
        <f t="shared" si="199"/>
        <v>0.35666047901688425</v>
      </c>
      <c r="U419" s="58">
        <f t="shared" si="199"/>
        <v>0.1419867146710394</v>
      </c>
      <c r="V419" s="58">
        <f t="shared" si="199"/>
        <v>0</v>
      </c>
      <c r="W419" s="58">
        <f t="shared" si="199"/>
        <v>0</v>
      </c>
      <c r="X419" s="42">
        <f t="shared" si="199"/>
        <v>0</v>
      </c>
      <c r="Y419" s="42">
        <f t="shared" si="199"/>
        <v>0</v>
      </c>
      <c r="Z419" s="42">
        <f t="shared" si="199"/>
        <v>0</v>
      </c>
      <c r="AA419" s="42">
        <f t="shared" si="200"/>
        <v>1739.4524122873938</v>
      </c>
      <c r="AB419" s="37" t="str">
        <f t="shared" si="201"/>
        <v>ok</v>
      </c>
    </row>
    <row r="420" spans="1:28">
      <c r="A420" s="45" t="s">
        <v>648</v>
      </c>
      <c r="C420" s="39" t="s">
        <v>795</v>
      </c>
      <c r="D420" s="39" t="s">
        <v>813</v>
      </c>
      <c r="E420" s="39" t="s">
        <v>732</v>
      </c>
      <c r="F420" s="58">
        <f>VLOOKUP(C420,'Functional Assignment'!$C$2:$AP$725,'Functional Assignment'!$W$2,)</f>
        <v>2847.6351868691527</v>
      </c>
      <c r="G420" s="58">
        <f t="shared" si="198"/>
        <v>2452.5394454250577</v>
      </c>
      <c r="H420" s="58">
        <f t="shared" si="198"/>
        <v>305.23368177407229</v>
      </c>
      <c r="I420" s="58">
        <f t="shared" si="198"/>
        <v>0</v>
      </c>
      <c r="J420" s="58">
        <f t="shared" si="198"/>
        <v>20.521926296440792</v>
      </c>
      <c r="K420" s="58">
        <f t="shared" si="198"/>
        <v>0</v>
      </c>
      <c r="L420" s="58">
        <f t="shared" si="198"/>
        <v>1.1424577525853636</v>
      </c>
      <c r="M420" s="58">
        <f t="shared" si="198"/>
        <v>0</v>
      </c>
      <c r="N420" s="58">
        <f t="shared" si="198"/>
        <v>0</v>
      </c>
      <c r="O420" s="58">
        <f t="shared" si="198"/>
        <v>0</v>
      </c>
      <c r="P420" s="58">
        <f t="shared" si="198"/>
        <v>0</v>
      </c>
      <c r="Q420" s="58">
        <f t="shared" si="199"/>
        <v>0</v>
      </c>
      <c r="R420" s="58">
        <f t="shared" si="199"/>
        <v>0</v>
      </c>
      <c r="S420" s="58">
        <f t="shared" si="199"/>
        <v>67.359873269100987</v>
      </c>
      <c r="T420" s="58">
        <f t="shared" si="199"/>
        <v>0.11988754193797027</v>
      </c>
      <c r="U420" s="58">
        <f t="shared" si="199"/>
        <v>0.71791480995796308</v>
      </c>
      <c r="V420" s="58">
        <f t="shared" si="199"/>
        <v>0</v>
      </c>
      <c r="W420" s="58">
        <f t="shared" si="199"/>
        <v>0</v>
      </c>
      <c r="X420" s="42">
        <f t="shared" si="199"/>
        <v>0</v>
      </c>
      <c r="Y420" s="42">
        <f t="shared" si="199"/>
        <v>0</v>
      </c>
      <c r="Z420" s="42">
        <f t="shared" si="199"/>
        <v>0</v>
      </c>
      <c r="AA420" s="42">
        <f t="shared" si="200"/>
        <v>2847.6351868691536</v>
      </c>
      <c r="AB420" s="37" t="str">
        <f t="shared" si="201"/>
        <v>ok</v>
      </c>
    </row>
    <row r="421" spans="1:28">
      <c r="A421" s="39" t="s">
        <v>398</v>
      </c>
      <c r="D421" s="39" t="s">
        <v>814</v>
      </c>
      <c r="F421" s="57">
        <f>SUM(F416:F420)</f>
        <v>18348.350396626185</v>
      </c>
      <c r="G421" s="57">
        <f t="shared" ref="G421:W421" si="202">SUM(G416:G420)</f>
        <v>13514.284203830255</v>
      </c>
      <c r="H421" s="57">
        <f t="shared" si="202"/>
        <v>2162.8350884783213</v>
      </c>
      <c r="I421" s="57">
        <f t="shared" si="202"/>
        <v>75.816871657517751</v>
      </c>
      <c r="J421" s="57">
        <f t="shared" si="202"/>
        <v>1179.3654704681517</v>
      </c>
      <c r="K421" s="57">
        <f t="shared" si="202"/>
        <v>694.91789814074741</v>
      </c>
      <c r="L421" s="57">
        <f t="shared" si="202"/>
        <v>274.26836725148075</v>
      </c>
      <c r="M421" s="57">
        <f t="shared" si="202"/>
        <v>0</v>
      </c>
      <c r="N421" s="57">
        <f t="shared" si="202"/>
        <v>0</v>
      </c>
      <c r="O421" s="57">
        <f>SUM(O416:O420)</f>
        <v>0</v>
      </c>
      <c r="P421" s="57">
        <f t="shared" si="202"/>
        <v>0</v>
      </c>
      <c r="Q421" s="57">
        <f t="shared" si="202"/>
        <v>97.090270514736659</v>
      </c>
      <c r="R421" s="57">
        <f t="shared" si="202"/>
        <v>21.959012937904934</v>
      </c>
      <c r="S421" s="57">
        <f t="shared" si="202"/>
        <v>321.78911611223765</v>
      </c>
      <c r="T421" s="57">
        <f t="shared" si="202"/>
        <v>2.3778232968628696</v>
      </c>
      <c r="U421" s="57">
        <f t="shared" si="202"/>
        <v>3.6462739379726266</v>
      </c>
      <c r="V421" s="57">
        <f t="shared" si="202"/>
        <v>0</v>
      </c>
      <c r="W421" s="57">
        <f t="shared" si="202"/>
        <v>0</v>
      </c>
      <c r="X421" s="41">
        <f>SUM(X416:X420)</f>
        <v>0</v>
      </c>
      <c r="Y421" s="41">
        <f>SUM(Y416:Y420)</f>
        <v>0</v>
      </c>
      <c r="Z421" s="41">
        <f>SUM(Z416:Z420)</f>
        <v>0</v>
      </c>
      <c r="AA421" s="43">
        <f t="shared" si="200"/>
        <v>18348.350396626189</v>
      </c>
      <c r="AB421" s="37" t="str">
        <f t="shared" si="201"/>
        <v>ok</v>
      </c>
    </row>
    <row r="422" spans="1:28">
      <c r="F422" s="58"/>
    </row>
    <row r="423" spans="1:28">
      <c r="A423" s="44" t="s">
        <v>666</v>
      </c>
      <c r="F423" s="58"/>
    </row>
    <row r="424" spans="1:28">
      <c r="A424" s="45" t="s">
        <v>1196</v>
      </c>
      <c r="C424" s="39" t="s">
        <v>795</v>
      </c>
      <c r="D424" s="39" t="s">
        <v>815</v>
      </c>
      <c r="E424" s="39" t="s">
        <v>711</v>
      </c>
      <c r="F424" s="57">
        <f>VLOOKUP(C424,'Functional Assignment'!$C$2:$AP$725,'Functional Assignment'!$X$2,)</f>
        <v>2436.3703414245533</v>
      </c>
      <c r="G424" s="57">
        <f t="shared" ref="G424:P425" si="203">IF(VLOOKUP($E424,$D$6:$AN$1197,3,)=0,0,(VLOOKUP($E424,$D$6:$AN$1197,G$2,)/VLOOKUP($E424,$D$6:$AN$1197,3,))*$F424)</f>
        <v>1686.2130638056105</v>
      </c>
      <c r="H424" s="57">
        <f t="shared" si="203"/>
        <v>325.02667844386235</v>
      </c>
      <c r="I424" s="57">
        <f t="shared" si="203"/>
        <v>0</v>
      </c>
      <c r="J424" s="57">
        <f t="shared" si="203"/>
        <v>324.03602664093381</v>
      </c>
      <c r="K424" s="57">
        <f t="shared" si="203"/>
        <v>0</v>
      </c>
      <c r="L424" s="57">
        <f t="shared" si="203"/>
        <v>86.949464893572596</v>
      </c>
      <c r="M424" s="57">
        <f t="shared" si="203"/>
        <v>0</v>
      </c>
      <c r="N424" s="57">
        <f t="shared" si="203"/>
        <v>0</v>
      </c>
      <c r="O424" s="57">
        <f t="shared" si="203"/>
        <v>0</v>
      </c>
      <c r="P424" s="57">
        <f t="shared" si="203"/>
        <v>0</v>
      </c>
      <c r="Q424" s="57">
        <f t="shared" ref="Q424:Z425" si="204">IF(VLOOKUP($E424,$D$6:$AN$1197,3,)=0,0,(VLOOKUP($E424,$D$6:$AN$1197,Q$2,)/VLOOKUP($E424,$D$6:$AN$1197,3,))*$F424)</f>
        <v>0</v>
      </c>
      <c r="R424" s="57">
        <f t="shared" si="204"/>
        <v>0</v>
      </c>
      <c r="S424" s="57">
        <f t="shared" si="204"/>
        <v>13.446675636942697</v>
      </c>
      <c r="T424" s="57">
        <f t="shared" si="204"/>
        <v>0.49955779583088772</v>
      </c>
      <c r="U424" s="57">
        <f t="shared" si="204"/>
        <v>0.19887420780079132</v>
      </c>
      <c r="V424" s="57">
        <f t="shared" si="204"/>
        <v>0</v>
      </c>
      <c r="W424" s="57">
        <f t="shared" si="204"/>
        <v>0</v>
      </c>
      <c r="X424" s="41">
        <f t="shared" si="204"/>
        <v>0</v>
      </c>
      <c r="Y424" s="41">
        <f t="shared" si="204"/>
        <v>0</v>
      </c>
      <c r="Z424" s="41">
        <f t="shared" si="204"/>
        <v>0</v>
      </c>
      <c r="AA424" s="43">
        <f>SUM(G424:Z424)</f>
        <v>2436.3703414245529</v>
      </c>
      <c r="AB424" s="37" t="str">
        <f>IF(ABS(F424-AA424)&lt;0.01,"ok","err")</f>
        <v>ok</v>
      </c>
    </row>
    <row r="425" spans="1:28">
      <c r="A425" s="45" t="s">
        <v>1199</v>
      </c>
      <c r="C425" s="39" t="s">
        <v>795</v>
      </c>
      <c r="D425" s="39" t="s">
        <v>857</v>
      </c>
      <c r="E425" s="39" t="s">
        <v>732</v>
      </c>
      <c r="F425" s="58">
        <f>VLOOKUP(C425,'Functional Assignment'!$C$2:$AP$725,'Functional Assignment'!$Y$2,)</f>
        <v>1937.7236288170145</v>
      </c>
      <c r="G425" s="58">
        <f t="shared" si="203"/>
        <v>1668.8737573968874</v>
      </c>
      <c r="H425" s="58">
        <f t="shared" si="203"/>
        <v>207.70164668976273</v>
      </c>
      <c r="I425" s="58">
        <f t="shared" si="203"/>
        <v>0</v>
      </c>
      <c r="J425" s="58">
        <f t="shared" si="203"/>
        <v>13.964506997532681</v>
      </c>
      <c r="K425" s="58">
        <f t="shared" si="203"/>
        <v>0</v>
      </c>
      <c r="L425" s="58">
        <f t="shared" si="203"/>
        <v>0.77740554419254093</v>
      </c>
      <c r="M425" s="58">
        <f t="shared" si="203"/>
        <v>0</v>
      </c>
      <c r="N425" s="58">
        <f t="shared" si="203"/>
        <v>0</v>
      </c>
      <c r="O425" s="58">
        <f t="shared" si="203"/>
        <v>0</v>
      </c>
      <c r="P425" s="58">
        <f t="shared" si="203"/>
        <v>0</v>
      </c>
      <c r="Q425" s="58">
        <f t="shared" si="204"/>
        <v>0</v>
      </c>
      <c r="R425" s="58">
        <f t="shared" si="204"/>
        <v>0</v>
      </c>
      <c r="S425" s="58">
        <f t="shared" si="204"/>
        <v>45.836214789564657</v>
      </c>
      <c r="T425" s="58">
        <f t="shared" si="204"/>
        <v>8.1579594143661713E-2</v>
      </c>
      <c r="U425" s="58">
        <f t="shared" si="204"/>
        <v>0.48851780493086833</v>
      </c>
      <c r="V425" s="58">
        <f t="shared" si="204"/>
        <v>0</v>
      </c>
      <c r="W425" s="58">
        <f t="shared" si="204"/>
        <v>0</v>
      </c>
      <c r="X425" s="42">
        <f t="shared" si="204"/>
        <v>0</v>
      </c>
      <c r="Y425" s="42">
        <f t="shared" si="204"/>
        <v>0</v>
      </c>
      <c r="Z425" s="42">
        <f t="shared" si="204"/>
        <v>0</v>
      </c>
      <c r="AA425" s="42">
        <f>SUM(G425:Z425)</f>
        <v>1937.7236288170145</v>
      </c>
      <c r="AB425" s="37" t="str">
        <f>IF(ABS(F425-AA425)&lt;0.01,"ok","err")</f>
        <v>ok</v>
      </c>
    </row>
    <row r="426" spans="1:28">
      <c r="A426" s="39" t="s">
        <v>773</v>
      </c>
      <c r="D426" s="39" t="s">
        <v>858</v>
      </c>
      <c r="F426" s="57">
        <f>F424+F425</f>
        <v>4374.0939702415681</v>
      </c>
      <c r="G426" s="57">
        <f t="shared" ref="G426:W426" si="205">G424+G425</f>
        <v>3355.086821202498</v>
      </c>
      <c r="H426" s="57">
        <f t="shared" si="205"/>
        <v>532.72832513362505</v>
      </c>
      <c r="I426" s="57">
        <f t="shared" si="205"/>
        <v>0</v>
      </c>
      <c r="J426" s="57">
        <f t="shared" si="205"/>
        <v>338.00053363846649</v>
      </c>
      <c r="K426" s="57">
        <f t="shared" si="205"/>
        <v>0</v>
      </c>
      <c r="L426" s="57">
        <f t="shared" si="205"/>
        <v>87.726870437765143</v>
      </c>
      <c r="M426" s="57">
        <f t="shared" si="205"/>
        <v>0</v>
      </c>
      <c r="N426" s="57">
        <f t="shared" si="205"/>
        <v>0</v>
      </c>
      <c r="O426" s="57">
        <f>O424+O425</f>
        <v>0</v>
      </c>
      <c r="P426" s="57">
        <f t="shared" si="205"/>
        <v>0</v>
      </c>
      <c r="Q426" s="57">
        <f t="shared" si="205"/>
        <v>0</v>
      </c>
      <c r="R426" s="57">
        <f t="shared" si="205"/>
        <v>0</v>
      </c>
      <c r="S426" s="57">
        <f t="shared" si="205"/>
        <v>59.28289042650735</v>
      </c>
      <c r="T426" s="57">
        <f t="shared" si="205"/>
        <v>0.58113738997454945</v>
      </c>
      <c r="U426" s="57">
        <f t="shared" si="205"/>
        <v>0.68739201273165962</v>
      </c>
      <c r="V426" s="57">
        <f t="shared" si="205"/>
        <v>0</v>
      </c>
      <c r="W426" s="57">
        <f t="shared" si="205"/>
        <v>0</v>
      </c>
      <c r="X426" s="41">
        <f>X424+X425</f>
        <v>0</v>
      </c>
      <c r="Y426" s="41">
        <f>Y424+Y425</f>
        <v>0</v>
      </c>
      <c r="Z426" s="41">
        <f>Z424+Z425</f>
        <v>0</v>
      </c>
      <c r="AA426" s="43">
        <f>SUM(G426:Z426)</f>
        <v>4374.0939702415671</v>
      </c>
      <c r="AB426" s="37" t="str">
        <f>IF(ABS(F426-AA426)&lt;0.01,"ok","err")</f>
        <v>ok</v>
      </c>
    </row>
    <row r="427" spans="1:28">
      <c r="F427" s="58"/>
    </row>
    <row r="428" spans="1:28">
      <c r="A428" s="44" t="s">
        <v>371</v>
      </c>
      <c r="F428" s="58"/>
    </row>
    <row r="429" spans="1:28">
      <c r="A429" s="45" t="s">
        <v>1199</v>
      </c>
      <c r="C429" s="39" t="s">
        <v>795</v>
      </c>
      <c r="D429" s="39" t="s">
        <v>859</v>
      </c>
      <c r="E429" s="39" t="s">
        <v>1201</v>
      </c>
      <c r="F429" s="57">
        <f>VLOOKUP(C429,'Functional Assignment'!$C$2:$AP$725,'Functional Assignment'!$Z$2,)</f>
        <v>887.20698566485248</v>
      </c>
      <c r="G429" s="57">
        <f t="shared" ref="G429:Z429" si="206">IF(VLOOKUP($E429,$D$6:$AN$1197,3,)=0,0,(VLOOKUP($E429,$D$6:$AN$1197,G$2,)/VLOOKUP($E429,$D$6:$AN$1197,3,))*$F429)</f>
        <v>733.89262396586025</v>
      </c>
      <c r="H429" s="57">
        <f t="shared" si="206"/>
        <v>122.56723831123988</v>
      </c>
      <c r="I429" s="57">
        <f t="shared" si="206"/>
        <v>0</v>
      </c>
      <c r="J429" s="57">
        <f t="shared" si="206"/>
        <v>26.183123540471414</v>
      </c>
      <c r="K429" s="57">
        <f t="shared" si="206"/>
        <v>0</v>
      </c>
      <c r="L429" s="57">
        <f t="shared" si="206"/>
        <v>2.0849774409296224</v>
      </c>
      <c r="M429" s="57">
        <f t="shared" si="206"/>
        <v>0</v>
      </c>
      <c r="N429" s="57">
        <f t="shared" si="206"/>
        <v>0</v>
      </c>
      <c r="O429" s="57">
        <f t="shared" si="206"/>
        <v>0</v>
      </c>
      <c r="P429" s="57">
        <f t="shared" si="206"/>
        <v>0</v>
      </c>
      <c r="Q429" s="57">
        <f t="shared" si="206"/>
        <v>0</v>
      </c>
      <c r="R429" s="57">
        <f t="shared" si="206"/>
        <v>0</v>
      </c>
      <c r="S429" s="57">
        <f t="shared" si="206"/>
        <v>0</v>
      </c>
      <c r="T429" s="57">
        <f t="shared" si="206"/>
        <v>0.36009309512910026</v>
      </c>
      <c r="U429" s="57">
        <f t="shared" si="206"/>
        <v>2.1189293112221046</v>
      </c>
      <c r="V429" s="57">
        <f t="shared" si="206"/>
        <v>0</v>
      </c>
      <c r="W429" s="57">
        <f t="shared" si="206"/>
        <v>0</v>
      </c>
      <c r="X429" s="41">
        <f t="shared" si="206"/>
        <v>0</v>
      </c>
      <c r="Y429" s="41">
        <f t="shared" si="206"/>
        <v>0</v>
      </c>
      <c r="Z429" s="41">
        <f t="shared" si="206"/>
        <v>0</v>
      </c>
      <c r="AA429" s="43">
        <f>SUM(G429:Z429)</f>
        <v>887.20698566485237</v>
      </c>
      <c r="AB429" s="37" t="str">
        <f>IF(ABS(F429-AA429)&lt;0.01,"ok","err")</f>
        <v>ok</v>
      </c>
    </row>
    <row r="430" spans="1:28">
      <c r="F430" s="58"/>
    </row>
    <row r="431" spans="1:28">
      <c r="A431" s="44" t="s">
        <v>370</v>
      </c>
      <c r="F431" s="58"/>
    </row>
    <row r="432" spans="1:28">
      <c r="A432" s="45" t="s">
        <v>1199</v>
      </c>
      <c r="C432" s="39" t="s">
        <v>795</v>
      </c>
      <c r="D432" s="39" t="s">
        <v>860</v>
      </c>
      <c r="E432" s="39" t="s">
        <v>1202</v>
      </c>
      <c r="F432" s="57">
        <f>VLOOKUP(C432,'Functional Assignment'!$C$2:$AP$725,'Functional Assignment'!$AA$2,)</f>
        <v>1195.5436188239337</v>
      </c>
      <c r="G432" s="57">
        <f t="shared" ref="G432:Z432" si="207">IF(VLOOKUP($E432,$D$6:$AN$1197,3,)=0,0,(VLOOKUP($E432,$D$6:$AN$1197,G$2,)/VLOOKUP($E432,$D$6:$AN$1197,3,))*$F432)</f>
        <v>836.74941959920739</v>
      </c>
      <c r="H432" s="57">
        <f t="shared" si="207"/>
        <v>248.49708258584843</v>
      </c>
      <c r="I432" s="57">
        <f t="shared" si="207"/>
        <v>11.338922915094122</v>
      </c>
      <c r="J432" s="57">
        <f t="shared" si="207"/>
        <v>65.10711505855501</v>
      </c>
      <c r="K432" s="57">
        <f t="shared" si="207"/>
        <v>12.760143610006462</v>
      </c>
      <c r="L432" s="57">
        <f t="shared" si="207"/>
        <v>3.9116113457055186</v>
      </c>
      <c r="M432" s="57">
        <f t="shared" si="207"/>
        <v>0</v>
      </c>
      <c r="N432" s="57">
        <f t="shared" si="207"/>
        <v>0</v>
      </c>
      <c r="O432" s="57">
        <f t="shared" si="207"/>
        <v>0</v>
      </c>
      <c r="P432" s="57">
        <f t="shared" si="207"/>
        <v>11.2772474732842</v>
      </c>
      <c r="Q432" s="57">
        <f t="shared" si="207"/>
        <v>1.025204315753109</v>
      </c>
      <c r="R432" s="57">
        <f t="shared" si="207"/>
        <v>2.050408631506218</v>
      </c>
      <c r="S432" s="57">
        <f t="shared" si="207"/>
        <v>0</v>
      </c>
      <c r="T432" s="57">
        <f t="shared" si="207"/>
        <v>0.41056099831434367</v>
      </c>
      <c r="U432" s="57">
        <f t="shared" si="207"/>
        <v>2.4159022906589707</v>
      </c>
      <c r="V432" s="57">
        <f t="shared" si="207"/>
        <v>0</v>
      </c>
      <c r="W432" s="57">
        <f t="shared" si="207"/>
        <v>0</v>
      </c>
      <c r="X432" s="41">
        <f t="shared" si="207"/>
        <v>0</v>
      </c>
      <c r="Y432" s="41">
        <f t="shared" si="207"/>
        <v>0</v>
      </c>
      <c r="Z432" s="41">
        <f t="shared" si="207"/>
        <v>0</v>
      </c>
      <c r="AA432" s="43">
        <f>SUM(G432:Z432)</f>
        <v>1195.5436188239339</v>
      </c>
      <c r="AB432" s="37" t="str">
        <f>IF(ABS(F432-AA432)&lt;0.01,"ok","err")</f>
        <v>ok</v>
      </c>
    </row>
    <row r="433" spans="1:28"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41"/>
      <c r="Y433" s="41"/>
      <c r="Z433" s="41"/>
      <c r="AA433" s="43"/>
    </row>
    <row r="434" spans="1:28">
      <c r="A434" s="44" t="s">
        <v>391</v>
      </c>
      <c r="F434" s="58"/>
    </row>
    <row r="435" spans="1:28">
      <c r="A435" s="45" t="s">
        <v>1199</v>
      </c>
      <c r="C435" s="39" t="s">
        <v>795</v>
      </c>
      <c r="D435" s="39" t="s">
        <v>861</v>
      </c>
      <c r="E435" s="39" t="s">
        <v>1203</v>
      </c>
      <c r="F435" s="57">
        <f>VLOOKUP(C435,'Functional Assignment'!$C$2:$AP$725,'Functional Assignment'!$AB$2,)</f>
        <v>2629.5992567475678</v>
      </c>
      <c r="G435" s="57">
        <f t="shared" ref="G435:Z435" si="208">IF(VLOOKUP($E435,$D$6:$AN$1197,3,)=0,0,(VLOOKUP($E435,$D$6:$AN$1197,G$2,)/VLOOKUP($E435,$D$6:$AN$1197,3,))*$F435)</f>
        <v>0</v>
      </c>
      <c r="H435" s="57">
        <f t="shared" si="208"/>
        <v>0</v>
      </c>
      <c r="I435" s="57">
        <f t="shared" si="208"/>
        <v>0</v>
      </c>
      <c r="J435" s="57">
        <f t="shared" si="208"/>
        <v>0</v>
      </c>
      <c r="K435" s="57">
        <f t="shared" si="208"/>
        <v>0</v>
      </c>
      <c r="L435" s="57">
        <f t="shared" si="208"/>
        <v>0</v>
      </c>
      <c r="M435" s="57">
        <f t="shared" si="208"/>
        <v>0</v>
      </c>
      <c r="N435" s="57">
        <f t="shared" si="208"/>
        <v>0</v>
      </c>
      <c r="O435" s="57">
        <f t="shared" si="208"/>
        <v>0</v>
      </c>
      <c r="P435" s="57">
        <f t="shared" si="208"/>
        <v>0</v>
      </c>
      <c r="Q435" s="57">
        <f t="shared" si="208"/>
        <v>0</v>
      </c>
      <c r="R435" s="57">
        <f t="shared" si="208"/>
        <v>0</v>
      </c>
      <c r="S435" s="57">
        <f t="shared" si="208"/>
        <v>2629.5992567475678</v>
      </c>
      <c r="T435" s="57">
        <f t="shared" si="208"/>
        <v>0</v>
      </c>
      <c r="U435" s="57">
        <f t="shared" si="208"/>
        <v>0</v>
      </c>
      <c r="V435" s="57">
        <f t="shared" si="208"/>
        <v>0</v>
      </c>
      <c r="W435" s="57">
        <f t="shared" si="208"/>
        <v>0</v>
      </c>
      <c r="X435" s="41">
        <f t="shared" si="208"/>
        <v>0</v>
      </c>
      <c r="Y435" s="41">
        <f t="shared" si="208"/>
        <v>0</v>
      </c>
      <c r="Z435" s="41">
        <f t="shared" si="208"/>
        <v>0</v>
      </c>
      <c r="AA435" s="43">
        <f>SUM(G435:Z435)</f>
        <v>2629.5992567475678</v>
      </c>
      <c r="AB435" s="37" t="str">
        <f>IF(ABS(F435-AA435)&lt;0.01,"ok","err")</f>
        <v>ok</v>
      </c>
    </row>
    <row r="436" spans="1:28"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41"/>
      <c r="Y436" s="41"/>
      <c r="Z436" s="41"/>
      <c r="AA436" s="43"/>
    </row>
    <row r="437" spans="1:28">
      <c r="A437" s="44" t="s">
        <v>1129</v>
      </c>
      <c r="F437" s="58"/>
    </row>
    <row r="438" spans="1:28">
      <c r="A438" s="45" t="s">
        <v>1199</v>
      </c>
      <c r="C438" s="39" t="s">
        <v>795</v>
      </c>
      <c r="D438" s="39" t="s">
        <v>862</v>
      </c>
      <c r="E438" s="39" t="s">
        <v>1204</v>
      </c>
      <c r="F438" s="57">
        <f>VLOOKUP(C438,'Functional Assignment'!$C$2:$AP$725,'Functional Assignment'!$AC$2,)</f>
        <v>0</v>
      </c>
      <c r="G438" s="57">
        <f t="shared" ref="G438:Z438" si="209">IF(VLOOKUP($E438,$D$6:$AN$1197,3,)=0,0,(VLOOKUP($E438,$D$6:$AN$1197,G$2,)/VLOOKUP($E438,$D$6:$AN$1197,3,))*$F438)</f>
        <v>0</v>
      </c>
      <c r="H438" s="57">
        <f t="shared" si="209"/>
        <v>0</v>
      </c>
      <c r="I438" s="57">
        <f t="shared" si="209"/>
        <v>0</v>
      </c>
      <c r="J438" s="57">
        <f t="shared" si="209"/>
        <v>0</v>
      </c>
      <c r="K438" s="57">
        <f t="shared" si="209"/>
        <v>0</v>
      </c>
      <c r="L438" s="57">
        <f t="shared" si="209"/>
        <v>0</v>
      </c>
      <c r="M438" s="57">
        <f t="shared" si="209"/>
        <v>0</v>
      </c>
      <c r="N438" s="57">
        <f t="shared" si="209"/>
        <v>0</v>
      </c>
      <c r="O438" s="57">
        <f t="shared" si="209"/>
        <v>0</v>
      </c>
      <c r="P438" s="57">
        <f t="shared" si="209"/>
        <v>0</v>
      </c>
      <c r="Q438" s="57">
        <f t="shared" si="209"/>
        <v>0</v>
      </c>
      <c r="R438" s="57">
        <f t="shared" si="209"/>
        <v>0</v>
      </c>
      <c r="S438" s="57">
        <f t="shared" si="209"/>
        <v>0</v>
      </c>
      <c r="T438" s="57">
        <f t="shared" si="209"/>
        <v>0</v>
      </c>
      <c r="U438" s="57">
        <f t="shared" si="209"/>
        <v>0</v>
      </c>
      <c r="V438" s="57">
        <f t="shared" si="209"/>
        <v>0</v>
      </c>
      <c r="W438" s="57">
        <f t="shared" si="209"/>
        <v>0</v>
      </c>
      <c r="X438" s="41">
        <f t="shared" si="209"/>
        <v>0</v>
      </c>
      <c r="Y438" s="41">
        <f t="shared" si="209"/>
        <v>0</v>
      </c>
      <c r="Z438" s="41">
        <f t="shared" si="209"/>
        <v>0</v>
      </c>
      <c r="AA438" s="43">
        <f>SUM(G438:Z438)</f>
        <v>0</v>
      </c>
      <c r="AB438" s="37" t="str">
        <f>IF(ABS(F438-AA438)&lt;0.01,"ok","err")</f>
        <v>ok</v>
      </c>
    </row>
    <row r="439" spans="1:28"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41"/>
      <c r="Y439" s="41"/>
      <c r="Z439" s="41"/>
      <c r="AA439" s="43"/>
    </row>
    <row r="440" spans="1:28">
      <c r="A440" s="44" t="s">
        <v>368</v>
      </c>
      <c r="F440" s="58"/>
    </row>
    <row r="441" spans="1:28">
      <c r="A441" s="45" t="s">
        <v>1199</v>
      </c>
      <c r="C441" s="39" t="s">
        <v>795</v>
      </c>
      <c r="D441" s="39" t="s">
        <v>863</v>
      </c>
      <c r="E441" s="39" t="s">
        <v>1204</v>
      </c>
      <c r="F441" s="57">
        <f>VLOOKUP(C441,'Functional Assignment'!$C$2:$AP$725,'Functional Assignment'!$AD$2,)</f>
        <v>0</v>
      </c>
      <c r="G441" s="57">
        <f t="shared" ref="G441:Z441" si="210">IF(VLOOKUP($E441,$D$6:$AN$1197,3,)=0,0,(VLOOKUP($E441,$D$6:$AN$1197,G$2,)/VLOOKUP($E441,$D$6:$AN$1197,3,))*$F441)</f>
        <v>0</v>
      </c>
      <c r="H441" s="57">
        <f t="shared" si="210"/>
        <v>0</v>
      </c>
      <c r="I441" s="57">
        <f t="shared" si="210"/>
        <v>0</v>
      </c>
      <c r="J441" s="57">
        <f t="shared" si="210"/>
        <v>0</v>
      </c>
      <c r="K441" s="57">
        <f t="shared" si="210"/>
        <v>0</v>
      </c>
      <c r="L441" s="57">
        <f t="shared" si="210"/>
        <v>0</v>
      </c>
      <c r="M441" s="57">
        <f t="shared" si="210"/>
        <v>0</v>
      </c>
      <c r="N441" s="57">
        <f t="shared" si="210"/>
        <v>0</v>
      </c>
      <c r="O441" s="57">
        <f t="shared" si="210"/>
        <v>0</v>
      </c>
      <c r="P441" s="57">
        <f t="shared" si="210"/>
        <v>0</v>
      </c>
      <c r="Q441" s="57">
        <f t="shared" si="210"/>
        <v>0</v>
      </c>
      <c r="R441" s="57">
        <f t="shared" si="210"/>
        <v>0</v>
      </c>
      <c r="S441" s="57">
        <f t="shared" si="210"/>
        <v>0</v>
      </c>
      <c r="T441" s="57">
        <f t="shared" si="210"/>
        <v>0</v>
      </c>
      <c r="U441" s="57">
        <f t="shared" si="210"/>
        <v>0</v>
      </c>
      <c r="V441" s="57">
        <f t="shared" si="210"/>
        <v>0</v>
      </c>
      <c r="W441" s="57">
        <f t="shared" si="210"/>
        <v>0</v>
      </c>
      <c r="X441" s="41">
        <f t="shared" si="210"/>
        <v>0</v>
      </c>
      <c r="Y441" s="41">
        <f t="shared" si="210"/>
        <v>0</v>
      </c>
      <c r="Z441" s="41">
        <f t="shared" si="210"/>
        <v>0</v>
      </c>
      <c r="AA441" s="43">
        <f>SUM(G441:Z441)</f>
        <v>0</v>
      </c>
      <c r="AB441" s="37" t="str">
        <f>IF(ABS(F441-AA441)&lt;0.01,"ok","err")</f>
        <v>ok</v>
      </c>
    </row>
    <row r="442" spans="1:28"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41"/>
      <c r="Y442" s="41"/>
      <c r="Z442" s="41"/>
      <c r="AA442" s="43"/>
    </row>
    <row r="443" spans="1:28">
      <c r="A443" s="44" t="s">
        <v>367</v>
      </c>
      <c r="F443" s="58"/>
    </row>
    <row r="444" spans="1:28">
      <c r="A444" s="45" t="s">
        <v>1199</v>
      </c>
      <c r="C444" s="39" t="s">
        <v>795</v>
      </c>
      <c r="D444" s="39" t="s">
        <v>864</v>
      </c>
      <c r="E444" s="39" t="s">
        <v>1205</v>
      </c>
      <c r="F444" s="57">
        <f>VLOOKUP(C444,'Functional Assignment'!$C$2:$AP$725,'Functional Assignment'!$AE$2,)</f>
        <v>0</v>
      </c>
      <c r="G444" s="57">
        <f t="shared" ref="G444:Z444" si="211">IF(VLOOKUP($E444,$D$6:$AN$1197,3,)=0,0,(VLOOKUP($E444,$D$6:$AN$1197,G$2,)/VLOOKUP($E444,$D$6:$AN$1197,3,))*$F444)</f>
        <v>0</v>
      </c>
      <c r="H444" s="57">
        <f t="shared" si="211"/>
        <v>0</v>
      </c>
      <c r="I444" s="57">
        <f t="shared" si="211"/>
        <v>0</v>
      </c>
      <c r="J444" s="57">
        <f t="shared" si="211"/>
        <v>0</v>
      </c>
      <c r="K444" s="57">
        <f t="shared" si="211"/>
        <v>0</v>
      </c>
      <c r="L444" s="57">
        <f t="shared" si="211"/>
        <v>0</v>
      </c>
      <c r="M444" s="57">
        <f t="shared" si="211"/>
        <v>0</v>
      </c>
      <c r="N444" s="57">
        <f t="shared" si="211"/>
        <v>0</v>
      </c>
      <c r="O444" s="57">
        <f t="shared" si="211"/>
        <v>0</v>
      </c>
      <c r="P444" s="57">
        <f t="shared" si="211"/>
        <v>0</v>
      </c>
      <c r="Q444" s="57">
        <f t="shared" si="211"/>
        <v>0</v>
      </c>
      <c r="R444" s="57">
        <f t="shared" si="211"/>
        <v>0</v>
      </c>
      <c r="S444" s="57">
        <f t="shared" si="211"/>
        <v>0</v>
      </c>
      <c r="T444" s="57">
        <f t="shared" si="211"/>
        <v>0</v>
      </c>
      <c r="U444" s="57">
        <f t="shared" si="211"/>
        <v>0</v>
      </c>
      <c r="V444" s="57">
        <f t="shared" si="211"/>
        <v>0</v>
      </c>
      <c r="W444" s="57">
        <f t="shared" si="211"/>
        <v>0</v>
      </c>
      <c r="X444" s="41">
        <f t="shared" si="211"/>
        <v>0</v>
      </c>
      <c r="Y444" s="41">
        <f t="shared" si="211"/>
        <v>0</v>
      </c>
      <c r="Z444" s="41">
        <f t="shared" si="211"/>
        <v>0</v>
      </c>
      <c r="AA444" s="43">
        <f>SUM(G444:Z444)</f>
        <v>0</v>
      </c>
      <c r="AB444" s="37" t="str">
        <f>IF(ABS(F444-AA444)&lt;0.01,"ok","err")</f>
        <v>ok</v>
      </c>
    </row>
    <row r="445" spans="1:28"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41"/>
      <c r="Y445" s="41"/>
      <c r="Z445" s="41"/>
      <c r="AA445" s="43"/>
    </row>
    <row r="446" spans="1:28">
      <c r="A446" s="39" t="s">
        <v>1026</v>
      </c>
      <c r="D446" s="39" t="s">
        <v>865</v>
      </c>
      <c r="F446" s="57">
        <f>F401+F407+F410+F413+F421+F426+F429+F432+F435+F438+F441+F444</f>
        <v>1651509.7999999998</v>
      </c>
      <c r="G446" s="57">
        <f t="shared" ref="G446:Z446" si="212">G401+G407+G410+G413+G421+G426+G429+G432+G435+G438+G441+G444</f>
        <v>698452.09355028602</v>
      </c>
      <c r="H446" s="57">
        <f t="shared" si="212"/>
        <v>224663.46391621223</v>
      </c>
      <c r="I446" s="57">
        <f t="shared" si="212"/>
        <v>27534.689039482153</v>
      </c>
      <c r="J446" s="57">
        <f t="shared" si="212"/>
        <v>306351.00610266381</v>
      </c>
      <c r="K446" s="57">
        <f t="shared" si="212"/>
        <v>211308.25945985728</v>
      </c>
      <c r="L446" s="57">
        <f t="shared" si="212"/>
        <v>76819.301869082061</v>
      </c>
      <c r="M446" s="57">
        <f t="shared" si="212"/>
        <v>0</v>
      </c>
      <c r="N446" s="57">
        <f t="shared" si="212"/>
        <v>0</v>
      </c>
      <c r="O446" s="57">
        <f>O401+O407+O410+O413+O421+O426+O429+O432+O435+O438+O441+O444</f>
        <v>0</v>
      </c>
      <c r="P446" s="57">
        <f t="shared" si="212"/>
        <v>61417.381431490459</v>
      </c>
      <c r="Q446" s="57">
        <f t="shared" si="212"/>
        <v>29809.011039821791</v>
      </c>
      <c r="R446" s="57">
        <f t="shared" si="212"/>
        <v>6542.5816874179081</v>
      </c>
      <c r="S446" s="57">
        <f t="shared" si="212"/>
        <v>8067.9139680640419</v>
      </c>
      <c r="T446" s="57">
        <f t="shared" si="212"/>
        <v>194.76322030287625</v>
      </c>
      <c r="U446" s="57">
        <f t="shared" si="212"/>
        <v>349.33471531944878</v>
      </c>
      <c r="V446" s="57">
        <f t="shared" si="212"/>
        <v>0</v>
      </c>
      <c r="W446" s="57">
        <f t="shared" si="212"/>
        <v>0</v>
      </c>
      <c r="X446" s="41">
        <f t="shared" si="212"/>
        <v>0</v>
      </c>
      <c r="Y446" s="41">
        <f t="shared" si="212"/>
        <v>0</v>
      </c>
      <c r="Z446" s="41">
        <f t="shared" si="212"/>
        <v>0</v>
      </c>
      <c r="AA446" s="43">
        <f>SUM(G446:Z446)</f>
        <v>1651509.8000000003</v>
      </c>
      <c r="AB446" s="37" t="str">
        <f>IF(ABS(F446-AA446)&lt;0.01,"ok","err")</f>
        <v>ok</v>
      </c>
    </row>
    <row r="447" spans="1:28">
      <c r="A447" s="44" t="s">
        <v>867</v>
      </c>
    </row>
    <row r="449" spans="1:28">
      <c r="A449" s="44" t="s">
        <v>384</v>
      </c>
    </row>
    <row r="450" spans="1:28">
      <c r="A450" s="45" t="s">
        <v>376</v>
      </c>
      <c r="C450" s="39" t="s">
        <v>1179</v>
      </c>
      <c r="D450" s="39" t="s">
        <v>554</v>
      </c>
      <c r="E450" s="39" t="s">
        <v>939</v>
      </c>
      <c r="F450" s="57">
        <f>VLOOKUP(C450,'Functional Assignment'!$C$2:$AP$725,'Functional Assignment'!$H$2,)</f>
        <v>4994629.7588389749</v>
      </c>
      <c r="G450" s="57">
        <f t="shared" ref="G450:P455" si="213">IF(VLOOKUP($E450,$D$6:$AN$1197,3,)=0,0,(VLOOKUP($E450,$D$6:$AN$1197,G$2,)/VLOOKUP($E450,$D$6:$AN$1197,3,))*$F450)</f>
        <v>1825907.5521556505</v>
      </c>
      <c r="H450" s="57">
        <f t="shared" si="213"/>
        <v>602242.23861015029</v>
      </c>
      <c r="I450" s="57">
        <f t="shared" si="213"/>
        <v>98569.003293916598</v>
      </c>
      <c r="J450" s="57">
        <f t="shared" si="213"/>
        <v>1004186.2269111985</v>
      </c>
      <c r="K450" s="57">
        <f t="shared" si="213"/>
        <v>807545.26108143269</v>
      </c>
      <c r="L450" s="57">
        <f t="shared" si="213"/>
        <v>273031.14017235563</v>
      </c>
      <c r="M450" s="57">
        <f t="shared" si="213"/>
        <v>0</v>
      </c>
      <c r="N450" s="57">
        <f t="shared" si="213"/>
        <v>0</v>
      </c>
      <c r="O450" s="57">
        <f t="shared" si="213"/>
        <v>0</v>
      </c>
      <c r="P450" s="57">
        <f t="shared" si="213"/>
        <v>218625.96674446735</v>
      </c>
      <c r="Q450" s="57">
        <f t="shared" ref="Q450:Z455" si="214">IF(VLOOKUP($E450,$D$6:$AN$1197,3,)=0,0,(VLOOKUP($E450,$D$6:$AN$1197,Q$2,)/VLOOKUP($E450,$D$6:$AN$1197,3,))*$F450)</f>
        <v>91775.084531044326</v>
      </c>
      <c r="R450" s="57">
        <f t="shared" si="214"/>
        <v>24663.550390129658</v>
      </c>
      <c r="S450" s="57">
        <f t="shared" si="214"/>
        <v>45116.658599236413</v>
      </c>
      <c r="T450" s="57">
        <f t="shared" si="214"/>
        <v>1630.8230857025051</v>
      </c>
      <c r="U450" s="57">
        <f t="shared" si="214"/>
        <v>1336.2532636899234</v>
      </c>
      <c r="V450" s="57">
        <f t="shared" si="214"/>
        <v>0</v>
      </c>
      <c r="W450" s="57">
        <f t="shared" si="214"/>
        <v>0</v>
      </c>
      <c r="X450" s="41">
        <f t="shared" si="214"/>
        <v>0</v>
      </c>
      <c r="Y450" s="41">
        <f t="shared" si="214"/>
        <v>0</v>
      </c>
      <c r="Z450" s="41">
        <f t="shared" si="214"/>
        <v>0</v>
      </c>
      <c r="AA450" s="43">
        <f t="shared" ref="AA450:AA456" si="215">SUM(G450:Z450)</f>
        <v>4994629.7588389749</v>
      </c>
      <c r="AB450" s="37" t="str">
        <f t="shared" ref="AB450:AB456" si="216">IF(ABS(F450-AA450)&lt;0.01,"ok","err")</f>
        <v>ok</v>
      </c>
    </row>
    <row r="451" spans="1:28">
      <c r="A451" s="45" t="s">
        <v>1391</v>
      </c>
      <c r="C451" s="39" t="s">
        <v>1179</v>
      </c>
      <c r="D451" s="39" t="s">
        <v>555</v>
      </c>
      <c r="E451" s="39" t="s">
        <v>204</v>
      </c>
      <c r="F451" s="58">
        <f>VLOOKUP(C451,'Functional Assignment'!$C$2:$AP$725,'Functional Assignment'!$I$2,)</f>
        <v>4708326.3363660844</v>
      </c>
      <c r="G451" s="58">
        <f t="shared" si="213"/>
        <v>1898568.6273278617</v>
      </c>
      <c r="H451" s="58">
        <f t="shared" si="213"/>
        <v>749441.09003997687</v>
      </c>
      <c r="I451" s="58">
        <f t="shared" si="213"/>
        <v>76320.390085396968</v>
      </c>
      <c r="J451" s="58">
        <f t="shared" si="213"/>
        <v>878913.04116734711</v>
      </c>
      <c r="K451" s="58">
        <f t="shared" si="213"/>
        <v>578204.47013684828</v>
      </c>
      <c r="L451" s="58">
        <f t="shared" si="213"/>
        <v>220866.14180088014</v>
      </c>
      <c r="M451" s="58">
        <f t="shared" si="213"/>
        <v>0</v>
      </c>
      <c r="N451" s="58">
        <f t="shared" si="213"/>
        <v>0</v>
      </c>
      <c r="O451" s="58">
        <f t="shared" si="213"/>
        <v>0</v>
      </c>
      <c r="P451" s="58">
        <f t="shared" si="213"/>
        <v>204661.78758983791</v>
      </c>
      <c r="Q451" s="58">
        <f t="shared" si="214"/>
        <v>84020.820805099254</v>
      </c>
      <c r="R451" s="58">
        <f t="shared" si="214"/>
        <v>16260.769035079027</v>
      </c>
      <c r="S451" s="58">
        <f t="shared" si="214"/>
        <v>0</v>
      </c>
      <c r="T451" s="58">
        <f t="shared" si="214"/>
        <v>32.928952176732054</v>
      </c>
      <c r="U451" s="58">
        <f t="shared" si="214"/>
        <v>1036.2694255805416</v>
      </c>
      <c r="V451" s="58">
        <f t="shared" si="214"/>
        <v>0</v>
      </c>
      <c r="W451" s="58">
        <f t="shared" si="214"/>
        <v>0</v>
      </c>
      <c r="X451" s="42">
        <f t="shared" si="214"/>
        <v>0</v>
      </c>
      <c r="Y451" s="42">
        <f t="shared" si="214"/>
        <v>0</v>
      </c>
      <c r="Z451" s="42">
        <f t="shared" si="214"/>
        <v>0</v>
      </c>
      <c r="AA451" s="42">
        <f t="shared" si="215"/>
        <v>4708326.3363660835</v>
      </c>
      <c r="AB451" s="37" t="str">
        <f t="shared" si="216"/>
        <v>ok</v>
      </c>
    </row>
    <row r="452" spans="1:28">
      <c r="A452" s="45" t="s">
        <v>1392</v>
      </c>
      <c r="C452" s="39" t="s">
        <v>1179</v>
      </c>
      <c r="D452" s="39" t="s">
        <v>556</v>
      </c>
      <c r="E452" s="39" t="s">
        <v>207</v>
      </c>
      <c r="F452" s="58">
        <f>VLOOKUP(C452,'Functional Assignment'!$C$2:$AP$725,'Functional Assignment'!$J$2,)</f>
        <v>4835483.6509027053</v>
      </c>
      <c r="G452" s="58">
        <f t="shared" si="213"/>
        <v>2361018.954920528</v>
      </c>
      <c r="H452" s="58">
        <f t="shared" si="213"/>
        <v>632023.6594116668</v>
      </c>
      <c r="I452" s="58">
        <f t="shared" si="213"/>
        <v>70898.766318411173</v>
      </c>
      <c r="J452" s="58">
        <f t="shared" si="213"/>
        <v>845561.34152758738</v>
      </c>
      <c r="K452" s="58">
        <f t="shared" si="213"/>
        <v>499415.5228096777</v>
      </c>
      <c r="L452" s="58">
        <f t="shared" si="213"/>
        <v>190703.20722881029</v>
      </c>
      <c r="M452" s="58">
        <f t="shared" si="213"/>
        <v>0</v>
      </c>
      <c r="N452" s="58">
        <f t="shared" si="213"/>
        <v>0</v>
      </c>
      <c r="O452" s="58">
        <f t="shared" si="213"/>
        <v>0</v>
      </c>
      <c r="P452" s="58">
        <f t="shared" si="213"/>
        <v>127558.57823848056</v>
      </c>
      <c r="Q452" s="58">
        <f t="shared" si="214"/>
        <v>90161.568597512727</v>
      </c>
      <c r="R452" s="58">
        <f t="shared" si="214"/>
        <v>17423.155754041902</v>
      </c>
      <c r="S452" s="58">
        <f t="shared" si="214"/>
        <v>0</v>
      </c>
      <c r="T452" s="58">
        <f t="shared" si="214"/>
        <v>40.941796353063758</v>
      </c>
      <c r="U452" s="58">
        <f t="shared" si="214"/>
        <v>677.95429963473202</v>
      </c>
      <c r="V452" s="58">
        <f t="shared" si="214"/>
        <v>0</v>
      </c>
      <c r="W452" s="58">
        <f t="shared" si="214"/>
        <v>0</v>
      </c>
      <c r="X452" s="42">
        <f t="shared" si="214"/>
        <v>0</v>
      </c>
      <c r="Y452" s="42">
        <f t="shared" si="214"/>
        <v>0</v>
      </c>
      <c r="Z452" s="42">
        <f t="shared" si="214"/>
        <v>0</v>
      </c>
      <c r="AA452" s="42">
        <f t="shared" si="215"/>
        <v>4835483.6509027034</v>
      </c>
      <c r="AB452" s="37" t="str">
        <f t="shared" si="216"/>
        <v>ok</v>
      </c>
    </row>
    <row r="453" spans="1:28">
      <c r="A453" s="45" t="s">
        <v>1393</v>
      </c>
      <c r="C453" s="39" t="s">
        <v>1179</v>
      </c>
      <c r="D453" s="39" t="s">
        <v>557</v>
      </c>
      <c r="E453" s="39" t="s">
        <v>1197</v>
      </c>
      <c r="F453" s="58">
        <f>VLOOKUP(C453,'Functional Assignment'!$C$2:$AP$725,'Functional Assignment'!$K$2,)</f>
        <v>0</v>
      </c>
      <c r="G453" s="58">
        <f t="shared" si="213"/>
        <v>0</v>
      </c>
      <c r="H453" s="58">
        <f t="shared" si="213"/>
        <v>0</v>
      </c>
      <c r="I453" s="58">
        <f t="shared" si="213"/>
        <v>0</v>
      </c>
      <c r="J453" s="58">
        <f t="shared" si="213"/>
        <v>0</v>
      </c>
      <c r="K453" s="58">
        <f t="shared" si="213"/>
        <v>0</v>
      </c>
      <c r="L453" s="58">
        <f t="shared" si="213"/>
        <v>0</v>
      </c>
      <c r="M453" s="58">
        <f t="shared" si="213"/>
        <v>0</v>
      </c>
      <c r="N453" s="58">
        <f t="shared" si="213"/>
        <v>0</v>
      </c>
      <c r="O453" s="58">
        <f t="shared" si="213"/>
        <v>0</v>
      </c>
      <c r="P453" s="58">
        <f t="shared" si="213"/>
        <v>0</v>
      </c>
      <c r="Q453" s="58">
        <f t="shared" si="214"/>
        <v>0</v>
      </c>
      <c r="R453" s="58">
        <f t="shared" si="214"/>
        <v>0</v>
      </c>
      <c r="S453" s="58">
        <f t="shared" si="214"/>
        <v>0</v>
      </c>
      <c r="T453" s="58">
        <f t="shared" si="214"/>
        <v>0</v>
      </c>
      <c r="U453" s="58">
        <f t="shared" si="214"/>
        <v>0</v>
      </c>
      <c r="V453" s="58">
        <f t="shared" si="214"/>
        <v>0</v>
      </c>
      <c r="W453" s="58">
        <f t="shared" si="214"/>
        <v>0</v>
      </c>
      <c r="X453" s="42">
        <f t="shared" si="214"/>
        <v>0</v>
      </c>
      <c r="Y453" s="42">
        <f t="shared" si="214"/>
        <v>0</v>
      </c>
      <c r="Z453" s="42">
        <f t="shared" si="214"/>
        <v>0</v>
      </c>
      <c r="AA453" s="42">
        <f t="shared" si="215"/>
        <v>0</v>
      </c>
      <c r="AB453" s="37" t="str">
        <f t="shared" si="216"/>
        <v>ok</v>
      </c>
    </row>
    <row r="454" spans="1:28">
      <c r="A454" s="45" t="s">
        <v>1394</v>
      </c>
      <c r="C454" s="39" t="s">
        <v>1179</v>
      </c>
      <c r="D454" s="39" t="s">
        <v>558</v>
      </c>
      <c r="E454" s="39" t="s">
        <v>1197</v>
      </c>
      <c r="F454" s="58">
        <f>VLOOKUP(C454,'Functional Assignment'!$C$2:$AP$725,'Functional Assignment'!$L$2,)</f>
        <v>0</v>
      </c>
      <c r="G454" s="58">
        <f t="shared" si="213"/>
        <v>0</v>
      </c>
      <c r="H454" s="58">
        <f t="shared" si="213"/>
        <v>0</v>
      </c>
      <c r="I454" s="58">
        <f t="shared" si="213"/>
        <v>0</v>
      </c>
      <c r="J454" s="58">
        <f t="shared" si="213"/>
        <v>0</v>
      </c>
      <c r="K454" s="58">
        <f t="shared" si="213"/>
        <v>0</v>
      </c>
      <c r="L454" s="58">
        <f t="shared" si="213"/>
        <v>0</v>
      </c>
      <c r="M454" s="58">
        <f t="shared" si="213"/>
        <v>0</v>
      </c>
      <c r="N454" s="58">
        <f t="shared" si="213"/>
        <v>0</v>
      </c>
      <c r="O454" s="58">
        <f t="shared" si="213"/>
        <v>0</v>
      </c>
      <c r="P454" s="58">
        <f t="shared" si="213"/>
        <v>0</v>
      </c>
      <c r="Q454" s="58">
        <f t="shared" si="214"/>
        <v>0</v>
      </c>
      <c r="R454" s="58">
        <f t="shared" si="214"/>
        <v>0</v>
      </c>
      <c r="S454" s="58">
        <f t="shared" si="214"/>
        <v>0</v>
      </c>
      <c r="T454" s="58">
        <f t="shared" si="214"/>
        <v>0</v>
      </c>
      <c r="U454" s="58">
        <f t="shared" si="214"/>
        <v>0</v>
      </c>
      <c r="V454" s="58">
        <f t="shared" si="214"/>
        <v>0</v>
      </c>
      <c r="W454" s="58">
        <f t="shared" si="214"/>
        <v>0</v>
      </c>
      <c r="X454" s="42">
        <f t="shared" si="214"/>
        <v>0</v>
      </c>
      <c r="Y454" s="42">
        <f t="shared" si="214"/>
        <v>0</v>
      </c>
      <c r="Z454" s="42">
        <f t="shared" si="214"/>
        <v>0</v>
      </c>
      <c r="AA454" s="42">
        <f t="shared" si="215"/>
        <v>0</v>
      </c>
      <c r="AB454" s="37" t="str">
        <f t="shared" si="216"/>
        <v>ok</v>
      </c>
    </row>
    <row r="455" spans="1:28">
      <c r="A455" s="45" t="s">
        <v>1394</v>
      </c>
      <c r="C455" s="39" t="s">
        <v>1179</v>
      </c>
      <c r="D455" s="39" t="s">
        <v>559</v>
      </c>
      <c r="E455" s="39" t="s">
        <v>1197</v>
      </c>
      <c r="F455" s="58">
        <f>VLOOKUP(C455,'Functional Assignment'!$C$2:$AP$725,'Functional Assignment'!$M$2,)</f>
        <v>0</v>
      </c>
      <c r="G455" s="58">
        <f t="shared" si="213"/>
        <v>0</v>
      </c>
      <c r="H455" s="58">
        <f t="shared" si="213"/>
        <v>0</v>
      </c>
      <c r="I455" s="58">
        <f t="shared" si="213"/>
        <v>0</v>
      </c>
      <c r="J455" s="58">
        <f t="shared" si="213"/>
        <v>0</v>
      </c>
      <c r="K455" s="58">
        <f t="shared" si="213"/>
        <v>0</v>
      </c>
      <c r="L455" s="58">
        <f t="shared" si="213"/>
        <v>0</v>
      </c>
      <c r="M455" s="58">
        <f t="shared" si="213"/>
        <v>0</v>
      </c>
      <c r="N455" s="58">
        <f t="shared" si="213"/>
        <v>0</v>
      </c>
      <c r="O455" s="58">
        <f t="shared" si="213"/>
        <v>0</v>
      </c>
      <c r="P455" s="58">
        <f t="shared" si="213"/>
        <v>0</v>
      </c>
      <c r="Q455" s="58">
        <f t="shared" si="214"/>
        <v>0</v>
      </c>
      <c r="R455" s="58">
        <f t="shared" si="214"/>
        <v>0</v>
      </c>
      <c r="S455" s="58">
        <f t="shared" si="214"/>
        <v>0</v>
      </c>
      <c r="T455" s="58">
        <f t="shared" si="214"/>
        <v>0</v>
      </c>
      <c r="U455" s="58">
        <f t="shared" si="214"/>
        <v>0</v>
      </c>
      <c r="V455" s="58">
        <f t="shared" si="214"/>
        <v>0</v>
      </c>
      <c r="W455" s="58">
        <f t="shared" si="214"/>
        <v>0</v>
      </c>
      <c r="X455" s="42">
        <f t="shared" si="214"/>
        <v>0</v>
      </c>
      <c r="Y455" s="42">
        <f t="shared" si="214"/>
        <v>0</v>
      </c>
      <c r="Z455" s="42">
        <f t="shared" si="214"/>
        <v>0</v>
      </c>
      <c r="AA455" s="42">
        <f t="shared" si="215"/>
        <v>0</v>
      </c>
      <c r="AB455" s="37" t="str">
        <f t="shared" si="216"/>
        <v>ok</v>
      </c>
    </row>
    <row r="456" spans="1:28">
      <c r="A456" s="39" t="s">
        <v>407</v>
      </c>
      <c r="D456" s="39" t="s">
        <v>560</v>
      </c>
      <c r="F456" s="57">
        <f>SUM(F450:F455)</f>
        <v>14538439.746107765</v>
      </c>
      <c r="G456" s="57">
        <f t="shared" ref="G456:P456" si="217">SUM(G450:G455)</f>
        <v>6085495.1344040409</v>
      </c>
      <c r="H456" s="57">
        <f t="shared" si="217"/>
        <v>1983706.9880617941</v>
      </c>
      <c r="I456" s="57">
        <f t="shared" si="217"/>
        <v>245788.15969772474</v>
      </c>
      <c r="J456" s="57">
        <f t="shared" si="217"/>
        <v>2728660.6096061328</v>
      </c>
      <c r="K456" s="57">
        <f t="shared" si="217"/>
        <v>1885165.2540279587</v>
      </c>
      <c r="L456" s="57">
        <f t="shared" si="217"/>
        <v>684600.48920204607</v>
      </c>
      <c r="M456" s="57">
        <f t="shared" si="217"/>
        <v>0</v>
      </c>
      <c r="N456" s="57">
        <f t="shared" si="217"/>
        <v>0</v>
      </c>
      <c r="O456" s="57">
        <f>SUM(O450:O455)</f>
        <v>0</v>
      </c>
      <c r="P456" s="57">
        <f t="shared" si="217"/>
        <v>550846.3325727859</v>
      </c>
      <c r="Q456" s="57">
        <f t="shared" ref="Q456:W456" si="218">SUM(Q450:Q455)</f>
        <v>265957.47393365629</v>
      </c>
      <c r="R456" s="57">
        <f t="shared" si="218"/>
        <v>58347.475179250585</v>
      </c>
      <c r="S456" s="57">
        <f t="shared" si="218"/>
        <v>45116.658599236413</v>
      </c>
      <c r="T456" s="57">
        <f t="shared" si="218"/>
        <v>1704.693834232301</v>
      </c>
      <c r="U456" s="57">
        <f t="shared" si="218"/>
        <v>3050.4769889051968</v>
      </c>
      <c r="V456" s="57">
        <f t="shared" si="218"/>
        <v>0</v>
      </c>
      <c r="W456" s="57">
        <f t="shared" si="218"/>
        <v>0</v>
      </c>
      <c r="X456" s="41">
        <f>SUM(X450:X455)</f>
        <v>0</v>
      </c>
      <c r="Y456" s="41">
        <f>SUM(Y450:Y455)</f>
        <v>0</v>
      </c>
      <c r="Z456" s="41">
        <f>SUM(Z450:Z455)</f>
        <v>0</v>
      </c>
      <c r="AA456" s="43">
        <f t="shared" si="215"/>
        <v>14538439.746107766</v>
      </c>
      <c r="AB456" s="37" t="str">
        <f t="shared" si="216"/>
        <v>ok</v>
      </c>
    </row>
    <row r="457" spans="1:28">
      <c r="F457" s="58"/>
      <c r="G457" s="58"/>
    </row>
    <row r="458" spans="1:28">
      <c r="A458" s="44" t="s">
        <v>1237</v>
      </c>
      <c r="F458" s="58"/>
      <c r="G458" s="58"/>
    </row>
    <row r="459" spans="1:28">
      <c r="A459" s="45" t="s">
        <v>377</v>
      </c>
      <c r="C459" s="39" t="s">
        <v>1179</v>
      </c>
      <c r="D459" s="39" t="s">
        <v>561</v>
      </c>
      <c r="E459" s="39" t="s">
        <v>939</v>
      </c>
      <c r="F459" s="57">
        <f>VLOOKUP(C459,'Functional Assignment'!$C$2:$AP$725,'Functional Assignment'!$N$2,)</f>
        <v>536280.12112159072</v>
      </c>
      <c r="G459" s="57">
        <f t="shared" ref="G459:P461" si="219">IF(VLOOKUP($E459,$D$6:$AN$1197,3,)=0,0,(VLOOKUP($E459,$D$6:$AN$1197,G$2,)/VLOOKUP($E459,$D$6:$AN$1197,3,))*$F459)</f>
        <v>196050.15196451292</v>
      </c>
      <c r="H459" s="57">
        <f t="shared" si="219"/>
        <v>64663.559915493184</v>
      </c>
      <c r="I459" s="57">
        <f t="shared" si="219"/>
        <v>10583.486580111146</v>
      </c>
      <c r="J459" s="57">
        <f t="shared" si="219"/>
        <v>107820.82704799993</v>
      </c>
      <c r="K459" s="57">
        <f t="shared" si="219"/>
        <v>86707.22182310198</v>
      </c>
      <c r="L459" s="57">
        <f t="shared" si="219"/>
        <v>29315.721082724096</v>
      </c>
      <c r="M459" s="57">
        <f t="shared" si="219"/>
        <v>0</v>
      </c>
      <c r="N459" s="57">
        <f t="shared" si="219"/>
        <v>0</v>
      </c>
      <c r="O459" s="57">
        <f t="shared" si="219"/>
        <v>0</v>
      </c>
      <c r="P459" s="57">
        <f t="shared" si="219"/>
        <v>23474.164369953603</v>
      </c>
      <c r="Q459" s="57">
        <f t="shared" ref="Q459:Z461" si="220">IF(VLOOKUP($E459,$D$6:$AN$1197,3,)=0,0,(VLOOKUP($E459,$D$6:$AN$1197,Q$2,)/VLOOKUP($E459,$D$6:$AN$1197,3,))*$F459)</f>
        <v>9854.0143763716005</v>
      </c>
      <c r="R459" s="57">
        <f t="shared" si="220"/>
        <v>2648.1586081731448</v>
      </c>
      <c r="S459" s="57">
        <f t="shared" si="220"/>
        <v>4844.2363711508096</v>
      </c>
      <c r="T459" s="57">
        <f t="shared" si="220"/>
        <v>175.10367017308715</v>
      </c>
      <c r="U459" s="57">
        <f t="shared" si="220"/>
        <v>143.47531182518151</v>
      </c>
      <c r="V459" s="57">
        <f t="shared" si="220"/>
        <v>0</v>
      </c>
      <c r="W459" s="57">
        <f t="shared" si="220"/>
        <v>0</v>
      </c>
      <c r="X459" s="41">
        <f t="shared" si="220"/>
        <v>0</v>
      </c>
      <c r="Y459" s="41">
        <f t="shared" si="220"/>
        <v>0</v>
      </c>
      <c r="Z459" s="41">
        <f t="shared" si="220"/>
        <v>0</v>
      </c>
      <c r="AA459" s="43">
        <f>SUM(G459:Z459)</f>
        <v>536280.12112159072</v>
      </c>
      <c r="AB459" s="37" t="str">
        <f>IF(ABS(F459-AA459)&lt;0.01,"ok","err")</f>
        <v>ok</v>
      </c>
    </row>
    <row r="460" spans="1:28">
      <c r="A460" s="45" t="s">
        <v>379</v>
      </c>
      <c r="C460" s="39" t="s">
        <v>1179</v>
      </c>
      <c r="D460" s="39" t="s">
        <v>562</v>
      </c>
      <c r="E460" s="39" t="s">
        <v>204</v>
      </c>
      <c r="F460" s="58">
        <f>VLOOKUP(C460,'Functional Assignment'!$C$2:$AP$725,'Functional Assignment'!$O$2,)</f>
        <v>505539.33722072776</v>
      </c>
      <c r="G460" s="58">
        <f t="shared" si="219"/>
        <v>203851.86942419427</v>
      </c>
      <c r="H460" s="58">
        <f t="shared" si="219"/>
        <v>80468.498756865141</v>
      </c>
      <c r="I460" s="58">
        <f t="shared" si="219"/>
        <v>8194.6230281857552</v>
      </c>
      <c r="J460" s="58">
        <f t="shared" si="219"/>
        <v>94370.07644829643</v>
      </c>
      <c r="K460" s="58">
        <f t="shared" si="219"/>
        <v>62082.592354175526</v>
      </c>
      <c r="L460" s="58">
        <f t="shared" si="219"/>
        <v>23714.694981549095</v>
      </c>
      <c r="M460" s="58">
        <f t="shared" si="219"/>
        <v>0</v>
      </c>
      <c r="N460" s="58">
        <f t="shared" si="219"/>
        <v>0</v>
      </c>
      <c r="O460" s="58">
        <f t="shared" si="219"/>
        <v>0</v>
      </c>
      <c r="P460" s="58">
        <f t="shared" si="219"/>
        <v>21974.811655139147</v>
      </c>
      <c r="Q460" s="58">
        <f t="shared" si="220"/>
        <v>9021.428641102757</v>
      </c>
      <c r="R460" s="58">
        <f t="shared" si="220"/>
        <v>1745.9406620140492</v>
      </c>
      <c r="S460" s="58">
        <f t="shared" si="220"/>
        <v>0</v>
      </c>
      <c r="T460" s="58">
        <f t="shared" si="220"/>
        <v>3.5356259251236031</v>
      </c>
      <c r="U460" s="58">
        <f t="shared" si="220"/>
        <v>111.26564328045731</v>
      </c>
      <c r="V460" s="58">
        <f t="shared" si="220"/>
        <v>0</v>
      </c>
      <c r="W460" s="58">
        <f t="shared" si="220"/>
        <v>0</v>
      </c>
      <c r="X460" s="42">
        <f t="shared" si="220"/>
        <v>0</v>
      </c>
      <c r="Y460" s="42">
        <f t="shared" si="220"/>
        <v>0</v>
      </c>
      <c r="Z460" s="42">
        <f t="shared" si="220"/>
        <v>0</v>
      </c>
      <c r="AA460" s="42">
        <f>SUM(G460:Z460)</f>
        <v>505539.33722072776</v>
      </c>
      <c r="AB460" s="37" t="str">
        <f>IF(ABS(F460-AA460)&lt;0.01,"ok","err")</f>
        <v>ok</v>
      </c>
    </row>
    <row r="461" spans="1:28">
      <c r="A461" s="45" t="s">
        <v>378</v>
      </c>
      <c r="C461" s="39" t="s">
        <v>1179</v>
      </c>
      <c r="D461" s="39" t="s">
        <v>563</v>
      </c>
      <c r="E461" s="39" t="s">
        <v>207</v>
      </c>
      <c r="F461" s="58">
        <f>VLOOKUP(C461,'Functional Assignment'!$C$2:$AP$725,'Functional Assignment'!$P$2,)</f>
        <v>519192.38926537958</v>
      </c>
      <c r="G461" s="58">
        <f t="shared" si="219"/>
        <v>253505.78366182616</v>
      </c>
      <c r="H461" s="58">
        <f t="shared" si="219"/>
        <v>67861.231159562099</v>
      </c>
      <c r="I461" s="58">
        <f t="shared" si="219"/>
        <v>7612.4959855777561</v>
      </c>
      <c r="J461" s="58">
        <f t="shared" si="219"/>
        <v>90789.059558952693</v>
      </c>
      <c r="K461" s="58">
        <f t="shared" si="219"/>
        <v>53622.917011697384</v>
      </c>
      <c r="L461" s="58">
        <f t="shared" si="219"/>
        <v>20476.060090330982</v>
      </c>
      <c r="M461" s="58">
        <f t="shared" si="219"/>
        <v>0</v>
      </c>
      <c r="N461" s="58">
        <f t="shared" si="219"/>
        <v>0</v>
      </c>
      <c r="O461" s="58">
        <f t="shared" si="219"/>
        <v>0</v>
      </c>
      <c r="P461" s="58">
        <f t="shared" si="219"/>
        <v>13696.136268513286</v>
      </c>
      <c r="Q461" s="58">
        <f t="shared" si="220"/>
        <v>9680.7689984264907</v>
      </c>
      <c r="R461" s="58">
        <f t="shared" si="220"/>
        <v>1870.7476888677156</v>
      </c>
      <c r="S461" s="58">
        <f t="shared" si="220"/>
        <v>0</v>
      </c>
      <c r="T461" s="58">
        <f t="shared" si="220"/>
        <v>4.3959757914589384</v>
      </c>
      <c r="U461" s="58">
        <f t="shared" si="220"/>
        <v>72.792865833469023</v>
      </c>
      <c r="V461" s="58">
        <f t="shared" si="220"/>
        <v>0</v>
      </c>
      <c r="W461" s="58">
        <f t="shared" si="220"/>
        <v>0</v>
      </c>
      <c r="X461" s="42">
        <f t="shared" si="220"/>
        <v>0</v>
      </c>
      <c r="Y461" s="42">
        <f t="shared" si="220"/>
        <v>0</v>
      </c>
      <c r="Z461" s="42">
        <f t="shared" si="220"/>
        <v>0</v>
      </c>
      <c r="AA461" s="42">
        <f>SUM(G461:Z461)</f>
        <v>519192.38926537952</v>
      </c>
      <c r="AB461" s="37" t="str">
        <f>IF(ABS(F461-AA461)&lt;0.01,"ok","err")</f>
        <v>ok</v>
      </c>
    </row>
    <row r="462" spans="1:28">
      <c r="A462" s="39" t="s">
        <v>1239</v>
      </c>
      <c r="D462" s="39" t="s">
        <v>564</v>
      </c>
      <c r="F462" s="57">
        <f>SUM(F459:F461)</f>
        <v>1561011.8476076981</v>
      </c>
      <c r="G462" s="57">
        <f t="shared" ref="G462:W462" si="221">SUM(G459:G461)</f>
        <v>653407.80505053338</v>
      </c>
      <c r="H462" s="57">
        <f t="shared" si="221"/>
        <v>212993.28983192044</v>
      </c>
      <c r="I462" s="57">
        <f t="shared" si="221"/>
        <v>26390.605593874658</v>
      </c>
      <c r="J462" s="57">
        <f t="shared" si="221"/>
        <v>292979.96305524907</v>
      </c>
      <c r="K462" s="57">
        <f t="shared" si="221"/>
        <v>202412.73118897487</v>
      </c>
      <c r="L462" s="57">
        <f t="shared" si="221"/>
        <v>73506.47615460417</v>
      </c>
      <c r="M462" s="57">
        <f t="shared" si="221"/>
        <v>0</v>
      </c>
      <c r="N462" s="57">
        <f t="shared" si="221"/>
        <v>0</v>
      </c>
      <c r="O462" s="57">
        <f>SUM(O459:O461)</f>
        <v>0</v>
      </c>
      <c r="P462" s="57">
        <f t="shared" si="221"/>
        <v>59145.112293606035</v>
      </c>
      <c r="Q462" s="57">
        <f t="shared" si="221"/>
        <v>28556.212015900848</v>
      </c>
      <c r="R462" s="57">
        <f t="shared" si="221"/>
        <v>6264.8469590549093</v>
      </c>
      <c r="S462" s="57">
        <f t="shared" si="221"/>
        <v>4844.2363711508096</v>
      </c>
      <c r="T462" s="57">
        <f t="shared" si="221"/>
        <v>183.0352718896697</v>
      </c>
      <c r="U462" s="57">
        <f t="shared" si="221"/>
        <v>327.53382093910784</v>
      </c>
      <c r="V462" s="57">
        <f t="shared" si="221"/>
        <v>0</v>
      </c>
      <c r="W462" s="57">
        <f t="shared" si="221"/>
        <v>0</v>
      </c>
      <c r="X462" s="41">
        <f>SUM(X459:X461)</f>
        <v>0</v>
      </c>
      <c r="Y462" s="41">
        <f>SUM(Y459:Y461)</f>
        <v>0</v>
      </c>
      <c r="Z462" s="41">
        <f>SUM(Z459:Z461)</f>
        <v>0</v>
      </c>
      <c r="AA462" s="43">
        <f>SUM(G462:Z462)</f>
        <v>1561011.8476076978</v>
      </c>
      <c r="AB462" s="37" t="str">
        <f>IF(ABS(F462-AA462)&lt;0.01,"ok","err")</f>
        <v>ok</v>
      </c>
    </row>
    <row r="463" spans="1:28">
      <c r="F463" s="58"/>
      <c r="G463" s="58"/>
    </row>
    <row r="464" spans="1:28">
      <c r="A464" s="44" t="s">
        <v>365</v>
      </c>
      <c r="F464" s="58"/>
      <c r="G464" s="58"/>
    </row>
    <row r="465" spans="1:28">
      <c r="A465" s="45" t="s">
        <v>392</v>
      </c>
      <c r="C465" s="39" t="s">
        <v>1179</v>
      </c>
      <c r="D465" s="39" t="s">
        <v>565</v>
      </c>
      <c r="E465" s="39" t="s">
        <v>1472</v>
      </c>
      <c r="F465" s="57">
        <f>VLOOKUP(C465,'Functional Assignment'!$C$2:$AP$725,'Functional Assignment'!$Q$2,)</f>
        <v>0</v>
      </c>
      <c r="G465" s="57">
        <f t="shared" ref="G465:Z465" si="222">IF(VLOOKUP($E465,$D$6:$AN$1197,3,)=0,0,(VLOOKUP($E465,$D$6:$AN$1197,G$2,)/VLOOKUP($E465,$D$6:$AN$1197,3,))*$F465)</f>
        <v>0</v>
      </c>
      <c r="H465" s="57">
        <f t="shared" si="222"/>
        <v>0</v>
      </c>
      <c r="I465" s="57">
        <f t="shared" si="222"/>
        <v>0</v>
      </c>
      <c r="J465" s="57">
        <f t="shared" si="222"/>
        <v>0</v>
      </c>
      <c r="K465" s="57">
        <f t="shared" si="222"/>
        <v>0</v>
      </c>
      <c r="L465" s="57">
        <f t="shared" si="222"/>
        <v>0</v>
      </c>
      <c r="M465" s="57">
        <f t="shared" si="222"/>
        <v>0</v>
      </c>
      <c r="N465" s="57">
        <f t="shared" si="222"/>
        <v>0</v>
      </c>
      <c r="O465" s="57">
        <f t="shared" si="222"/>
        <v>0</v>
      </c>
      <c r="P465" s="57">
        <f t="shared" si="222"/>
        <v>0</v>
      </c>
      <c r="Q465" s="57">
        <f t="shared" si="222"/>
        <v>0</v>
      </c>
      <c r="R465" s="57">
        <f t="shared" si="222"/>
        <v>0</v>
      </c>
      <c r="S465" s="57">
        <f t="shared" si="222"/>
        <v>0</v>
      </c>
      <c r="T465" s="57">
        <f t="shared" si="222"/>
        <v>0</v>
      </c>
      <c r="U465" s="57">
        <f t="shared" si="222"/>
        <v>0</v>
      </c>
      <c r="V465" s="57">
        <f t="shared" si="222"/>
        <v>0</v>
      </c>
      <c r="W465" s="57">
        <f t="shared" si="222"/>
        <v>0</v>
      </c>
      <c r="X465" s="41">
        <f t="shared" si="222"/>
        <v>0</v>
      </c>
      <c r="Y465" s="41">
        <f t="shared" si="222"/>
        <v>0</v>
      </c>
      <c r="Z465" s="41">
        <f t="shared" si="222"/>
        <v>0</v>
      </c>
      <c r="AA465" s="43">
        <f>SUM(G465:Z465)</f>
        <v>0</v>
      </c>
      <c r="AB465" s="37" t="str">
        <f>IF(ABS(F465-AA465)&lt;0.01,"ok","err")</f>
        <v>ok</v>
      </c>
    </row>
    <row r="466" spans="1:28">
      <c r="F466" s="58"/>
    </row>
    <row r="467" spans="1:28">
      <c r="A467" s="44" t="s">
        <v>366</v>
      </c>
      <c r="F467" s="58"/>
      <c r="G467" s="58"/>
    </row>
    <row r="468" spans="1:28">
      <c r="A468" s="45" t="s">
        <v>394</v>
      </c>
      <c r="C468" s="39" t="s">
        <v>1179</v>
      </c>
      <c r="D468" s="39" t="s">
        <v>566</v>
      </c>
      <c r="E468" s="39" t="s">
        <v>1471</v>
      </c>
      <c r="F468" s="57">
        <f>VLOOKUP(C468,'Functional Assignment'!$C$2:$AP$725,'Functional Assignment'!$R$2,)</f>
        <v>640019.99448319688</v>
      </c>
      <c r="G468" s="57">
        <f t="shared" ref="G468:Z468" si="223">IF(VLOOKUP($E468,$D$6:$AN$1197,3,)=0,0,(VLOOKUP($E468,$D$6:$AN$1197,G$2,)/VLOOKUP($E468,$D$6:$AN$1197,3,))*$F468)</f>
        <v>307052.29850707564</v>
      </c>
      <c r="H468" s="57">
        <f t="shared" si="223"/>
        <v>87111.183440230307</v>
      </c>
      <c r="I468" s="57">
        <f t="shared" si="223"/>
        <v>9078.3110674158761</v>
      </c>
      <c r="J468" s="57">
        <f t="shared" si="223"/>
        <v>106207.94776936881</v>
      </c>
      <c r="K468" s="57">
        <f t="shared" si="223"/>
        <v>84991.529570021987</v>
      </c>
      <c r="L468" s="57">
        <f t="shared" si="223"/>
        <v>25464.414969719521</v>
      </c>
      <c r="M468" s="57">
        <f t="shared" si="223"/>
        <v>0</v>
      </c>
      <c r="N468" s="57">
        <f t="shared" si="223"/>
        <v>0</v>
      </c>
      <c r="O468" s="57">
        <f t="shared" si="223"/>
        <v>0</v>
      </c>
      <c r="P468" s="57">
        <f t="shared" si="223"/>
        <v>0</v>
      </c>
      <c r="Q468" s="57">
        <f t="shared" si="223"/>
        <v>11905.313674325995</v>
      </c>
      <c r="R468" s="57">
        <f t="shared" si="223"/>
        <v>2688.0371433612208</v>
      </c>
      <c r="S468" s="57">
        <f t="shared" si="223"/>
        <v>5254.1551737501832</v>
      </c>
      <c r="T468" s="57">
        <f t="shared" si="223"/>
        <v>189.09504317926269</v>
      </c>
      <c r="U468" s="57">
        <f t="shared" si="223"/>
        <v>77.70812474804174</v>
      </c>
      <c r="V468" s="57">
        <f t="shared" si="223"/>
        <v>0</v>
      </c>
      <c r="W468" s="57">
        <f t="shared" si="223"/>
        <v>0</v>
      </c>
      <c r="X468" s="41">
        <f t="shared" si="223"/>
        <v>0</v>
      </c>
      <c r="Y468" s="41">
        <f t="shared" si="223"/>
        <v>0</v>
      </c>
      <c r="Z468" s="41">
        <f t="shared" si="223"/>
        <v>0</v>
      </c>
      <c r="AA468" s="43">
        <f>SUM(G468:Z468)</f>
        <v>640019.99448319664</v>
      </c>
      <c r="AB468" s="37" t="str">
        <f>IF(ABS(F468-AA468)&lt;0.01,"ok","err")</f>
        <v>ok</v>
      </c>
    </row>
    <row r="469" spans="1:28">
      <c r="F469" s="58"/>
    </row>
    <row r="470" spans="1:28">
      <c r="A470" s="44" t="s">
        <v>393</v>
      </c>
      <c r="F470" s="58"/>
    </row>
    <row r="471" spans="1:28">
      <c r="A471" s="45" t="s">
        <v>644</v>
      </c>
      <c r="C471" s="39" t="s">
        <v>1179</v>
      </c>
      <c r="D471" s="39" t="s">
        <v>567</v>
      </c>
      <c r="E471" s="39" t="s">
        <v>1472</v>
      </c>
      <c r="F471" s="57">
        <f>VLOOKUP(C471,'Functional Assignment'!$C$2:$AP$725,'Functional Assignment'!$S$2,)</f>
        <v>0</v>
      </c>
      <c r="G471" s="57">
        <f t="shared" ref="G471:P475" si="224">IF(VLOOKUP($E471,$D$6:$AN$1197,3,)=0,0,(VLOOKUP($E471,$D$6:$AN$1197,G$2,)/VLOOKUP($E471,$D$6:$AN$1197,3,))*$F471)</f>
        <v>0</v>
      </c>
      <c r="H471" s="57">
        <f t="shared" si="224"/>
        <v>0</v>
      </c>
      <c r="I471" s="57">
        <f t="shared" si="224"/>
        <v>0</v>
      </c>
      <c r="J471" s="57">
        <f t="shared" si="224"/>
        <v>0</v>
      </c>
      <c r="K471" s="57">
        <f t="shared" si="224"/>
        <v>0</v>
      </c>
      <c r="L471" s="57">
        <f t="shared" si="224"/>
        <v>0</v>
      </c>
      <c r="M471" s="57">
        <f t="shared" si="224"/>
        <v>0</v>
      </c>
      <c r="N471" s="57">
        <f t="shared" si="224"/>
        <v>0</v>
      </c>
      <c r="O471" s="57">
        <f t="shared" si="224"/>
        <v>0</v>
      </c>
      <c r="P471" s="57">
        <f t="shared" si="224"/>
        <v>0</v>
      </c>
      <c r="Q471" s="57">
        <f t="shared" ref="Q471:Z475" si="225">IF(VLOOKUP($E471,$D$6:$AN$1197,3,)=0,0,(VLOOKUP($E471,$D$6:$AN$1197,Q$2,)/VLOOKUP($E471,$D$6:$AN$1197,3,))*$F471)</f>
        <v>0</v>
      </c>
      <c r="R471" s="57">
        <f t="shared" si="225"/>
        <v>0</v>
      </c>
      <c r="S471" s="57">
        <f t="shared" si="225"/>
        <v>0</v>
      </c>
      <c r="T471" s="57">
        <f t="shared" si="225"/>
        <v>0</v>
      </c>
      <c r="U471" s="57">
        <f t="shared" si="225"/>
        <v>0</v>
      </c>
      <c r="V471" s="57">
        <f t="shared" si="225"/>
        <v>0</v>
      </c>
      <c r="W471" s="57">
        <f t="shared" si="225"/>
        <v>0</v>
      </c>
      <c r="X471" s="41">
        <f t="shared" si="225"/>
        <v>0</v>
      </c>
      <c r="Y471" s="41">
        <f t="shared" si="225"/>
        <v>0</v>
      </c>
      <c r="Z471" s="41">
        <f t="shared" si="225"/>
        <v>0</v>
      </c>
      <c r="AA471" s="43">
        <f t="shared" ref="AA471:AA476" si="226">SUM(G471:Z471)</f>
        <v>0</v>
      </c>
      <c r="AB471" s="37" t="str">
        <f t="shared" ref="AB471:AB476" si="227">IF(ABS(F471-AA471)&lt;0.01,"ok","err")</f>
        <v>ok</v>
      </c>
    </row>
    <row r="472" spans="1:28">
      <c r="A472" s="45" t="s">
        <v>645</v>
      </c>
      <c r="C472" s="39" t="s">
        <v>1179</v>
      </c>
      <c r="D472" s="39" t="s">
        <v>568</v>
      </c>
      <c r="E472" s="39" t="s">
        <v>1472</v>
      </c>
      <c r="F472" s="58">
        <f>VLOOKUP(C472,'Functional Assignment'!$C$2:$AP$725,'Functional Assignment'!$T$2,)</f>
        <v>985499.75773615937</v>
      </c>
      <c r="G472" s="58">
        <f t="shared" si="224"/>
        <v>472797.67569667456</v>
      </c>
      <c r="H472" s="58">
        <f t="shared" si="224"/>
        <v>134133.38788857317</v>
      </c>
      <c r="I472" s="58">
        <f t="shared" si="224"/>
        <v>13978.740406096369</v>
      </c>
      <c r="J472" s="58">
        <f t="shared" si="224"/>
        <v>163538.49520105202</v>
      </c>
      <c r="K472" s="58">
        <f t="shared" si="224"/>
        <v>130869.55489338437</v>
      </c>
      <c r="L472" s="58">
        <f t="shared" si="224"/>
        <v>39209.985625238885</v>
      </c>
      <c r="M472" s="58">
        <f t="shared" si="224"/>
        <v>0</v>
      </c>
      <c r="N472" s="58">
        <f t="shared" si="224"/>
        <v>0</v>
      </c>
      <c r="O472" s="58">
        <f t="shared" si="224"/>
        <v>0</v>
      </c>
      <c r="P472" s="58">
        <f t="shared" si="224"/>
        <v>0</v>
      </c>
      <c r="Q472" s="58">
        <f t="shared" si="225"/>
        <v>18331.745637564272</v>
      </c>
      <c r="R472" s="58">
        <f t="shared" si="225"/>
        <v>4139.0268685392293</v>
      </c>
      <c r="S472" s="58">
        <f t="shared" si="225"/>
        <v>8090.323264072551</v>
      </c>
      <c r="T472" s="58">
        <f t="shared" si="225"/>
        <v>291.16765233678103</v>
      </c>
      <c r="U472" s="58">
        <f t="shared" si="225"/>
        <v>119.65460262716364</v>
      </c>
      <c r="V472" s="58">
        <f t="shared" si="225"/>
        <v>0</v>
      </c>
      <c r="W472" s="58">
        <f t="shared" si="225"/>
        <v>0</v>
      </c>
      <c r="X472" s="42">
        <f t="shared" si="225"/>
        <v>0</v>
      </c>
      <c r="Y472" s="42">
        <f t="shared" si="225"/>
        <v>0</v>
      </c>
      <c r="Z472" s="42">
        <f t="shared" si="225"/>
        <v>0</v>
      </c>
      <c r="AA472" s="42">
        <f t="shared" si="226"/>
        <v>985499.75773615926</v>
      </c>
      <c r="AB472" s="37" t="str">
        <f t="shared" si="227"/>
        <v>ok</v>
      </c>
    </row>
    <row r="473" spans="1:28">
      <c r="A473" s="45" t="s">
        <v>646</v>
      </c>
      <c r="C473" s="39" t="s">
        <v>1179</v>
      </c>
      <c r="D473" s="39" t="s">
        <v>569</v>
      </c>
      <c r="E473" s="39" t="s">
        <v>733</v>
      </c>
      <c r="F473" s="58">
        <f>VLOOKUP(C473,'Functional Assignment'!$C$2:$AP$725,'Functional Assignment'!$U$2,)</f>
        <v>1613348.9867021707</v>
      </c>
      <c r="G473" s="58">
        <f t="shared" si="224"/>
        <v>1388885.4161101379</v>
      </c>
      <c r="H473" s="58">
        <f t="shared" si="224"/>
        <v>172855.36830505019</v>
      </c>
      <c r="I473" s="58">
        <f t="shared" si="224"/>
        <v>339.46458818745128</v>
      </c>
      <c r="J473" s="58">
        <f t="shared" si="224"/>
        <v>11621.670019123332</v>
      </c>
      <c r="K473" s="58">
        <f t="shared" si="224"/>
        <v>367.42049544994723</v>
      </c>
      <c r="L473" s="58">
        <f t="shared" si="224"/>
        <v>646.97956807490709</v>
      </c>
      <c r="M473" s="58">
        <f t="shared" si="224"/>
        <v>0</v>
      </c>
      <c r="N473" s="58">
        <f t="shared" si="224"/>
        <v>0</v>
      </c>
      <c r="O473" s="58">
        <f t="shared" si="224"/>
        <v>0</v>
      </c>
      <c r="P473" s="58">
        <f t="shared" si="224"/>
        <v>0</v>
      </c>
      <c r="Q473" s="58">
        <f t="shared" si="225"/>
        <v>3.9937010374994264</v>
      </c>
      <c r="R473" s="58">
        <f t="shared" si="225"/>
        <v>7.9874020749988528</v>
      </c>
      <c r="S473" s="58">
        <f t="shared" si="225"/>
        <v>38146.234829779525</v>
      </c>
      <c r="T473" s="58">
        <f t="shared" si="225"/>
        <v>67.892917637490257</v>
      </c>
      <c r="U473" s="58">
        <f t="shared" si="225"/>
        <v>406.55876561744162</v>
      </c>
      <c r="V473" s="58">
        <f t="shared" si="225"/>
        <v>0</v>
      </c>
      <c r="W473" s="58">
        <f t="shared" si="225"/>
        <v>0</v>
      </c>
      <c r="X473" s="42">
        <f t="shared" si="225"/>
        <v>0</v>
      </c>
      <c r="Y473" s="42">
        <f t="shared" si="225"/>
        <v>0</v>
      </c>
      <c r="Z473" s="42">
        <f t="shared" si="225"/>
        <v>0</v>
      </c>
      <c r="AA473" s="42">
        <f t="shared" si="226"/>
        <v>1613348.9867021707</v>
      </c>
      <c r="AB473" s="37" t="str">
        <f t="shared" si="227"/>
        <v>ok</v>
      </c>
    </row>
    <row r="474" spans="1:28">
      <c r="A474" s="45" t="s">
        <v>647</v>
      </c>
      <c r="C474" s="39" t="s">
        <v>1179</v>
      </c>
      <c r="D474" s="39" t="s">
        <v>570</v>
      </c>
      <c r="E474" s="39" t="s">
        <v>711</v>
      </c>
      <c r="F474" s="58">
        <f>VLOOKUP(C474,'Functional Assignment'!$C$2:$AP$725,'Functional Assignment'!$V$2,)</f>
        <v>328499.91924538632</v>
      </c>
      <c r="G474" s="58">
        <f t="shared" si="224"/>
        <v>227354.94923435134</v>
      </c>
      <c r="H474" s="58">
        <f t="shared" si="224"/>
        <v>43823.894834877792</v>
      </c>
      <c r="I474" s="58">
        <f t="shared" si="224"/>
        <v>0</v>
      </c>
      <c r="J474" s="58">
        <f t="shared" si="224"/>
        <v>43690.323582704346</v>
      </c>
      <c r="K474" s="58">
        <f t="shared" si="224"/>
        <v>0</v>
      </c>
      <c r="L474" s="58">
        <f t="shared" si="224"/>
        <v>11723.542890965968</v>
      </c>
      <c r="M474" s="58">
        <f t="shared" si="224"/>
        <v>0</v>
      </c>
      <c r="N474" s="58">
        <f t="shared" si="224"/>
        <v>0</v>
      </c>
      <c r="O474" s="58">
        <f t="shared" si="224"/>
        <v>0</v>
      </c>
      <c r="P474" s="58">
        <f t="shared" si="224"/>
        <v>0</v>
      </c>
      <c r="Q474" s="58">
        <f t="shared" si="225"/>
        <v>0</v>
      </c>
      <c r="R474" s="58">
        <f t="shared" si="225"/>
        <v>0</v>
      </c>
      <c r="S474" s="58">
        <f t="shared" si="225"/>
        <v>1813.0379383422514</v>
      </c>
      <c r="T474" s="58">
        <f t="shared" si="225"/>
        <v>67.356219536352285</v>
      </c>
      <c r="U474" s="58">
        <f t="shared" si="225"/>
        <v>26.814544608333797</v>
      </c>
      <c r="V474" s="58">
        <f t="shared" si="225"/>
        <v>0</v>
      </c>
      <c r="W474" s="58">
        <f t="shared" si="225"/>
        <v>0</v>
      </c>
      <c r="X474" s="42">
        <f t="shared" si="225"/>
        <v>0</v>
      </c>
      <c r="Y474" s="42">
        <f t="shared" si="225"/>
        <v>0</v>
      </c>
      <c r="Z474" s="42">
        <f t="shared" si="225"/>
        <v>0</v>
      </c>
      <c r="AA474" s="42">
        <f t="shared" si="226"/>
        <v>328499.91924538638</v>
      </c>
      <c r="AB474" s="37" t="str">
        <f t="shared" si="227"/>
        <v>ok</v>
      </c>
    </row>
    <row r="475" spans="1:28">
      <c r="A475" s="45" t="s">
        <v>648</v>
      </c>
      <c r="C475" s="39" t="s">
        <v>1179</v>
      </c>
      <c r="D475" s="39" t="s">
        <v>571</v>
      </c>
      <c r="E475" s="39" t="s">
        <v>732</v>
      </c>
      <c r="F475" s="58">
        <f>VLOOKUP(C475,'Functional Assignment'!$C$2:$AP$725,'Functional Assignment'!$W$2,)</f>
        <v>537782.99556739023</v>
      </c>
      <c r="G475" s="58">
        <f t="shared" si="224"/>
        <v>463168.1810189957</v>
      </c>
      <c r="H475" s="58">
        <f t="shared" si="224"/>
        <v>57644.140825847542</v>
      </c>
      <c r="I475" s="58">
        <f t="shared" si="224"/>
        <v>0</v>
      </c>
      <c r="J475" s="58">
        <f t="shared" si="224"/>
        <v>3875.6168800706146</v>
      </c>
      <c r="K475" s="58">
        <f t="shared" si="224"/>
        <v>0</v>
      </c>
      <c r="L475" s="58">
        <f t="shared" si="224"/>
        <v>215.75599126166307</v>
      </c>
      <c r="M475" s="58">
        <f t="shared" si="224"/>
        <v>0</v>
      </c>
      <c r="N475" s="58">
        <f t="shared" si="224"/>
        <v>0</v>
      </c>
      <c r="O475" s="58">
        <f t="shared" si="224"/>
        <v>0</v>
      </c>
      <c r="P475" s="58">
        <f t="shared" si="224"/>
        <v>0</v>
      </c>
      <c r="Q475" s="58">
        <f t="shared" si="225"/>
        <v>0</v>
      </c>
      <c r="R475" s="58">
        <f t="shared" si="225"/>
        <v>0</v>
      </c>
      <c r="S475" s="58">
        <f t="shared" si="225"/>
        <v>12721.079790956181</v>
      </c>
      <c r="T475" s="58">
        <f t="shared" si="225"/>
        <v>22.641060811409091</v>
      </c>
      <c r="U475" s="58">
        <f t="shared" si="225"/>
        <v>135.57999944714385</v>
      </c>
      <c r="V475" s="58">
        <f t="shared" si="225"/>
        <v>0</v>
      </c>
      <c r="W475" s="58">
        <f t="shared" si="225"/>
        <v>0</v>
      </c>
      <c r="X475" s="42">
        <f t="shared" si="225"/>
        <v>0</v>
      </c>
      <c r="Y475" s="42">
        <f t="shared" si="225"/>
        <v>0</v>
      </c>
      <c r="Z475" s="42">
        <f t="shared" si="225"/>
        <v>0</v>
      </c>
      <c r="AA475" s="42">
        <f t="shared" si="226"/>
        <v>537782.99556739023</v>
      </c>
      <c r="AB475" s="37" t="str">
        <f t="shared" si="227"/>
        <v>ok</v>
      </c>
    </row>
    <row r="476" spans="1:28">
      <c r="A476" s="39" t="s">
        <v>398</v>
      </c>
      <c r="D476" s="39" t="s">
        <v>572</v>
      </c>
      <c r="F476" s="57">
        <f>SUM(F471:F475)</f>
        <v>3465131.6592511069</v>
      </c>
      <c r="G476" s="57">
        <f t="shared" ref="G476:W476" si="228">SUM(G471:G475)</f>
        <v>2552206.2220601593</v>
      </c>
      <c r="H476" s="57">
        <f t="shared" si="228"/>
        <v>408456.79185434873</v>
      </c>
      <c r="I476" s="57">
        <f t="shared" si="228"/>
        <v>14318.20499428382</v>
      </c>
      <c r="J476" s="57">
        <f t="shared" si="228"/>
        <v>222726.10568295032</v>
      </c>
      <c r="K476" s="57">
        <f t="shared" si="228"/>
        <v>131236.97538883431</v>
      </c>
      <c r="L476" s="57">
        <f t="shared" si="228"/>
        <v>51796.264075541425</v>
      </c>
      <c r="M476" s="57">
        <f t="shared" si="228"/>
        <v>0</v>
      </c>
      <c r="N476" s="57">
        <f t="shared" si="228"/>
        <v>0</v>
      </c>
      <c r="O476" s="57">
        <f>SUM(O471:O475)</f>
        <v>0</v>
      </c>
      <c r="P476" s="57">
        <f t="shared" si="228"/>
        <v>0</v>
      </c>
      <c r="Q476" s="57">
        <f t="shared" si="228"/>
        <v>18335.739338601772</v>
      </c>
      <c r="R476" s="57">
        <f t="shared" si="228"/>
        <v>4147.0142706142278</v>
      </c>
      <c r="S476" s="57">
        <f t="shared" si="228"/>
        <v>60770.675823150508</v>
      </c>
      <c r="T476" s="57">
        <f t="shared" si="228"/>
        <v>449.05785032203266</v>
      </c>
      <c r="U476" s="57">
        <f t="shared" si="228"/>
        <v>688.60791230008294</v>
      </c>
      <c r="V476" s="57">
        <f t="shared" si="228"/>
        <v>0</v>
      </c>
      <c r="W476" s="57">
        <f t="shared" si="228"/>
        <v>0</v>
      </c>
      <c r="X476" s="41">
        <f>SUM(X471:X475)</f>
        <v>0</v>
      </c>
      <c r="Y476" s="41">
        <f>SUM(Y471:Y475)</f>
        <v>0</v>
      </c>
      <c r="Z476" s="41">
        <f>SUM(Z471:Z475)</f>
        <v>0</v>
      </c>
      <c r="AA476" s="43">
        <f t="shared" si="226"/>
        <v>3465131.6592511069</v>
      </c>
      <c r="AB476" s="37" t="str">
        <f t="shared" si="227"/>
        <v>ok</v>
      </c>
    </row>
    <row r="477" spans="1:28">
      <c r="F477" s="58"/>
    </row>
    <row r="478" spans="1:28">
      <c r="A478" s="44" t="s">
        <v>666</v>
      </c>
      <c r="F478" s="58"/>
    </row>
    <row r="479" spans="1:28">
      <c r="A479" s="45" t="s">
        <v>1196</v>
      </c>
      <c r="C479" s="39" t="s">
        <v>1179</v>
      </c>
      <c r="D479" s="39" t="s">
        <v>573</v>
      </c>
      <c r="E479" s="39" t="s">
        <v>711</v>
      </c>
      <c r="F479" s="57">
        <f>VLOOKUP(C479,'Functional Assignment'!$C$2:$AP$725,'Functional Assignment'!$X$2,)</f>
        <v>460114.60546791105</v>
      </c>
      <c r="G479" s="57">
        <f t="shared" ref="G479:P480" si="229">IF(VLOOKUP($E479,$D$6:$AN$1197,3,)=0,0,(VLOOKUP($E479,$D$6:$AN$1197,G$2,)/VLOOKUP($E479,$D$6:$AN$1197,3,))*$F479)</f>
        <v>318445.53572020313</v>
      </c>
      <c r="H479" s="57">
        <f t="shared" si="229"/>
        <v>61382.097530912004</v>
      </c>
      <c r="I479" s="57">
        <f t="shared" si="229"/>
        <v>0</v>
      </c>
      <c r="J479" s="57">
        <f t="shared" si="229"/>
        <v>61195.010471235342</v>
      </c>
      <c r="K479" s="57">
        <f t="shared" si="229"/>
        <v>0</v>
      </c>
      <c r="L479" s="57">
        <f t="shared" si="229"/>
        <v>16420.622946739732</v>
      </c>
      <c r="M479" s="57">
        <f t="shared" si="229"/>
        <v>0</v>
      </c>
      <c r="N479" s="57">
        <f t="shared" si="229"/>
        <v>0</v>
      </c>
      <c r="O479" s="57">
        <f t="shared" si="229"/>
        <v>0</v>
      </c>
      <c r="P479" s="57">
        <f t="shared" si="229"/>
        <v>0</v>
      </c>
      <c r="Q479" s="57">
        <f t="shared" ref="Q479:Z480" si="230">IF(VLOOKUP($E479,$D$6:$AN$1197,3,)=0,0,(VLOOKUP($E479,$D$6:$AN$1197,Q$2,)/VLOOKUP($E479,$D$6:$AN$1197,3,))*$F479)</f>
        <v>0</v>
      </c>
      <c r="R479" s="57">
        <f t="shared" si="230"/>
        <v>0</v>
      </c>
      <c r="S479" s="57">
        <f t="shared" si="230"/>
        <v>2539.438175860118</v>
      </c>
      <c r="T479" s="57">
        <f t="shared" si="230"/>
        <v>94.342733626757209</v>
      </c>
      <c r="U479" s="57">
        <f t="shared" si="230"/>
        <v>37.55788933405799</v>
      </c>
      <c r="V479" s="57">
        <f t="shared" si="230"/>
        <v>0</v>
      </c>
      <c r="W479" s="57">
        <f t="shared" si="230"/>
        <v>0</v>
      </c>
      <c r="X479" s="41">
        <f t="shared" si="230"/>
        <v>0</v>
      </c>
      <c r="Y479" s="41">
        <f t="shared" si="230"/>
        <v>0</v>
      </c>
      <c r="Z479" s="41">
        <f t="shared" si="230"/>
        <v>0</v>
      </c>
      <c r="AA479" s="43">
        <f>SUM(G479:Z479)</f>
        <v>460114.60546791111</v>
      </c>
      <c r="AB479" s="37" t="str">
        <f>IF(ABS(F479-AA479)&lt;0.01,"ok","err")</f>
        <v>ok</v>
      </c>
    </row>
    <row r="480" spans="1:28">
      <c r="A480" s="45" t="s">
        <v>1199</v>
      </c>
      <c r="C480" s="39" t="s">
        <v>1179</v>
      </c>
      <c r="D480" s="39" t="s">
        <v>574</v>
      </c>
      <c r="E480" s="39" t="s">
        <v>732</v>
      </c>
      <c r="F480" s="58">
        <f>VLOOKUP(C480,'Functional Assignment'!$C$2:$AP$725,'Functional Assignment'!$Y$2,)</f>
        <v>365943.93217645341</v>
      </c>
      <c r="G480" s="58">
        <f t="shared" si="229"/>
        <v>315170.96453055704</v>
      </c>
      <c r="H480" s="58">
        <f t="shared" si="229"/>
        <v>39224.973148301229</v>
      </c>
      <c r="I480" s="58">
        <f t="shared" si="229"/>
        <v>0</v>
      </c>
      <c r="J480" s="58">
        <f t="shared" si="229"/>
        <v>2637.2319176922642</v>
      </c>
      <c r="K480" s="58">
        <f t="shared" si="229"/>
        <v>0</v>
      </c>
      <c r="L480" s="58">
        <f t="shared" si="229"/>
        <v>146.8149727375075</v>
      </c>
      <c r="M480" s="58">
        <f t="shared" si="229"/>
        <v>0</v>
      </c>
      <c r="N480" s="58">
        <f t="shared" si="229"/>
        <v>0</v>
      </c>
      <c r="O480" s="58">
        <f t="shared" si="229"/>
        <v>0</v>
      </c>
      <c r="P480" s="58">
        <f t="shared" si="229"/>
        <v>0</v>
      </c>
      <c r="Q480" s="58">
        <f t="shared" si="230"/>
        <v>0</v>
      </c>
      <c r="R480" s="58">
        <f t="shared" si="230"/>
        <v>0</v>
      </c>
      <c r="S480" s="58">
        <f t="shared" si="230"/>
        <v>8656.2832938245465</v>
      </c>
      <c r="T480" s="58">
        <f t="shared" si="230"/>
        <v>15.40650948480017</v>
      </c>
      <c r="U480" s="58">
        <f t="shared" si="230"/>
        <v>92.257803856038663</v>
      </c>
      <c r="V480" s="58">
        <f t="shared" si="230"/>
        <v>0</v>
      </c>
      <c r="W480" s="58">
        <f t="shared" si="230"/>
        <v>0</v>
      </c>
      <c r="X480" s="42">
        <f t="shared" si="230"/>
        <v>0</v>
      </c>
      <c r="Y480" s="42">
        <f t="shared" si="230"/>
        <v>0</v>
      </c>
      <c r="Z480" s="42">
        <f t="shared" si="230"/>
        <v>0</v>
      </c>
      <c r="AA480" s="42">
        <f>SUM(G480:Z480)</f>
        <v>365943.93217645347</v>
      </c>
      <c r="AB480" s="37" t="str">
        <f>IF(ABS(F480-AA480)&lt;0.01,"ok","err")</f>
        <v>ok</v>
      </c>
    </row>
    <row r="481" spans="1:28">
      <c r="A481" s="39" t="s">
        <v>773</v>
      </c>
      <c r="D481" s="39" t="s">
        <v>575</v>
      </c>
      <c r="F481" s="57">
        <f>F479+F480</f>
        <v>826058.53764436441</v>
      </c>
      <c r="G481" s="57">
        <f t="shared" ref="G481:W481" si="231">G479+G480</f>
        <v>633616.50025076023</v>
      </c>
      <c r="H481" s="57">
        <f t="shared" si="231"/>
        <v>100607.07067921324</v>
      </c>
      <c r="I481" s="57">
        <f t="shared" si="231"/>
        <v>0</v>
      </c>
      <c r="J481" s="57">
        <f t="shared" si="231"/>
        <v>63832.242388927603</v>
      </c>
      <c r="K481" s="57">
        <f t="shared" si="231"/>
        <v>0</v>
      </c>
      <c r="L481" s="57">
        <f t="shared" si="231"/>
        <v>16567.437919477237</v>
      </c>
      <c r="M481" s="57">
        <f t="shared" si="231"/>
        <v>0</v>
      </c>
      <c r="N481" s="57">
        <f t="shared" si="231"/>
        <v>0</v>
      </c>
      <c r="O481" s="57">
        <f>O479+O480</f>
        <v>0</v>
      </c>
      <c r="P481" s="57">
        <f t="shared" si="231"/>
        <v>0</v>
      </c>
      <c r="Q481" s="57">
        <f t="shared" si="231"/>
        <v>0</v>
      </c>
      <c r="R481" s="57">
        <f t="shared" si="231"/>
        <v>0</v>
      </c>
      <c r="S481" s="57">
        <f t="shared" si="231"/>
        <v>11195.721469684664</v>
      </c>
      <c r="T481" s="57">
        <f t="shared" si="231"/>
        <v>109.74924311155738</v>
      </c>
      <c r="U481" s="57">
        <f t="shared" si="231"/>
        <v>129.81569319009665</v>
      </c>
      <c r="V481" s="57">
        <f t="shared" si="231"/>
        <v>0</v>
      </c>
      <c r="W481" s="57">
        <f t="shared" si="231"/>
        <v>0</v>
      </c>
      <c r="X481" s="41">
        <f>X479+X480</f>
        <v>0</v>
      </c>
      <c r="Y481" s="41">
        <f>Y479+Y480</f>
        <v>0</v>
      </c>
      <c r="Z481" s="41">
        <f>Z479+Z480</f>
        <v>0</v>
      </c>
      <c r="AA481" s="43">
        <f>SUM(G481:Z481)</f>
        <v>826058.53764436464</v>
      </c>
      <c r="AB481" s="37" t="str">
        <f>IF(ABS(F481-AA481)&lt;0.01,"ok","err")</f>
        <v>ok</v>
      </c>
    </row>
    <row r="482" spans="1:28">
      <c r="F482" s="58"/>
    </row>
    <row r="483" spans="1:28">
      <c r="A483" s="44" t="s">
        <v>371</v>
      </c>
      <c r="F483" s="58"/>
    </row>
    <row r="484" spans="1:28">
      <c r="A484" s="45" t="s">
        <v>1199</v>
      </c>
      <c r="C484" s="39" t="s">
        <v>1179</v>
      </c>
      <c r="D484" s="39" t="s">
        <v>576</v>
      </c>
      <c r="E484" s="39" t="s">
        <v>1201</v>
      </c>
      <c r="F484" s="57">
        <f>VLOOKUP(C484,'Functional Assignment'!$C$2:$AP$725,'Functional Assignment'!$Z$2,)</f>
        <v>167551.24836188593</v>
      </c>
      <c r="G484" s="57">
        <f t="shared" ref="G484:Z484" si="232">IF(VLOOKUP($E484,$D$6:$AN$1197,3,)=0,0,(VLOOKUP($E484,$D$6:$AN$1197,G$2,)/VLOOKUP($E484,$D$6:$AN$1197,3,))*$F484)</f>
        <v>138597.44940681811</v>
      </c>
      <c r="H484" s="57">
        <f t="shared" si="232"/>
        <v>23147.128143865535</v>
      </c>
      <c r="I484" s="57">
        <f t="shared" si="232"/>
        <v>0</v>
      </c>
      <c r="J484" s="57">
        <f t="shared" si="232"/>
        <v>4944.748075819015</v>
      </c>
      <c r="K484" s="57">
        <f t="shared" si="232"/>
        <v>0</v>
      </c>
      <c r="L484" s="57">
        <f t="shared" si="232"/>
        <v>393.75318125154382</v>
      </c>
      <c r="M484" s="57">
        <f t="shared" si="232"/>
        <v>0</v>
      </c>
      <c r="N484" s="57">
        <f t="shared" si="232"/>
        <v>0</v>
      </c>
      <c r="O484" s="57">
        <f t="shared" si="232"/>
        <v>0</v>
      </c>
      <c r="P484" s="57">
        <f t="shared" si="232"/>
        <v>0</v>
      </c>
      <c r="Q484" s="57">
        <f t="shared" si="232"/>
        <v>0</v>
      </c>
      <c r="R484" s="57">
        <f t="shared" si="232"/>
        <v>0</v>
      </c>
      <c r="S484" s="57">
        <f t="shared" si="232"/>
        <v>0</v>
      </c>
      <c r="T484" s="57">
        <f t="shared" si="232"/>
        <v>68.00447763625661</v>
      </c>
      <c r="U484" s="57">
        <f t="shared" si="232"/>
        <v>400.16507649542905</v>
      </c>
      <c r="V484" s="57">
        <f t="shared" si="232"/>
        <v>0</v>
      </c>
      <c r="W484" s="57">
        <f t="shared" si="232"/>
        <v>0</v>
      </c>
      <c r="X484" s="41">
        <f t="shared" si="232"/>
        <v>0</v>
      </c>
      <c r="Y484" s="41">
        <f t="shared" si="232"/>
        <v>0</v>
      </c>
      <c r="Z484" s="41">
        <f t="shared" si="232"/>
        <v>0</v>
      </c>
      <c r="AA484" s="43">
        <f>SUM(G484:Z484)</f>
        <v>167551.2483618859</v>
      </c>
      <c r="AB484" s="37" t="str">
        <f>IF(ABS(F484-AA484)&lt;0.01,"ok","err")</f>
        <v>ok</v>
      </c>
    </row>
    <row r="485" spans="1:28">
      <c r="F485" s="58"/>
    </row>
    <row r="486" spans="1:28">
      <c r="A486" s="44" t="s">
        <v>370</v>
      </c>
      <c r="F486" s="58"/>
    </row>
    <row r="487" spans="1:28">
      <c r="A487" s="45" t="s">
        <v>1199</v>
      </c>
      <c r="C487" s="39" t="s">
        <v>1179</v>
      </c>
      <c r="D487" s="39" t="s">
        <v>577</v>
      </c>
      <c r="E487" s="39" t="s">
        <v>1202</v>
      </c>
      <c r="F487" s="57">
        <f>VLOOKUP(C487,'Functional Assignment'!$C$2:$AP$725,'Functional Assignment'!$AA$2,)</f>
        <v>225781.38928304927</v>
      </c>
      <c r="G487" s="57">
        <f t="shared" ref="G487:Z487" si="233">IF(VLOOKUP($E487,$D$6:$AN$1197,3,)=0,0,(VLOOKUP($E487,$D$6:$AN$1197,G$2,)/VLOOKUP($E487,$D$6:$AN$1197,3,))*$F487)</f>
        <v>158022.21137254598</v>
      </c>
      <c r="H487" s="57">
        <f t="shared" si="233"/>
        <v>46929.29279670235</v>
      </c>
      <c r="I487" s="57">
        <f t="shared" si="233"/>
        <v>2141.3838260972552</v>
      </c>
      <c r="J487" s="57">
        <f t="shared" si="233"/>
        <v>12295.640793593442</v>
      </c>
      <c r="K487" s="57">
        <f t="shared" si="233"/>
        <v>2409.7848931288258</v>
      </c>
      <c r="L487" s="57">
        <f t="shared" si="233"/>
        <v>738.71754243271425</v>
      </c>
      <c r="M487" s="57">
        <f t="shared" si="233"/>
        <v>0</v>
      </c>
      <c r="N487" s="57">
        <f t="shared" si="233"/>
        <v>0</v>
      </c>
      <c r="O487" s="57">
        <f t="shared" si="233"/>
        <v>0</v>
      </c>
      <c r="P487" s="57">
        <f t="shared" si="233"/>
        <v>2129.7362653414307</v>
      </c>
      <c r="Q487" s="57">
        <f t="shared" si="233"/>
        <v>193.61238775831188</v>
      </c>
      <c r="R487" s="57">
        <f t="shared" si="233"/>
        <v>387.22477551662377</v>
      </c>
      <c r="S487" s="57">
        <f t="shared" si="233"/>
        <v>0</v>
      </c>
      <c r="T487" s="57">
        <f t="shared" si="233"/>
        <v>77.535466816371809</v>
      </c>
      <c r="U487" s="57">
        <f t="shared" si="233"/>
        <v>456.24916311599134</v>
      </c>
      <c r="V487" s="57">
        <f t="shared" si="233"/>
        <v>0</v>
      </c>
      <c r="W487" s="57">
        <f t="shared" si="233"/>
        <v>0</v>
      </c>
      <c r="X487" s="41">
        <f t="shared" si="233"/>
        <v>0</v>
      </c>
      <c r="Y487" s="41">
        <f t="shared" si="233"/>
        <v>0</v>
      </c>
      <c r="Z487" s="41">
        <f t="shared" si="233"/>
        <v>0</v>
      </c>
      <c r="AA487" s="43">
        <f>SUM(G487:Z487)</f>
        <v>225781.38928304927</v>
      </c>
      <c r="AB487" s="37" t="str">
        <f>IF(ABS(F487-AA487)&lt;0.01,"ok","err")</f>
        <v>ok</v>
      </c>
    </row>
    <row r="488" spans="1:28"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41"/>
      <c r="Y488" s="41"/>
      <c r="Z488" s="41"/>
      <c r="AA488" s="43"/>
    </row>
    <row r="489" spans="1:28">
      <c r="A489" s="44" t="s">
        <v>391</v>
      </c>
      <c r="F489" s="58"/>
    </row>
    <row r="490" spans="1:28">
      <c r="A490" s="45" t="s">
        <v>1199</v>
      </c>
      <c r="C490" s="39" t="s">
        <v>1179</v>
      </c>
      <c r="D490" s="39" t="s">
        <v>578</v>
      </c>
      <c r="E490" s="39" t="s">
        <v>1203</v>
      </c>
      <c r="F490" s="57">
        <f>VLOOKUP(C490,'Functional Assignment'!$C$2:$AP$725,'Functional Assignment'!$AB$2,)</f>
        <v>496606.36726093007</v>
      </c>
      <c r="G490" s="57">
        <f t="shared" ref="G490:Z490" si="234">IF(VLOOKUP($E490,$D$6:$AN$1197,3,)=0,0,(VLOOKUP($E490,$D$6:$AN$1197,G$2,)/VLOOKUP($E490,$D$6:$AN$1197,3,))*$F490)</f>
        <v>0</v>
      </c>
      <c r="H490" s="57">
        <f t="shared" si="234"/>
        <v>0</v>
      </c>
      <c r="I490" s="57">
        <f t="shared" si="234"/>
        <v>0</v>
      </c>
      <c r="J490" s="57">
        <f t="shared" si="234"/>
        <v>0</v>
      </c>
      <c r="K490" s="57">
        <f t="shared" si="234"/>
        <v>0</v>
      </c>
      <c r="L490" s="57">
        <f t="shared" si="234"/>
        <v>0</v>
      </c>
      <c r="M490" s="57">
        <f t="shared" si="234"/>
        <v>0</v>
      </c>
      <c r="N490" s="57">
        <f t="shared" si="234"/>
        <v>0</v>
      </c>
      <c r="O490" s="57">
        <f t="shared" si="234"/>
        <v>0</v>
      </c>
      <c r="P490" s="57">
        <f t="shared" si="234"/>
        <v>0</v>
      </c>
      <c r="Q490" s="57">
        <f t="shared" si="234"/>
        <v>0</v>
      </c>
      <c r="R490" s="57">
        <f t="shared" si="234"/>
        <v>0</v>
      </c>
      <c r="S490" s="57">
        <f t="shared" si="234"/>
        <v>496606.36726093007</v>
      </c>
      <c r="T490" s="57">
        <f t="shared" si="234"/>
        <v>0</v>
      </c>
      <c r="U490" s="57">
        <f t="shared" si="234"/>
        <v>0</v>
      </c>
      <c r="V490" s="57">
        <f t="shared" si="234"/>
        <v>0</v>
      </c>
      <c r="W490" s="57">
        <f t="shared" si="234"/>
        <v>0</v>
      </c>
      <c r="X490" s="41">
        <f t="shared" si="234"/>
        <v>0</v>
      </c>
      <c r="Y490" s="41">
        <f t="shared" si="234"/>
        <v>0</v>
      </c>
      <c r="Z490" s="41">
        <f t="shared" si="234"/>
        <v>0</v>
      </c>
      <c r="AA490" s="43">
        <f>SUM(G490:Z490)</f>
        <v>496606.36726093007</v>
      </c>
      <c r="AB490" s="37" t="str">
        <f>IF(ABS(F490-AA490)&lt;0.01,"ok","err")</f>
        <v>ok</v>
      </c>
    </row>
    <row r="491" spans="1:28"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41"/>
      <c r="Y491" s="41"/>
      <c r="Z491" s="41"/>
      <c r="AA491" s="43"/>
    </row>
    <row r="492" spans="1:28">
      <c r="A492" s="44" t="s">
        <v>1129</v>
      </c>
      <c r="F492" s="58"/>
    </row>
    <row r="493" spans="1:28">
      <c r="A493" s="45" t="s">
        <v>1199</v>
      </c>
      <c r="C493" s="39" t="s">
        <v>1179</v>
      </c>
      <c r="D493" s="39" t="s">
        <v>579</v>
      </c>
      <c r="E493" s="39" t="s">
        <v>1204</v>
      </c>
      <c r="F493" s="57">
        <f>VLOOKUP(C493,'Functional Assignment'!$C$2:$AP$725,'Functional Assignment'!$AC$2,)</f>
        <v>0</v>
      </c>
      <c r="G493" s="57">
        <f t="shared" ref="G493:Z493" si="235">IF(VLOOKUP($E493,$D$6:$AN$1197,3,)=0,0,(VLOOKUP($E493,$D$6:$AN$1197,G$2,)/VLOOKUP($E493,$D$6:$AN$1197,3,))*$F493)</f>
        <v>0</v>
      </c>
      <c r="H493" s="57">
        <f t="shared" si="235"/>
        <v>0</v>
      </c>
      <c r="I493" s="57">
        <f t="shared" si="235"/>
        <v>0</v>
      </c>
      <c r="J493" s="57">
        <f t="shared" si="235"/>
        <v>0</v>
      </c>
      <c r="K493" s="57">
        <f t="shared" si="235"/>
        <v>0</v>
      </c>
      <c r="L493" s="57">
        <f t="shared" si="235"/>
        <v>0</v>
      </c>
      <c r="M493" s="57">
        <f t="shared" si="235"/>
        <v>0</v>
      </c>
      <c r="N493" s="57">
        <f t="shared" si="235"/>
        <v>0</v>
      </c>
      <c r="O493" s="57">
        <f t="shared" si="235"/>
        <v>0</v>
      </c>
      <c r="P493" s="57">
        <f t="shared" si="235"/>
        <v>0</v>
      </c>
      <c r="Q493" s="57">
        <f t="shared" si="235"/>
        <v>0</v>
      </c>
      <c r="R493" s="57">
        <f t="shared" si="235"/>
        <v>0</v>
      </c>
      <c r="S493" s="57">
        <f t="shared" si="235"/>
        <v>0</v>
      </c>
      <c r="T493" s="57">
        <f t="shared" si="235"/>
        <v>0</v>
      </c>
      <c r="U493" s="57">
        <f t="shared" si="235"/>
        <v>0</v>
      </c>
      <c r="V493" s="57">
        <f t="shared" si="235"/>
        <v>0</v>
      </c>
      <c r="W493" s="57">
        <f t="shared" si="235"/>
        <v>0</v>
      </c>
      <c r="X493" s="41">
        <f t="shared" si="235"/>
        <v>0</v>
      </c>
      <c r="Y493" s="41">
        <f t="shared" si="235"/>
        <v>0</v>
      </c>
      <c r="Z493" s="41">
        <f t="shared" si="235"/>
        <v>0</v>
      </c>
      <c r="AA493" s="43">
        <f>SUM(G493:Z493)</f>
        <v>0</v>
      </c>
      <c r="AB493" s="37" t="str">
        <f>IF(ABS(F493-AA493)&lt;0.01,"ok","err")</f>
        <v>ok</v>
      </c>
    </row>
    <row r="494" spans="1:28"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41"/>
      <c r="Y494" s="41"/>
      <c r="Z494" s="41"/>
      <c r="AA494" s="43"/>
    </row>
    <row r="495" spans="1:28">
      <c r="A495" s="44" t="s">
        <v>368</v>
      </c>
      <c r="F495" s="58"/>
    </row>
    <row r="496" spans="1:28">
      <c r="A496" s="45" t="s">
        <v>1199</v>
      </c>
      <c r="C496" s="39" t="s">
        <v>1179</v>
      </c>
      <c r="D496" s="39" t="s">
        <v>580</v>
      </c>
      <c r="E496" s="39" t="s">
        <v>1204</v>
      </c>
      <c r="F496" s="57">
        <f>VLOOKUP(C496,'Functional Assignment'!$C$2:$AP$725,'Functional Assignment'!$AD$2,)</f>
        <v>0</v>
      </c>
      <c r="G496" s="57">
        <f t="shared" ref="G496:Z496" si="236">IF(VLOOKUP($E496,$D$6:$AN$1197,3,)=0,0,(VLOOKUP($E496,$D$6:$AN$1197,G$2,)/VLOOKUP($E496,$D$6:$AN$1197,3,))*$F496)</f>
        <v>0</v>
      </c>
      <c r="H496" s="57">
        <f t="shared" si="236"/>
        <v>0</v>
      </c>
      <c r="I496" s="57">
        <f t="shared" si="236"/>
        <v>0</v>
      </c>
      <c r="J496" s="57">
        <f t="shared" si="236"/>
        <v>0</v>
      </c>
      <c r="K496" s="57">
        <f t="shared" si="236"/>
        <v>0</v>
      </c>
      <c r="L496" s="57">
        <f t="shared" si="236"/>
        <v>0</v>
      </c>
      <c r="M496" s="57">
        <f t="shared" si="236"/>
        <v>0</v>
      </c>
      <c r="N496" s="57">
        <f t="shared" si="236"/>
        <v>0</v>
      </c>
      <c r="O496" s="57">
        <f t="shared" si="236"/>
        <v>0</v>
      </c>
      <c r="P496" s="57">
        <f t="shared" si="236"/>
        <v>0</v>
      </c>
      <c r="Q496" s="57">
        <f t="shared" si="236"/>
        <v>0</v>
      </c>
      <c r="R496" s="57">
        <f t="shared" si="236"/>
        <v>0</v>
      </c>
      <c r="S496" s="57">
        <f t="shared" si="236"/>
        <v>0</v>
      </c>
      <c r="T496" s="57">
        <f t="shared" si="236"/>
        <v>0</v>
      </c>
      <c r="U496" s="57">
        <f t="shared" si="236"/>
        <v>0</v>
      </c>
      <c r="V496" s="57">
        <f t="shared" si="236"/>
        <v>0</v>
      </c>
      <c r="W496" s="57">
        <f t="shared" si="236"/>
        <v>0</v>
      </c>
      <c r="X496" s="41">
        <f t="shared" si="236"/>
        <v>0</v>
      </c>
      <c r="Y496" s="41">
        <f t="shared" si="236"/>
        <v>0</v>
      </c>
      <c r="Z496" s="41">
        <f t="shared" si="236"/>
        <v>0</v>
      </c>
      <c r="AA496" s="43">
        <f>SUM(G496:Z496)</f>
        <v>0</v>
      </c>
      <c r="AB496" s="37" t="str">
        <f>IF(ABS(F496-AA496)&lt;0.01,"ok","err")</f>
        <v>ok</v>
      </c>
    </row>
    <row r="497" spans="1:28"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41"/>
      <c r="Y497" s="41"/>
      <c r="Z497" s="41"/>
      <c r="AA497" s="43"/>
    </row>
    <row r="498" spans="1:28">
      <c r="A498" s="44" t="s">
        <v>367</v>
      </c>
      <c r="F498" s="58"/>
    </row>
    <row r="499" spans="1:28">
      <c r="A499" s="45" t="s">
        <v>1199</v>
      </c>
      <c r="C499" s="39" t="s">
        <v>1179</v>
      </c>
      <c r="D499" s="39" t="s">
        <v>581</v>
      </c>
      <c r="E499" s="39" t="s">
        <v>1205</v>
      </c>
      <c r="F499" s="57">
        <f>VLOOKUP(C499,'Functional Assignment'!$C$2:$AP$725,'Functional Assignment'!$AE$2,)</f>
        <v>0</v>
      </c>
      <c r="G499" s="57">
        <f t="shared" ref="G499:Z499" si="237">IF(VLOOKUP($E499,$D$6:$AN$1197,3,)=0,0,(VLOOKUP($E499,$D$6:$AN$1197,G$2,)/VLOOKUP($E499,$D$6:$AN$1197,3,))*$F499)</f>
        <v>0</v>
      </c>
      <c r="H499" s="57">
        <f t="shared" si="237"/>
        <v>0</v>
      </c>
      <c r="I499" s="57">
        <f t="shared" si="237"/>
        <v>0</v>
      </c>
      <c r="J499" s="57">
        <f t="shared" si="237"/>
        <v>0</v>
      </c>
      <c r="K499" s="57">
        <f t="shared" si="237"/>
        <v>0</v>
      </c>
      <c r="L499" s="57">
        <f t="shared" si="237"/>
        <v>0</v>
      </c>
      <c r="M499" s="57">
        <f t="shared" si="237"/>
        <v>0</v>
      </c>
      <c r="N499" s="57">
        <f t="shared" si="237"/>
        <v>0</v>
      </c>
      <c r="O499" s="57">
        <f t="shared" si="237"/>
        <v>0</v>
      </c>
      <c r="P499" s="57">
        <f t="shared" si="237"/>
        <v>0</v>
      </c>
      <c r="Q499" s="57">
        <f t="shared" si="237"/>
        <v>0</v>
      </c>
      <c r="R499" s="57">
        <f t="shared" si="237"/>
        <v>0</v>
      </c>
      <c r="S499" s="57">
        <f t="shared" si="237"/>
        <v>0</v>
      </c>
      <c r="T499" s="57">
        <f t="shared" si="237"/>
        <v>0</v>
      </c>
      <c r="U499" s="57">
        <f t="shared" si="237"/>
        <v>0</v>
      </c>
      <c r="V499" s="57">
        <f t="shared" si="237"/>
        <v>0</v>
      </c>
      <c r="W499" s="57">
        <f t="shared" si="237"/>
        <v>0</v>
      </c>
      <c r="X499" s="41">
        <f t="shared" si="237"/>
        <v>0</v>
      </c>
      <c r="Y499" s="41">
        <f t="shared" si="237"/>
        <v>0</v>
      </c>
      <c r="Z499" s="41">
        <f t="shared" si="237"/>
        <v>0</v>
      </c>
      <c r="AA499" s="43">
        <f>SUM(G499:Z499)</f>
        <v>0</v>
      </c>
      <c r="AB499" s="37" t="str">
        <f>IF(ABS(F499-AA499)&lt;0.01,"ok","err")</f>
        <v>ok</v>
      </c>
    </row>
    <row r="500" spans="1:28"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41"/>
      <c r="Y500" s="41"/>
      <c r="Z500" s="41"/>
      <c r="AA500" s="43"/>
    </row>
    <row r="501" spans="1:28">
      <c r="A501" s="39" t="s">
        <v>1026</v>
      </c>
      <c r="D501" s="39" t="s">
        <v>1215</v>
      </c>
      <c r="F501" s="57">
        <f>F456+F462+F465+F468+F476+F481+F484+F487+F490+F493+F496+F499</f>
        <v>21920600.789999995</v>
      </c>
      <c r="G501" s="57">
        <f t="shared" ref="G501:Z501" si="238">G456+G462+G465+G468+G476+G481+G484+G487+G490+G493+G496+G499</f>
        <v>10528397.621051934</v>
      </c>
      <c r="H501" s="57">
        <f t="shared" si="238"/>
        <v>2862951.7448080746</v>
      </c>
      <c r="I501" s="57">
        <f t="shared" si="238"/>
        <v>297716.66517939628</v>
      </c>
      <c r="J501" s="57">
        <f t="shared" si="238"/>
        <v>3431647.2573720417</v>
      </c>
      <c r="K501" s="57">
        <f t="shared" si="238"/>
        <v>2306216.2750689187</v>
      </c>
      <c r="L501" s="57">
        <f t="shared" si="238"/>
        <v>853067.55304507271</v>
      </c>
      <c r="M501" s="57">
        <f t="shared" si="238"/>
        <v>0</v>
      </c>
      <c r="N501" s="57">
        <f t="shared" si="238"/>
        <v>0</v>
      </c>
      <c r="O501" s="57">
        <f>O456+O462+O465+O468+O476+O481+O484+O487+O490+O493+O496+O499</f>
        <v>0</v>
      </c>
      <c r="P501" s="57">
        <f t="shared" si="238"/>
        <v>612121.18113173335</v>
      </c>
      <c r="Q501" s="57">
        <f t="shared" si="238"/>
        <v>324948.3513502432</v>
      </c>
      <c r="R501" s="57">
        <f t="shared" si="238"/>
        <v>71834.598327797547</v>
      </c>
      <c r="S501" s="57">
        <f t="shared" si="238"/>
        <v>623787.81469790265</v>
      </c>
      <c r="T501" s="57">
        <f t="shared" si="238"/>
        <v>2781.1711871874518</v>
      </c>
      <c r="U501" s="57">
        <f t="shared" si="238"/>
        <v>5130.5567796939467</v>
      </c>
      <c r="V501" s="57">
        <f t="shared" si="238"/>
        <v>0</v>
      </c>
      <c r="W501" s="57">
        <f t="shared" si="238"/>
        <v>0</v>
      </c>
      <c r="X501" s="41">
        <f t="shared" si="238"/>
        <v>0</v>
      </c>
      <c r="Y501" s="41">
        <f t="shared" si="238"/>
        <v>0</v>
      </c>
      <c r="Z501" s="41">
        <f t="shared" si="238"/>
        <v>0</v>
      </c>
      <c r="AA501" s="43">
        <f>SUM(G501:Z501)</f>
        <v>21920600.789999995</v>
      </c>
      <c r="AB501" s="37" t="str">
        <f>IF(ABS(F501-AA501)&lt;0.01,"ok","err")</f>
        <v>ok</v>
      </c>
    </row>
    <row r="502" spans="1:28">
      <c r="A502" s="44" t="s">
        <v>670</v>
      </c>
    </row>
    <row r="504" spans="1:28">
      <c r="A504" s="44" t="s">
        <v>384</v>
      </c>
    </row>
    <row r="505" spans="1:28">
      <c r="A505" s="45" t="s">
        <v>376</v>
      </c>
      <c r="C505" s="39" t="s">
        <v>553</v>
      </c>
      <c r="D505" s="39" t="s">
        <v>582</v>
      </c>
      <c r="E505" s="39" t="s">
        <v>939</v>
      </c>
      <c r="F505" s="57">
        <f>VLOOKUP(C505,'Functional Assignment'!$C$2:$AP$725,'Functional Assignment'!$H$2,)</f>
        <v>-606419.03834146552</v>
      </c>
      <c r="G505" s="57">
        <f t="shared" ref="G505:P510" si="239">IF(VLOOKUP($E505,$D$6:$AN$1197,3,)=0,0,(VLOOKUP($E505,$D$6:$AN$1197,G$2,)/VLOOKUP($E505,$D$6:$AN$1197,3,))*$F505)</f>
        <v>-221691.12733914392</v>
      </c>
      <c r="H505" s="57">
        <f t="shared" si="239"/>
        <v>-73120.767067922527</v>
      </c>
      <c r="I505" s="57">
        <f t="shared" si="239"/>
        <v>-11967.677900847733</v>
      </c>
      <c r="J505" s="57">
        <f t="shared" si="239"/>
        <v>-121922.47983177612</v>
      </c>
      <c r="K505" s="57">
        <f t="shared" si="239"/>
        <v>-98047.471842246363</v>
      </c>
      <c r="L505" s="57">
        <f t="shared" si="239"/>
        <v>-33149.860841553469</v>
      </c>
      <c r="M505" s="57">
        <f t="shared" si="239"/>
        <v>0</v>
      </c>
      <c r="N505" s="57">
        <f t="shared" si="239"/>
        <v>0</v>
      </c>
      <c r="O505" s="57">
        <f t="shared" si="239"/>
        <v>0</v>
      </c>
      <c r="P505" s="57">
        <f t="shared" si="239"/>
        <v>-26544.299559948104</v>
      </c>
      <c r="Q505" s="57">
        <f t="shared" ref="Q505:Z510" si="240">IF(VLOOKUP($E505,$D$6:$AN$1197,3,)=0,0,(VLOOKUP($E505,$D$6:$AN$1197,Q$2,)/VLOOKUP($E505,$D$6:$AN$1197,3,))*$F505)</f>
        <v>-11142.799605222326</v>
      </c>
      <c r="R505" s="57">
        <f t="shared" si="240"/>
        <v>-2994.5055453210211</v>
      </c>
      <c r="S505" s="57">
        <f t="shared" si="240"/>
        <v>-5477.8035694259397</v>
      </c>
      <c r="T505" s="57">
        <f t="shared" si="240"/>
        <v>-198.00510049550968</v>
      </c>
      <c r="U505" s="57">
        <f t="shared" si="240"/>
        <v>-162.24013756243926</v>
      </c>
      <c r="V505" s="57">
        <f t="shared" si="240"/>
        <v>0</v>
      </c>
      <c r="W505" s="57">
        <f t="shared" si="240"/>
        <v>0</v>
      </c>
      <c r="X505" s="41">
        <f t="shared" si="240"/>
        <v>0</v>
      </c>
      <c r="Y505" s="41">
        <f t="shared" si="240"/>
        <v>0</v>
      </c>
      <c r="Z505" s="41">
        <f t="shared" si="240"/>
        <v>0</v>
      </c>
      <c r="AA505" s="43">
        <f t="shared" ref="AA505:AA511" si="241">SUM(G505:Z505)</f>
        <v>-606419.03834146552</v>
      </c>
      <c r="AB505" s="37" t="str">
        <f t="shared" ref="AB505:AB511" si="242">IF(ABS(F505-AA505)&lt;0.01,"ok","err")</f>
        <v>ok</v>
      </c>
    </row>
    <row r="506" spans="1:28">
      <c r="A506" s="45" t="s">
        <v>1391</v>
      </c>
      <c r="C506" s="39" t="s">
        <v>553</v>
      </c>
      <c r="D506" s="39" t="s">
        <v>583</v>
      </c>
      <c r="E506" s="39" t="s">
        <v>204</v>
      </c>
      <c r="F506" s="58">
        <f>VLOOKUP(C506,'Functional Assignment'!$C$2:$AP$725,'Functional Assignment'!$I$2,)</f>
        <v>-571657.73379779514</v>
      </c>
      <c r="G506" s="58">
        <f t="shared" si="239"/>
        <v>-230513.21455247761</v>
      </c>
      <c r="H506" s="58">
        <f t="shared" si="239"/>
        <v>-90992.799678762851</v>
      </c>
      <c r="I506" s="58">
        <f t="shared" si="239"/>
        <v>-9266.3800513995357</v>
      </c>
      <c r="J506" s="58">
        <f t="shared" si="239"/>
        <v>-106712.53465129144</v>
      </c>
      <c r="K506" s="58">
        <f t="shared" si="239"/>
        <v>-70202.240341160083</v>
      </c>
      <c r="L506" s="58">
        <f t="shared" si="239"/>
        <v>-26816.288650034767</v>
      </c>
      <c r="M506" s="58">
        <f t="shared" si="239"/>
        <v>0</v>
      </c>
      <c r="N506" s="58">
        <f t="shared" si="239"/>
        <v>0</v>
      </c>
      <c r="O506" s="58">
        <f t="shared" si="239"/>
        <v>0</v>
      </c>
      <c r="P506" s="58">
        <f t="shared" si="239"/>
        <v>-24848.849746237232</v>
      </c>
      <c r="Q506" s="58">
        <f t="shared" si="240"/>
        <v>-10201.321782284194</v>
      </c>
      <c r="R506" s="58">
        <f t="shared" si="240"/>
        <v>-1974.2884652249986</v>
      </c>
      <c r="S506" s="58">
        <f t="shared" si="240"/>
        <v>0</v>
      </c>
      <c r="T506" s="58">
        <f t="shared" si="240"/>
        <v>-3.9980427933156322</v>
      </c>
      <c r="U506" s="58">
        <f t="shared" si="240"/>
        <v>-125.81783612911731</v>
      </c>
      <c r="V506" s="58">
        <f t="shared" si="240"/>
        <v>0</v>
      </c>
      <c r="W506" s="58">
        <f t="shared" si="240"/>
        <v>0</v>
      </c>
      <c r="X506" s="42">
        <f t="shared" si="240"/>
        <v>0</v>
      </c>
      <c r="Y506" s="42">
        <f t="shared" si="240"/>
        <v>0</v>
      </c>
      <c r="Z506" s="42">
        <f t="shared" si="240"/>
        <v>0</v>
      </c>
      <c r="AA506" s="42">
        <f t="shared" si="241"/>
        <v>-571657.73379779526</v>
      </c>
      <c r="AB506" s="37" t="str">
        <f t="shared" si="242"/>
        <v>ok</v>
      </c>
    </row>
    <row r="507" spans="1:28">
      <c r="A507" s="45" t="s">
        <v>1392</v>
      </c>
      <c r="C507" s="39" t="s">
        <v>553</v>
      </c>
      <c r="D507" s="39" t="s">
        <v>584</v>
      </c>
      <c r="E507" s="39" t="s">
        <v>207</v>
      </c>
      <c r="F507" s="58">
        <f>VLOOKUP(C507,'Functional Assignment'!$C$2:$AP$725,'Functional Assignment'!$J$2,)</f>
        <v>-587096.43899169238</v>
      </c>
      <c r="G507" s="58">
        <f t="shared" si="239"/>
        <v>-286661.2568459328</v>
      </c>
      <c r="H507" s="58">
        <f t="shared" si="239"/>
        <v>-76736.654818348354</v>
      </c>
      <c r="I507" s="58">
        <f t="shared" si="239"/>
        <v>-8608.1178718643259</v>
      </c>
      <c r="J507" s="58">
        <f t="shared" si="239"/>
        <v>-102663.16430771309</v>
      </c>
      <c r="K507" s="58">
        <f t="shared" si="239"/>
        <v>-60636.142356514749</v>
      </c>
      <c r="L507" s="58">
        <f t="shared" si="239"/>
        <v>-23154.079705641852</v>
      </c>
      <c r="M507" s="58">
        <f t="shared" si="239"/>
        <v>0</v>
      </c>
      <c r="N507" s="58">
        <f t="shared" si="239"/>
        <v>0</v>
      </c>
      <c r="O507" s="58">
        <f t="shared" si="239"/>
        <v>0</v>
      </c>
      <c r="P507" s="58">
        <f t="shared" si="239"/>
        <v>-15487.424310218596</v>
      </c>
      <c r="Q507" s="58">
        <f t="shared" si="240"/>
        <v>-10946.895838976336</v>
      </c>
      <c r="R507" s="58">
        <f t="shared" si="240"/>
        <v>-2115.4187331986977</v>
      </c>
      <c r="S507" s="58">
        <f t="shared" si="240"/>
        <v>0</v>
      </c>
      <c r="T507" s="58">
        <f t="shared" si="240"/>
        <v>-4.9709159579765139</v>
      </c>
      <c r="U507" s="58">
        <f t="shared" si="240"/>
        <v>-82.313287325530169</v>
      </c>
      <c r="V507" s="58">
        <f t="shared" si="240"/>
        <v>0</v>
      </c>
      <c r="W507" s="58">
        <f t="shared" si="240"/>
        <v>0</v>
      </c>
      <c r="X507" s="42">
        <f t="shared" si="240"/>
        <v>0</v>
      </c>
      <c r="Y507" s="42">
        <f t="shared" si="240"/>
        <v>0</v>
      </c>
      <c r="Z507" s="42">
        <f t="shared" si="240"/>
        <v>0</v>
      </c>
      <c r="AA507" s="42">
        <f t="shared" si="241"/>
        <v>-587096.43899169227</v>
      </c>
      <c r="AB507" s="37" t="str">
        <f t="shared" si="242"/>
        <v>ok</v>
      </c>
    </row>
    <row r="508" spans="1:28">
      <c r="A508" s="45" t="s">
        <v>1393</v>
      </c>
      <c r="C508" s="39" t="s">
        <v>553</v>
      </c>
      <c r="D508" s="39" t="s">
        <v>585</v>
      </c>
      <c r="E508" s="39" t="s">
        <v>1197</v>
      </c>
      <c r="F508" s="58">
        <f>VLOOKUP(C508,'Functional Assignment'!$C$2:$AP$725,'Functional Assignment'!$K$2,)</f>
        <v>0</v>
      </c>
      <c r="G508" s="58">
        <f t="shared" si="239"/>
        <v>0</v>
      </c>
      <c r="H508" s="58">
        <f t="shared" si="239"/>
        <v>0</v>
      </c>
      <c r="I508" s="58">
        <f t="shared" si="239"/>
        <v>0</v>
      </c>
      <c r="J508" s="58">
        <f t="shared" si="239"/>
        <v>0</v>
      </c>
      <c r="K508" s="58">
        <f t="shared" si="239"/>
        <v>0</v>
      </c>
      <c r="L508" s="58">
        <f t="shared" si="239"/>
        <v>0</v>
      </c>
      <c r="M508" s="58">
        <f t="shared" si="239"/>
        <v>0</v>
      </c>
      <c r="N508" s="58">
        <f t="shared" si="239"/>
        <v>0</v>
      </c>
      <c r="O508" s="58">
        <f t="shared" si="239"/>
        <v>0</v>
      </c>
      <c r="P508" s="58">
        <f t="shared" si="239"/>
        <v>0</v>
      </c>
      <c r="Q508" s="58">
        <f t="shared" si="240"/>
        <v>0</v>
      </c>
      <c r="R508" s="58">
        <f t="shared" si="240"/>
        <v>0</v>
      </c>
      <c r="S508" s="58">
        <f t="shared" si="240"/>
        <v>0</v>
      </c>
      <c r="T508" s="58">
        <f t="shared" si="240"/>
        <v>0</v>
      </c>
      <c r="U508" s="58">
        <f t="shared" si="240"/>
        <v>0</v>
      </c>
      <c r="V508" s="58">
        <f t="shared" si="240"/>
        <v>0</v>
      </c>
      <c r="W508" s="58">
        <f t="shared" si="240"/>
        <v>0</v>
      </c>
      <c r="X508" s="42">
        <f t="shared" si="240"/>
        <v>0</v>
      </c>
      <c r="Y508" s="42">
        <f t="shared" si="240"/>
        <v>0</v>
      </c>
      <c r="Z508" s="42">
        <f t="shared" si="240"/>
        <v>0</v>
      </c>
      <c r="AA508" s="42">
        <f t="shared" si="241"/>
        <v>0</v>
      </c>
      <c r="AB508" s="37" t="str">
        <f t="shared" si="242"/>
        <v>ok</v>
      </c>
    </row>
    <row r="509" spans="1:28">
      <c r="A509" s="45" t="s">
        <v>1394</v>
      </c>
      <c r="C509" s="39" t="s">
        <v>553</v>
      </c>
      <c r="D509" s="39" t="s">
        <v>586</v>
      </c>
      <c r="E509" s="39" t="s">
        <v>1197</v>
      </c>
      <c r="F509" s="58">
        <f>VLOOKUP(C509,'Functional Assignment'!$C$2:$AP$725,'Functional Assignment'!$L$2,)</f>
        <v>0</v>
      </c>
      <c r="G509" s="58">
        <f t="shared" si="239"/>
        <v>0</v>
      </c>
      <c r="H509" s="58">
        <f t="shared" si="239"/>
        <v>0</v>
      </c>
      <c r="I509" s="58">
        <f t="shared" si="239"/>
        <v>0</v>
      </c>
      <c r="J509" s="58">
        <f t="shared" si="239"/>
        <v>0</v>
      </c>
      <c r="K509" s="58">
        <f t="shared" si="239"/>
        <v>0</v>
      </c>
      <c r="L509" s="58">
        <f t="shared" si="239"/>
        <v>0</v>
      </c>
      <c r="M509" s="58">
        <f t="shared" si="239"/>
        <v>0</v>
      </c>
      <c r="N509" s="58">
        <f t="shared" si="239"/>
        <v>0</v>
      </c>
      <c r="O509" s="58">
        <f t="shared" si="239"/>
        <v>0</v>
      </c>
      <c r="P509" s="58">
        <f t="shared" si="239"/>
        <v>0</v>
      </c>
      <c r="Q509" s="58">
        <f t="shared" si="240"/>
        <v>0</v>
      </c>
      <c r="R509" s="58">
        <f t="shared" si="240"/>
        <v>0</v>
      </c>
      <c r="S509" s="58">
        <f t="shared" si="240"/>
        <v>0</v>
      </c>
      <c r="T509" s="58">
        <f t="shared" si="240"/>
        <v>0</v>
      </c>
      <c r="U509" s="58">
        <f t="shared" si="240"/>
        <v>0</v>
      </c>
      <c r="V509" s="58">
        <f t="shared" si="240"/>
        <v>0</v>
      </c>
      <c r="W509" s="58">
        <f t="shared" si="240"/>
        <v>0</v>
      </c>
      <c r="X509" s="42">
        <f t="shared" si="240"/>
        <v>0</v>
      </c>
      <c r="Y509" s="42">
        <f t="shared" si="240"/>
        <v>0</v>
      </c>
      <c r="Z509" s="42">
        <f t="shared" si="240"/>
        <v>0</v>
      </c>
      <c r="AA509" s="42">
        <f t="shared" si="241"/>
        <v>0</v>
      </c>
      <c r="AB509" s="37" t="str">
        <f t="shared" si="242"/>
        <v>ok</v>
      </c>
    </row>
    <row r="510" spans="1:28">
      <c r="A510" s="45" t="s">
        <v>1394</v>
      </c>
      <c r="C510" s="39" t="s">
        <v>553</v>
      </c>
      <c r="D510" s="39" t="s">
        <v>587</v>
      </c>
      <c r="E510" s="39" t="s">
        <v>1197</v>
      </c>
      <c r="F510" s="58">
        <f>VLOOKUP(C510,'Functional Assignment'!$C$2:$AP$725,'Functional Assignment'!$M$2,)</f>
        <v>0</v>
      </c>
      <c r="G510" s="58">
        <f t="shared" si="239"/>
        <v>0</v>
      </c>
      <c r="H510" s="58">
        <f t="shared" si="239"/>
        <v>0</v>
      </c>
      <c r="I510" s="58">
        <f t="shared" si="239"/>
        <v>0</v>
      </c>
      <c r="J510" s="58">
        <f t="shared" si="239"/>
        <v>0</v>
      </c>
      <c r="K510" s="58">
        <f t="shared" si="239"/>
        <v>0</v>
      </c>
      <c r="L510" s="58">
        <f t="shared" si="239"/>
        <v>0</v>
      </c>
      <c r="M510" s="58">
        <f t="shared" si="239"/>
        <v>0</v>
      </c>
      <c r="N510" s="58">
        <f t="shared" si="239"/>
        <v>0</v>
      </c>
      <c r="O510" s="58">
        <f t="shared" si="239"/>
        <v>0</v>
      </c>
      <c r="P510" s="58">
        <f t="shared" si="239"/>
        <v>0</v>
      </c>
      <c r="Q510" s="58">
        <f t="shared" si="240"/>
        <v>0</v>
      </c>
      <c r="R510" s="58">
        <f t="shared" si="240"/>
        <v>0</v>
      </c>
      <c r="S510" s="58">
        <f t="shared" si="240"/>
        <v>0</v>
      </c>
      <c r="T510" s="58">
        <f t="shared" si="240"/>
        <v>0</v>
      </c>
      <c r="U510" s="58">
        <f t="shared" si="240"/>
        <v>0</v>
      </c>
      <c r="V510" s="58">
        <f t="shared" si="240"/>
        <v>0</v>
      </c>
      <c r="W510" s="58">
        <f t="shared" si="240"/>
        <v>0</v>
      </c>
      <c r="X510" s="42">
        <f t="shared" si="240"/>
        <v>0</v>
      </c>
      <c r="Y510" s="42">
        <f t="shared" si="240"/>
        <v>0</v>
      </c>
      <c r="Z510" s="42">
        <f t="shared" si="240"/>
        <v>0</v>
      </c>
      <c r="AA510" s="42">
        <f t="shared" si="241"/>
        <v>0</v>
      </c>
      <c r="AB510" s="37" t="str">
        <f t="shared" si="242"/>
        <v>ok</v>
      </c>
    </row>
    <row r="511" spans="1:28">
      <c r="A511" s="39" t="s">
        <v>407</v>
      </c>
      <c r="D511" s="39" t="s">
        <v>1216</v>
      </c>
      <c r="F511" s="57">
        <f>SUM(F505:F510)</f>
        <v>-1765173.2111309529</v>
      </c>
      <c r="G511" s="57">
        <f t="shared" ref="G511:P511" si="243">SUM(G505:G510)</f>
        <v>-738865.59873755439</v>
      </c>
      <c r="H511" s="57">
        <f t="shared" si="243"/>
        <v>-240850.22156503372</v>
      </c>
      <c r="I511" s="57">
        <f t="shared" si="243"/>
        <v>-29842.175824111597</v>
      </c>
      <c r="J511" s="57">
        <f t="shared" si="243"/>
        <v>-331298.17879078066</v>
      </c>
      <c r="K511" s="57">
        <f t="shared" si="243"/>
        <v>-228885.85453992122</v>
      </c>
      <c r="L511" s="57">
        <f t="shared" si="243"/>
        <v>-83120.229197230088</v>
      </c>
      <c r="M511" s="57">
        <f t="shared" si="243"/>
        <v>0</v>
      </c>
      <c r="N511" s="57">
        <f t="shared" si="243"/>
        <v>0</v>
      </c>
      <c r="O511" s="57">
        <f>SUM(O505:O510)</f>
        <v>0</v>
      </c>
      <c r="P511" s="57">
        <f t="shared" si="243"/>
        <v>-66880.573616403941</v>
      </c>
      <c r="Q511" s="57">
        <f t="shared" ref="Q511:W511" si="244">SUM(Q505:Q510)</f>
        <v>-32291.017226482858</v>
      </c>
      <c r="R511" s="57">
        <f t="shared" si="244"/>
        <v>-7084.212743744718</v>
      </c>
      <c r="S511" s="57">
        <f t="shared" si="244"/>
        <v>-5477.8035694259397</v>
      </c>
      <c r="T511" s="57">
        <f t="shared" si="244"/>
        <v>-206.9740592468018</v>
      </c>
      <c r="U511" s="57">
        <f t="shared" si="244"/>
        <v>-370.37126101708674</v>
      </c>
      <c r="V511" s="57">
        <f t="shared" si="244"/>
        <v>0</v>
      </c>
      <c r="W511" s="57">
        <f t="shared" si="244"/>
        <v>0</v>
      </c>
      <c r="X511" s="41">
        <f>SUM(X505:X510)</f>
        <v>0</v>
      </c>
      <c r="Y511" s="41">
        <f>SUM(Y505:Y510)</f>
        <v>0</v>
      </c>
      <c r="Z511" s="41">
        <f>SUM(Z505:Z510)</f>
        <v>0</v>
      </c>
      <c r="AA511" s="43">
        <f t="shared" si="241"/>
        <v>-1765173.2111309529</v>
      </c>
      <c r="AB511" s="37" t="str">
        <f t="shared" si="242"/>
        <v>ok</v>
      </c>
    </row>
    <row r="512" spans="1:28">
      <c r="F512" s="58"/>
      <c r="G512" s="58"/>
    </row>
    <row r="513" spans="1:28">
      <c r="A513" s="44" t="s">
        <v>1237</v>
      </c>
      <c r="F513" s="58"/>
      <c r="G513" s="58"/>
    </row>
    <row r="514" spans="1:28">
      <c r="A514" s="45" t="s">
        <v>377</v>
      </c>
      <c r="C514" s="39" t="s">
        <v>553</v>
      </c>
      <c r="D514" s="39" t="s">
        <v>588</v>
      </c>
      <c r="E514" s="39" t="s">
        <v>939</v>
      </c>
      <c r="F514" s="57">
        <f>VLOOKUP(C514,'Functional Assignment'!$C$2:$AP$725,'Functional Assignment'!$N$2,)</f>
        <v>-65112.028525573114</v>
      </c>
      <c r="G514" s="57">
        <f t="shared" ref="G514:P516" si="245">IF(VLOOKUP($E514,$D$6:$AN$1197,3,)=0,0,(VLOOKUP($E514,$D$6:$AN$1197,G$2,)/VLOOKUP($E514,$D$6:$AN$1197,3,))*$F514)</f>
        <v>-23803.274789411877</v>
      </c>
      <c r="H514" s="57">
        <f t="shared" si="245"/>
        <v>-7851.0751973744718</v>
      </c>
      <c r="I514" s="57">
        <f t="shared" si="245"/>
        <v>-1284.9856874481738</v>
      </c>
      <c r="J514" s="57">
        <f t="shared" si="245"/>
        <v>-13090.980795106732</v>
      </c>
      <c r="K514" s="57">
        <f t="shared" si="245"/>
        <v>-10527.489046044588</v>
      </c>
      <c r="L514" s="57">
        <f t="shared" si="245"/>
        <v>-3559.3451858591138</v>
      </c>
      <c r="M514" s="57">
        <f t="shared" si="245"/>
        <v>0</v>
      </c>
      <c r="N514" s="57">
        <f t="shared" si="245"/>
        <v>0</v>
      </c>
      <c r="O514" s="57">
        <f t="shared" si="245"/>
        <v>0</v>
      </c>
      <c r="P514" s="57">
        <f t="shared" si="245"/>
        <v>-2850.097178455484</v>
      </c>
      <c r="Q514" s="57">
        <f t="shared" ref="Q514:Z516" si="246">IF(VLOOKUP($E514,$D$6:$AN$1197,3,)=0,0,(VLOOKUP($E514,$D$6:$AN$1197,Q$2,)/VLOOKUP($E514,$D$6:$AN$1197,3,))*$F514)</f>
        <v>-1196.4173943718529</v>
      </c>
      <c r="R514" s="57">
        <f t="shared" si="246"/>
        <v>-321.52409169109859</v>
      </c>
      <c r="S514" s="57">
        <f t="shared" si="246"/>
        <v>-588.15914362687261</v>
      </c>
      <c r="T514" s="57">
        <f t="shared" si="246"/>
        <v>-21.260074200396417</v>
      </c>
      <c r="U514" s="57">
        <f t="shared" si="246"/>
        <v>-17.419941982445053</v>
      </c>
      <c r="V514" s="57">
        <f t="shared" si="246"/>
        <v>0</v>
      </c>
      <c r="W514" s="57">
        <f t="shared" si="246"/>
        <v>0</v>
      </c>
      <c r="X514" s="41">
        <f t="shared" si="246"/>
        <v>0</v>
      </c>
      <c r="Y514" s="41">
        <f t="shared" si="246"/>
        <v>0</v>
      </c>
      <c r="Z514" s="41">
        <f t="shared" si="246"/>
        <v>0</v>
      </c>
      <c r="AA514" s="43">
        <f>SUM(G514:Z514)</f>
        <v>-65112.028525573114</v>
      </c>
      <c r="AB514" s="37" t="str">
        <f>IF(ABS(F514-AA514)&lt;0.01,"ok","err")</f>
        <v>ok</v>
      </c>
    </row>
    <row r="515" spans="1:28">
      <c r="A515" s="45" t="s">
        <v>379</v>
      </c>
      <c r="C515" s="39" t="s">
        <v>553</v>
      </c>
      <c r="D515" s="39" t="s">
        <v>589</v>
      </c>
      <c r="E515" s="39" t="s">
        <v>204</v>
      </c>
      <c r="F515" s="58">
        <f>VLOOKUP(C515,'Functional Assignment'!$C$2:$AP$725,'Functional Assignment'!$O$2,)</f>
        <v>-61379.660460045568</v>
      </c>
      <c r="G515" s="58">
        <f t="shared" si="245"/>
        <v>-24750.514170056493</v>
      </c>
      <c r="H515" s="58">
        <f t="shared" si="245"/>
        <v>-9770.0193986476406</v>
      </c>
      <c r="I515" s="58">
        <f t="shared" si="245"/>
        <v>-994.9437007876212</v>
      </c>
      <c r="J515" s="58">
        <f t="shared" si="245"/>
        <v>-11457.868505009945</v>
      </c>
      <c r="K515" s="58">
        <f t="shared" si="245"/>
        <v>-7537.7090537168888</v>
      </c>
      <c r="L515" s="58">
        <f t="shared" si="245"/>
        <v>-2879.3010132176687</v>
      </c>
      <c r="M515" s="58">
        <f t="shared" si="245"/>
        <v>0</v>
      </c>
      <c r="N515" s="58">
        <f t="shared" si="245"/>
        <v>0</v>
      </c>
      <c r="O515" s="58">
        <f t="shared" si="245"/>
        <v>0</v>
      </c>
      <c r="P515" s="58">
        <f t="shared" si="245"/>
        <v>-2668.0544494937672</v>
      </c>
      <c r="Q515" s="58">
        <f t="shared" si="246"/>
        <v>-1095.3296530783082</v>
      </c>
      <c r="R515" s="58">
        <f t="shared" si="246"/>
        <v>-211.98201035544582</v>
      </c>
      <c r="S515" s="58">
        <f t="shared" si="246"/>
        <v>0</v>
      </c>
      <c r="T515" s="58">
        <f t="shared" si="246"/>
        <v>-0.42927523699915027</v>
      </c>
      <c r="U515" s="58">
        <f t="shared" si="246"/>
        <v>-13.509230444793573</v>
      </c>
      <c r="V515" s="58">
        <f t="shared" si="246"/>
        <v>0</v>
      </c>
      <c r="W515" s="58">
        <f t="shared" si="246"/>
        <v>0</v>
      </c>
      <c r="X515" s="42">
        <f t="shared" si="246"/>
        <v>0</v>
      </c>
      <c r="Y515" s="42">
        <f t="shared" si="246"/>
        <v>0</v>
      </c>
      <c r="Z515" s="42">
        <f t="shared" si="246"/>
        <v>0</v>
      </c>
      <c r="AA515" s="42">
        <f>SUM(G515:Z515)</f>
        <v>-61379.660460045583</v>
      </c>
      <c r="AB515" s="37" t="str">
        <f>IF(ABS(F515-AA515)&lt;0.01,"ok","err")</f>
        <v>ok</v>
      </c>
    </row>
    <row r="516" spans="1:28">
      <c r="A516" s="45" t="s">
        <v>378</v>
      </c>
      <c r="C516" s="39" t="s">
        <v>553</v>
      </c>
      <c r="D516" s="39" t="s">
        <v>590</v>
      </c>
      <c r="E516" s="39" t="s">
        <v>207</v>
      </c>
      <c r="F516" s="58">
        <f>VLOOKUP(C516,'Functional Assignment'!$C$2:$AP$725,'Functional Assignment'!$P$2,)</f>
        <v>-63037.335020745806</v>
      </c>
      <c r="G516" s="58">
        <f t="shared" si="245"/>
        <v>-30779.205059223379</v>
      </c>
      <c r="H516" s="58">
        <f t="shared" si="245"/>
        <v>-8239.3179329503691</v>
      </c>
      <c r="I516" s="58">
        <f t="shared" si="245"/>
        <v>-924.26520439933961</v>
      </c>
      <c r="J516" s="58">
        <f t="shared" si="245"/>
        <v>-11023.082159840453</v>
      </c>
      <c r="K516" s="58">
        <f t="shared" si="245"/>
        <v>-6510.5842349477152</v>
      </c>
      <c r="L516" s="58">
        <f t="shared" si="245"/>
        <v>-2486.0847086865915</v>
      </c>
      <c r="M516" s="58">
        <f t="shared" si="245"/>
        <v>0</v>
      </c>
      <c r="N516" s="58">
        <f t="shared" si="245"/>
        <v>0</v>
      </c>
      <c r="O516" s="58">
        <f t="shared" si="245"/>
        <v>0</v>
      </c>
      <c r="P516" s="58">
        <f t="shared" si="245"/>
        <v>-1662.905597806747</v>
      </c>
      <c r="Q516" s="58">
        <f t="shared" si="246"/>
        <v>-1175.3829432587038</v>
      </c>
      <c r="R516" s="58">
        <f t="shared" si="246"/>
        <v>-227.13535722143078</v>
      </c>
      <c r="S516" s="58">
        <f t="shared" si="246"/>
        <v>0</v>
      </c>
      <c r="T516" s="58">
        <f t="shared" si="246"/>
        <v>-0.53373393839878347</v>
      </c>
      <c r="U516" s="58">
        <f t="shared" si="246"/>
        <v>-8.8380884726704636</v>
      </c>
      <c r="V516" s="58">
        <f t="shared" si="246"/>
        <v>0</v>
      </c>
      <c r="W516" s="58">
        <f t="shared" si="246"/>
        <v>0</v>
      </c>
      <c r="X516" s="42">
        <f t="shared" si="246"/>
        <v>0</v>
      </c>
      <c r="Y516" s="42">
        <f t="shared" si="246"/>
        <v>0</v>
      </c>
      <c r="Z516" s="42">
        <f t="shared" si="246"/>
        <v>0</v>
      </c>
      <c r="AA516" s="42">
        <f>SUM(G516:Z516)</f>
        <v>-63037.335020745792</v>
      </c>
      <c r="AB516" s="37" t="str">
        <f>IF(ABS(F516-AA516)&lt;0.01,"ok","err")</f>
        <v>ok</v>
      </c>
    </row>
    <row r="517" spans="1:28">
      <c r="A517" s="39" t="s">
        <v>1239</v>
      </c>
      <c r="D517" s="39" t="s">
        <v>591</v>
      </c>
      <c r="F517" s="57">
        <f>SUM(F514:F516)</f>
        <v>-189529.02400636449</v>
      </c>
      <c r="G517" s="57">
        <f t="shared" ref="G517:W517" si="247">SUM(G514:G516)</f>
        <v>-79332.994018691737</v>
      </c>
      <c r="H517" s="57">
        <f t="shared" si="247"/>
        <v>-25860.412528972483</v>
      </c>
      <c r="I517" s="57">
        <f t="shared" si="247"/>
        <v>-3204.1945926351345</v>
      </c>
      <c r="J517" s="57">
        <f t="shared" si="247"/>
        <v>-35571.93145995713</v>
      </c>
      <c r="K517" s="57">
        <f t="shared" si="247"/>
        <v>-24575.782334709191</v>
      </c>
      <c r="L517" s="57">
        <f t="shared" si="247"/>
        <v>-8924.7309077633727</v>
      </c>
      <c r="M517" s="57">
        <f t="shared" si="247"/>
        <v>0</v>
      </c>
      <c r="N517" s="57">
        <f t="shared" si="247"/>
        <v>0</v>
      </c>
      <c r="O517" s="57">
        <f>SUM(O514:O516)</f>
        <v>0</v>
      </c>
      <c r="P517" s="57">
        <f t="shared" si="247"/>
        <v>-7181.0572257559988</v>
      </c>
      <c r="Q517" s="57">
        <f t="shared" si="247"/>
        <v>-3467.1299907088651</v>
      </c>
      <c r="R517" s="57">
        <f t="shared" si="247"/>
        <v>-760.64145926797516</v>
      </c>
      <c r="S517" s="57">
        <f t="shared" si="247"/>
        <v>-588.15914362687261</v>
      </c>
      <c r="T517" s="57">
        <f t="shared" si="247"/>
        <v>-22.223083375794349</v>
      </c>
      <c r="U517" s="57">
        <f t="shared" si="247"/>
        <v>-39.76726089990909</v>
      </c>
      <c r="V517" s="57">
        <f t="shared" si="247"/>
        <v>0</v>
      </c>
      <c r="W517" s="57">
        <f t="shared" si="247"/>
        <v>0</v>
      </c>
      <c r="X517" s="41">
        <f>SUM(X514:X516)</f>
        <v>0</v>
      </c>
      <c r="Y517" s="41">
        <f>SUM(Y514:Y516)</f>
        <v>0</v>
      </c>
      <c r="Z517" s="41">
        <f>SUM(Z514:Z516)</f>
        <v>0</v>
      </c>
      <c r="AA517" s="43">
        <f>SUM(G517:Z517)</f>
        <v>-189529.02400636449</v>
      </c>
      <c r="AB517" s="37" t="str">
        <f>IF(ABS(F517-AA517)&lt;0.01,"ok","err")</f>
        <v>ok</v>
      </c>
    </row>
    <row r="518" spans="1:28">
      <c r="F518" s="58"/>
      <c r="G518" s="58"/>
    </row>
    <row r="519" spans="1:28">
      <c r="A519" s="44" t="s">
        <v>365</v>
      </c>
      <c r="F519" s="58"/>
      <c r="G519" s="58"/>
    </row>
    <row r="520" spans="1:28">
      <c r="A520" s="45" t="s">
        <v>392</v>
      </c>
      <c r="C520" s="39" t="s">
        <v>553</v>
      </c>
      <c r="D520" s="39" t="s">
        <v>592</v>
      </c>
      <c r="E520" s="39" t="s">
        <v>1472</v>
      </c>
      <c r="F520" s="57">
        <f>VLOOKUP(C520,'Functional Assignment'!$C$2:$AP$725,'Functional Assignment'!$Q$2,)</f>
        <v>0</v>
      </c>
      <c r="G520" s="57">
        <f t="shared" ref="G520:Z520" si="248">IF(VLOOKUP($E520,$D$6:$AN$1197,3,)=0,0,(VLOOKUP($E520,$D$6:$AN$1197,G$2,)/VLOOKUP($E520,$D$6:$AN$1197,3,))*$F520)</f>
        <v>0</v>
      </c>
      <c r="H520" s="57">
        <f t="shared" si="248"/>
        <v>0</v>
      </c>
      <c r="I520" s="57">
        <f t="shared" si="248"/>
        <v>0</v>
      </c>
      <c r="J520" s="57">
        <f t="shared" si="248"/>
        <v>0</v>
      </c>
      <c r="K520" s="57">
        <f t="shared" si="248"/>
        <v>0</v>
      </c>
      <c r="L520" s="57">
        <f t="shared" si="248"/>
        <v>0</v>
      </c>
      <c r="M520" s="57">
        <f t="shared" si="248"/>
        <v>0</v>
      </c>
      <c r="N520" s="57">
        <f t="shared" si="248"/>
        <v>0</v>
      </c>
      <c r="O520" s="57">
        <f t="shared" si="248"/>
        <v>0</v>
      </c>
      <c r="P520" s="57">
        <f t="shared" si="248"/>
        <v>0</v>
      </c>
      <c r="Q520" s="57">
        <f t="shared" si="248"/>
        <v>0</v>
      </c>
      <c r="R520" s="57">
        <f t="shared" si="248"/>
        <v>0</v>
      </c>
      <c r="S520" s="57">
        <f t="shared" si="248"/>
        <v>0</v>
      </c>
      <c r="T520" s="57">
        <f t="shared" si="248"/>
        <v>0</v>
      </c>
      <c r="U520" s="57">
        <f t="shared" si="248"/>
        <v>0</v>
      </c>
      <c r="V520" s="57">
        <f t="shared" si="248"/>
        <v>0</v>
      </c>
      <c r="W520" s="57">
        <f t="shared" si="248"/>
        <v>0</v>
      </c>
      <c r="X520" s="41">
        <f t="shared" si="248"/>
        <v>0</v>
      </c>
      <c r="Y520" s="41">
        <f t="shared" si="248"/>
        <v>0</v>
      </c>
      <c r="Z520" s="41">
        <f t="shared" si="248"/>
        <v>0</v>
      </c>
      <c r="AA520" s="43">
        <f>SUM(G520:Z520)</f>
        <v>0</v>
      </c>
      <c r="AB520" s="37" t="str">
        <f>IF(ABS(F520-AA520)&lt;0.01,"ok","err")</f>
        <v>ok</v>
      </c>
    </row>
    <row r="521" spans="1:28">
      <c r="F521" s="58"/>
    </row>
    <row r="522" spans="1:28">
      <c r="A522" s="44" t="s">
        <v>366</v>
      </c>
      <c r="F522" s="58"/>
      <c r="G522" s="58"/>
    </row>
    <row r="523" spans="1:28">
      <c r="A523" s="45" t="s">
        <v>394</v>
      </c>
      <c r="C523" s="39" t="s">
        <v>553</v>
      </c>
      <c r="D523" s="39" t="s">
        <v>593</v>
      </c>
      <c r="E523" s="39" t="s">
        <v>1471</v>
      </c>
      <c r="F523" s="57">
        <f>VLOOKUP(C523,'Functional Assignment'!$C$2:$AP$725,'Functional Assignment'!$R$2,)</f>
        <v>-77707.523543052506</v>
      </c>
      <c r="G523" s="57">
        <f t="shared" ref="G523:Z523" si="249">IF(VLOOKUP($E523,$D$6:$AN$1197,3,)=0,0,(VLOOKUP($E523,$D$6:$AN$1197,G$2,)/VLOOKUP($E523,$D$6:$AN$1197,3,))*$F523)</f>
        <v>-37280.512985307047</v>
      </c>
      <c r="H523" s="57">
        <f t="shared" si="249"/>
        <v>-10576.535727623397</v>
      </c>
      <c r="I523" s="57">
        <f t="shared" si="249"/>
        <v>-1102.2359880678607</v>
      </c>
      <c r="J523" s="57">
        <f t="shared" si="249"/>
        <v>-12895.154327814045</v>
      </c>
      <c r="K523" s="57">
        <f t="shared" si="249"/>
        <v>-10319.179622435875</v>
      </c>
      <c r="L523" s="57">
        <f t="shared" si="249"/>
        <v>-3091.7418874817504</v>
      </c>
      <c r="M523" s="57">
        <f t="shared" si="249"/>
        <v>0</v>
      </c>
      <c r="N523" s="57">
        <f t="shared" si="249"/>
        <v>0</v>
      </c>
      <c r="O523" s="57">
        <f t="shared" si="249"/>
        <v>0</v>
      </c>
      <c r="P523" s="57">
        <f t="shared" si="249"/>
        <v>0</v>
      </c>
      <c r="Q523" s="57">
        <f t="shared" si="249"/>
        <v>-1445.4742830060143</v>
      </c>
      <c r="R523" s="57">
        <f t="shared" si="249"/>
        <v>-326.36591263216485</v>
      </c>
      <c r="S523" s="57">
        <f t="shared" si="249"/>
        <v>-637.92911218770166</v>
      </c>
      <c r="T523" s="57">
        <f t="shared" si="249"/>
        <v>-22.958825734174567</v>
      </c>
      <c r="U523" s="57">
        <f t="shared" si="249"/>
        <v>-9.4348707624687336</v>
      </c>
      <c r="V523" s="57">
        <f t="shared" si="249"/>
        <v>0</v>
      </c>
      <c r="W523" s="57">
        <f t="shared" si="249"/>
        <v>0</v>
      </c>
      <c r="X523" s="41">
        <f t="shared" si="249"/>
        <v>0</v>
      </c>
      <c r="Y523" s="41">
        <f t="shared" si="249"/>
        <v>0</v>
      </c>
      <c r="Z523" s="41">
        <f t="shared" si="249"/>
        <v>0</v>
      </c>
      <c r="AA523" s="43">
        <f>SUM(G523:Z523)</f>
        <v>-77707.523543052492</v>
      </c>
      <c r="AB523" s="37" t="str">
        <f>IF(ABS(F523-AA523)&lt;0.01,"ok","err")</f>
        <v>ok</v>
      </c>
    </row>
    <row r="524" spans="1:28">
      <c r="F524" s="58"/>
    </row>
    <row r="525" spans="1:28">
      <c r="A525" s="44" t="s">
        <v>393</v>
      </c>
      <c r="F525" s="58"/>
    </row>
    <row r="526" spans="1:28">
      <c r="A526" s="45" t="s">
        <v>644</v>
      </c>
      <c r="C526" s="39" t="s">
        <v>553</v>
      </c>
      <c r="D526" s="39" t="s">
        <v>594</v>
      </c>
      <c r="E526" s="39" t="s">
        <v>1472</v>
      </c>
      <c r="F526" s="57">
        <f>VLOOKUP(C526,'Functional Assignment'!$C$2:$AP$725,'Functional Assignment'!$S$2,)</f>
        <v>0</v>
      </c>
      <c r="G526" s="57">
        <f t="shared" ref="G526:P530" si="250">IF(VLOOKUP($E526,$D$6:$AN$1197,3,)=0,0,(VLOOKUP($E526,$D$6:$AN$1197,G$2,)/VLOOKUP($E526,$D$6:$AN$1197,3,))*$F526)</f>
        <v>0</v>
      </c>
      <c r="H526" s="57">
        <f t="shared" si="250"/>
        <v>0</v>
      </c>
      <c r="I526" s="57">
        <f t="shared" si="250"/>
        <v>0</v>
      </c>
      <c r="J526" s="57">
        <f t="shared" si="250"/>
        <v>0</v>
      </c>
      <c r="K526" s="57">
        <f t="shared" si="250"/>
        <v>0</v>
      </c>
      <c r="L526" s="57">
        <f t="shared" si="250"/>
        <v>0</v>
      </c>
      <c r="M526" s="57">
        <f t="shared" si="250"/>
        <v>0</v>
      </c>
      <c r="N526" s="57">
        <f t="shared" si="250"/>
        <v>0</v>
      </c>
      <c r="O526" s="57">
        <f t="shared" si="250"/>
        <v>0</v>
      </c>
      <c r="P526" s="57">
        <f t="shared" si="250"/>
        <v>0</v>
      </c>
      <c r="Q526" s="57">
        <f t="shared" ref="Q526:Z530" si="251">IF(VLOOKUP($E526,$D$6:$AN$1197,3,)=0,0,(VLOOKUP($E526,$D$6:$AN$1197,Q$2,)/VLOOKUP($E526,$D$6:$AN$1197,3,))*$F526)</f>
        <v>0</v>
      </c>
      <c r="R526" s="57">
        <f t="shared" si="251"/>
        <v>0</v>
      </c>
      <c r="S526" s="57">
        <f t="shared" si="251"/>
        <v>0</v>
      </c>
      <c r="T526" s="57">
        <f t="shared" si="251"/>
        <v>0</v>
      </c>
      <c r="U526" s="57">
        <f t="shared" si="251"/>
        <v>0</v>
      </c>
      <c r="V526" s="57">
        <f t="shared" si="251"/>
        <v>0</v>
      </c>
      <c r="W526" s="57">
        <f t="shared" si="251"/>
        <v>0</v>
      </c>
      <c r="X526" s="41">
        <f t="shared" si="251"/>
        <v>0</v>
      </c>
      <c r="Y526" s="41">
        <f t="shared" si="251"/>
        <v>0</v>
      </c>
      <c r="Z526" s="41">
        <f t="shared" si="251"/>
        <v>0</v>
      </c>
      <c r="AA526" s="43">
        <f t="shared" ref="AA526:AA531" si="252">SUM(G526:Z526)</f>
        <v>0</v>
      </c>
      <c r="AB526" s="37" t="str">
        <f t="shared" ref="AB526:AB531" si="253">IF(ABS(F526-AA526)&lt;0.01,"ok","err")</f>
        <v>ok</v>
      </c>
    </row>
    <row r="527" spans="1:28">
      <c r="A527" s="45" t="s">
        <v>645</v>
      </c>
      <c r="C527" s="39" t="s">
        <v>553</v>
      </c>
      <c r="D527" s="39" t="s">
        <v>595</v>
      </c>
      <c r="E527" s="39" t="s">
        <v>1472</v>
      </c>
      <c r="F527" s="58">
        <f>VLOOKUP(C527,'Functional Assignment'!$C$2:$AP$725,'Functional Assignment'!$T$2,)</f>
        <v>-119653.67689456724</v>
      </c>
      <c r="G527" s="58">
        <f t="shared" si="250"/>
        <v>-57404.357413812664</v>
      </c>
      <c r="H527" s="58">
        <f t="shared" si="250"/>
        <v>-16285.699645488721</v>
      </c>
      <c r="I527" s="58">
        <f t="shared" si="250"/>
        <v>-1697.2177565891211</v>
      </c>
      <c r="J527" s="58">
        <f t="shared" si="250"/>
        <v>-19855.897590031884</v>
      </c>
      <c r="K527" s="58">
        <f t="shared" si="250"/>
        <v>-15889.423933010361</v>
      </c>
      <c r="L527" s="58">
        <f t="shared" si="250"/>
        <v>-4760.6495224517466</v>
      </c>
      <c r="M527" s="58">
        <f t="shared" si="250"/>
        <v>0</v>
      </c>
      <c r="N527" s="58">
        <f t="shared" si="250"/>
        <v>0</v>
      </c>
      <c r="O527" s="58">
        <f t="shared" si="250"/>
        <v>0</v>
      </c>
      <c r="P527" s="58">
        <f t="shared" si="250"/>
        <v>0</v>
      </c>
      <c r="Q527" s="58">
        <f t="shared" si="251"/>
        <v>-2225.7344582907012</v>
      </c>
      <c r="R527" s="58">
        <f t="shared" si="251"/>
        <v>-502.53668729842036</v>
      </c>
      <c r="S527" s="58">
        <f t="shared" si="251"/>
        <v>-982.28022707551293</v>
      </c>
      <c r="T527" s="58">
        <f t="shared" si="251"/>
        <v>-35.351891181471146</v>
      </c>
      <c r="U527" s="58">
        <f t="shared" si="251"/>
        <v>-14.527769336632845</v>
      </c>
      <c r="V527" s="58">
        <f t="shared" si="251"/>
        <v>0</v>
      </c>
      <c r="W527" s="58">
        <f t="shared" si="251"/>
        <v>0</v>
      </c>
      <c r="X527" s="42">
        <f t="shared" si="251"/>
        <v>0</v>
      </c>
      <c r="Y527" s="42">
        <f t="shared" si="251"/>
        <v>0</v>
      </c>
      <c r="Z527" s="42">
        <f t="shared" si="251"/>
        <v>0</v>
      </c>
      <c r="AA527" s="42">
        <f t="shared" si="252"/>
        <v>-119653.67689456722</v>
      </c>
      <c r="AB527" s="37" t="str">
        <f t="shared" si="253"/>
        <v>ok</v>
      </c>
    </row>
    <row r="528" spans="1:28">
      <c r="A528" s="45" t="s">
        <v>646</v>
      </c>
      <c r="C528" s="39" t="s">
        <v>553</v>
      </c>
      <c r="D528" s="39" t="s">
        <v>596</v>
      </c>
      <c r="E528" s="39" t="s">
        <v>733</v>
      </c>
      <c r="F528" s="58">
        <f>VLOOKUP(C528,'Functional Assignment'!$C$2:$AP$725,'Functional Assignment'!$U$2,)</f>
        <v>-195883.49652818587</v>
      </c>
      <c r="G528" s="58">
        <f t="shared" si="250"/>
        <v>-168630.4288948497</v>
      </c>
      <c r="H528" s="58">
        <f t="shared" si="250"/>
        <v>-20987.098399877174</v>
      </c>
      <c r="I528" s="58">
        <f t="shared" si="250"/>
        <v>-41.215825608556905</v>
      </c>
      <c r="J528" s="58">
        <f t="shared" si="250"/>
        <v>-1411.0359120105952</v>
      </c>
      <c r="K528" s="58">
        <f t="shared" si="250"/>
        <v>-44.610070070438063</v>
      </c>
      <c r="L528" s="58">
        <f t="shared" si="250"/>
        <v>-78.55251468924962</v>
      </c>
      <c r="M528" s="58">
        <f t="shared" si="250"/>
        <v>0</v>
      </c>
      <c r="N528" s="58">
        <f t="shared" si="250"/>
        <v>0</v>
      </c>
      <c r="O528" s="58">
        <f t="shared" si="250"/>
        <v>0</v>
      </c>
      <c r="P528" s="58">
        <f t="shared" si="250"/>
        <v>0</v>
      </c>
      <c r="Q528" s="58">
        <f t="shared" si="251"/>
        <v>-0.48489206598302231</v>
      </c>
      <c r="R528" s="58">
        <f t="shared" si="251"/>
        <v>-0.96978413196604463</v>
      </c>
      <c r="S528" s="58">
        <f t="shared" si="251"/>
        <v>-4631.495057443437</v>
      </c>
      <c r="T528" s="58">
        <f t="shared" si="251"/>
        <v>-8.2431651217113799</v>
      </c>
      <c r="U528" s="58">
        <f t="shared" si="251"/>
        <v>-49.362012317071681</v>
      </c>
      <c r="V528" s="58">
        <f t="shared" si="251"/>
        <v>0</v>
      </c>
      <c r="W528" s="58">
        <f t="shared" si="251"/>
        <v>0</v>
      </c>
      <c r="X528" s="42">
        <f t="shared" si="251"/>
        <v>0</v>
      </c>
      <c r="Y528" s="42">
        <f t="shared" si="251"/>
        <v>0</v>
      </c>
      <c r="Z528" s="42">
        <f t="shared" si="251"/>
        <v>0</v>
      </c>
      <c r="AA528" s="42">
        <f t="shared" si="252"/>
        <v>-195883.49652818587</v>
      </c>
      <c r="AB528" s="37" t="str">
        <f t="shared" si="253"/>
        <v>ok</v>
      </c>
    </row>
    <row r="529" spans="1:28">
      <c r="A529" s="45" t="s">
        <v>647</v>
      </c>
      <c r="C529" s="39" t="s">
        <v>553</v>
      </c>
      <c r="D529" s="39" t="s">
        <v>597</v>
      </c>
      <c r="E529" s="39" t="s">
        <v>711</v>
      </c>
      <c r="F529" s="58">
        <f>VLOOKUP(C529,'Functional Assignment'!$C$2:$AP$725,'Functional Assignment'!$V$2,)</f>
        <v>-39884.558964855729</v>
      </c>
      <c r="G529" s="58">
        <f t="shared" si="250"/>
        <v>-27604.122093910144</v>
      </c>
      <c r="H529" s="58">
        <f t="shared" si="250"/>
        <v>-5320.8436751719792</v>
      </c>
      <c r="I529" s="58">
        <f t="shared" si="250"/>
        <v>0</v>
      </c>
      <c r="J529" s="58">
        <f t="shared" si="250"/>
        <v>-5304.6262267915981</v>
      </c>
      <c r="K529" s="58">
        <f t="shared" si="250"/>
        <v>0</v>
      </c>
      <c r="L529" s="58">
        <f t="shared" si="250"/>
        <v>-1423.4047265091206</v>
      </c>
      <c r="M529" s="58">
        <f t="shared" si="250"/>
        <v>0</v>
      </c>
      <c r="N529" s="58">
        <f t="shared" si="250"/>
        <v>0</v>
      </c>
      <c r="O529" s="58">
        <f t="shared" si="250"/>
        <v>0</v>
      </c>
      <c r="P529" s="58">
        <f t="shared" si="250"/>
        <v>0</v>
      </c>
      <c r="Q529" s="58">
        <f t="shared" si="251"/>
        <v>0</v>
      </c>
      <c r="R529" s="58">
        <f t="shared" si="251"/>
        <v>0</v>
      </c>
      <c r="S529" s="58">
        <f t="shared" si="251"/>
        <v>-220.12857331424624</v>
      </c>
      <c r="T529" s="58">
        <f t="shared" si="251"/>
        <v>-8.1780023444713255</v>
      </c>
      <c r="U529" s="58">
        <f t="shared" si="251"/>
        <v>-3.2556668141764367</v>
      </c>
      <c r="V529" s="58">
        <f t="shared" si="251"/>
        <v>0</v>
      </c>
      <c r="W529" s="58">
        <f t="shared" si="251"/>
        <v>0</v>
      </c>
      <c r="X529" s="42">
        <f t="shared" si="251"/>
        <v>0</v>
      </c>
      <c r="Y529" s="42">
        <f t="shared" si="251"/>
        <v>0</v>
      </c>
      <c r="Z529" s="42">
        <f t="shared" si="251"/>
        <v>0</v>
      </c>
      <c r="AA529" s="42">
        <f t="shared" si="252"/>
        <v>-39884.558964855736</v>
      </c>
      <c r="AB529" s="37" t="str">
        <f t="shared" si="253"/>
        <v>ok</v>
      </c>
    </row>
    <row r="530" spans="1:28">
      <c r="A530" s="45" t="s">
        <v>648</v>
      </c>
      <c r="C530" s="39" t="s">
        <v>553</v>
      </c>
      <c r="D530" s="39" t="s">
        <v>598</v>
      </c>
      <c r="E530" s="39" t="s">
        <v>732</v>
      </c>
      <c r="F530" s="58">
        <f>VLOOKUP(C530,'Functional Assignment'!$C$2:$AP$725,'Functional Assignment'!$W$2,)</f>
        <v>-65294.498842728623</v>
      </c>
      <c r="G530" s="58">
        <f t="shared" si="250"/>
        <v>-56235.199901823289</v>
      </c>
      <c r="H530" s="58">
        <f t="shared" si="250"/>
        <v>-6998.8179571805304</v>
      </c>
      <c r="I530" s="58">
        <f t="shared" si="250"/>
        <v>0</v>
      </c>
      <c r="J530" s="58">
        <f t="shared" si="250"/>
        <v>-470.55497101324664</v>
      </c>
      <c r="K530" s="58">
        <f t="shared" si="250"/>
        <v>0</v>
      </c>
      <c r="L530" s="58">
        <f t="shared" si="250"/>
        <v>-26.195843747129196</v>
      </c>
      <c r="M530" s="58">
        <f t="shared" si="250"/>
        <v>0</v>
      </c>
      <c r="N530" s="58">
        <f t="shared" si="250"/>
        <v>0</v>
      </c>
      <c r="O530" s="58">
        <f t="shared" si="250"/>
        <v>0</v>
      </c>
      <c r="P530" s="58">
        <f t="shared" si="250"/>
        <v>0</v>
      </c>
      <c r="Q530" s="58">
        <f t="shared" si="251"/>
        <v>0</v>
      </c>
      <c r="R530" s="58">
        <f t="shared" si="251"/>
        <v>0</v>
      </c>
      <c r="S530" s="58">
        <f t="shared" si="251"/>
        <v>-1544.5198835498718</v>
      </c>
      <c r="T530" s="58">
        <f t="shared" si="251"/>
        <v>-2.7489465660567673</v>
      </c>
      <c r="U530" s="58">
        <f t="shared" si="251"/>
        <v>-16.461338848504642</v>
      </c>
      <c r="V530" s="58">
        <f t="shared" si="251"/>
        <v>0</v>
      </c>
      <c r="W530" s="58">
        <f t="shared" si="251"/>
        <v>0</v>
      </c>
      <c r="X530" s="42">
        <f t="shared" si="251"/>
        <v>0</v>
      </c>
      <c r="Y530" s="42">
        <f t="shared" si="251"/>
        <v>0</v>
      </c>
      <c r="Z530" s="42">
        <f t="shared" si="251"/>
        <v>0</v>
      </c>
      <c r="AA530" s="42">
        <f t="shared" si="252"/>
        <v>-65294.498842728623</v>
      </c>
      <c r="AB530" s="37" t="str">
        <f t="shared" si="253"/>
        <v>ok</v>
      </c>
    </row>
    <row r="531" spans="1:28">
      <c r="A531" s="39" t="s">
        <v>398</v>
      </c>
      <c r="D531" s="39" t="s">
        <v>599</v>
      </c>
      <c r="F531" s="57">
        <f>SUM(F526:F530)</f>
        <v>-420716.23123033746</v>
      </c>
      <c r="G531" s="57">
        <f t="shared" ref="G531:W531" si="254">SUM(G526:G530)</f>
        <v>-309874.10830439581</v>
      </c>
      <c r="H531" s="57">
        <f t="shared" si="254"/>
        <v>-49592.459677718405</v>
      </c>
      <c r="I531" s="57">
        <f t="shared" si="254"/>
        <v>-1738.4335821976781</v>
      </c>
      <c r="J531" s="57">
        <f t="shared" si="254"/>
        <v>-27042.114699847327</v>
      </c>
      <c r="K531" s="57">
        <f t="shared" si="254"/>
        <v>-15934.034003080798</v>
      </c>
      <c r="L531" s="57">
        <f t="shared" si="254"/>
        <v>-6288.802607397246</v>
      </c>
      <c r="M531" s="57">
        <f t="shared" si="254"/>
        <v>0</v>
      </c>
      <c r="N531" s="57">
        <f t="shared" si="254"/>
        <v>0</v>
      </c>
      <c r="O531" s="57">
        <f>SUM(O526:O530)</f>
        <v>0</v>
      </c>
      <c r="P531" s="57">
        <f t="shared" si="254"/>
        <v>0</v>
      </c>
      <c r="Q531" s="57">
        <f t="shared" si="254"/>
        <v>-2226.2193503566841</v>
      </c>
      <c r="R531" s="57">
        <f t="shared" si="254"/>
        <v>-503.5064714303864</v>
      </c>
      <c r="S531" s="57">
        <f t="shared" si="254"/>
        <v>-7378.423741383067</v>
      </c>
      <c r="T531" s="57">
        <f t="shared" si="254"/>
        <v>-54.522005213710614</v>
      </c>
      <c r="U531" s="57">
        <f t="shared" si="254"/>
        <v>-83.606787316385606</v>
      </c>
      <c r="V531" s="57">
        <f t="shared" si="254"/>
        <v>0</v>
      </c>
      <c r="W531" s="57">
        <f t="shared" si="254"/>
        <v>0</v>
      </c>
      <c r="X531" s="41">
        <f>SUM(X526:X530)</f>
        <v>0</v>
      </c>
      <c r="Y531" s="41">
        <f>SUM(Y526:Y530)</f>
        <v>0</v>
      </c>
      <c r="Z531" s="41">
        <f>SUM(Z526:Z530)</f>
        <v>0</v>
      </c>
      <c r="AA531" s="43">
        <f t="shared" si="252"/>
        <v>-420716.23123033746</v>
      </c>
      <c r="AB531" s="37" t="str">
        <f t="shared" si="253"/>
        <v>ok</v>
      </c>
    </row>
    <row r="532" spans="1:28">
      <c r="F532" s="58"/>
    </row>
    <row r="533" spans="1:28">
      <c r="A533" s="44" t="s">
        <v>666</v>
      </c>
      <c r="F533" s="58"/>
    </row>
    <row r="534" spans="1:28">
      <c r="A534" s="45" t="s">
        <v>1196</v>
      </c>
      <c r="C534" s="39" t="s">
        <v>553</v>
      </c>
      <c r="D534" s="39" t="s">
        <v>600</v>
      </c>
      <c r="E534" s="39" t="s">
        <v>711</v>
      </c>
      <c r="F534" s="57">
        <f>VLOOKUP(C534,'Functional Assignment'!$C$2:$AP$725,'Functional Assignment'!$X$2,)</f>
        <v>-55864.452431319645</v>
      </c>
      <c r="G534" s="57">
        <f t="shared" ref="G534:P535" si="255">IF(VLOOKUP($E534,$D$6:$AN$1197,3,)=0,0,(VLOOKUP($E534,$D$6:$AN$1197,G$2,)/VLOOKUP($E534,$D$6:$AN$1197,3,))*$F534)</f>
        <v>-38663.813908093965</v>
      </c>
      <c r="H534" s="57">
        <f t="shared" si="255"/>
        <v>-7452.6590264681454</v>
      </c>
      <c r="I534" s="57">
        <f t="shared" si="255"/>
        <v>0</v>
      </c>
      <c r="J534" s="57">
        <f t="shared" si="255"/>
        <v>-7429.9439984694282</v>
      </c>
      <c r="K534" s="57">
        <f t="shared" si="255"/>
        <v>0</v>
      </c>
      <c r="L534" s="57">
        <f t="shared" si="255"/>
        <v>-1993.6970020064994</v>
      </c>
      <c r="M534" s="57">
        <f t="shared" si="255"/>
        <v>0</v>
      </c>
      <c r="N534" s="57">
        <f t="shared" si="255"/>
        <v>0</v>
      </c>
      <c r="O534" s="57">
        <f t="shared" si="255"/>
        <v>0</v>
      </c>
      <c r="P534" s="57">
        <f t="shared" si="255"/>
        <v>0</v>
      </c>
      <c r="Q534" s="57">
        <f t="shared" ref="Q534:Z535" si="256">IF(VLOOKUP($E534,$D$6:$AN$1197,3,)=0,0,(VLOOKUP($E534,$D$6:$AN$1197,Q$2,)/VLOOKUP($E534,$D$6:$AN$1197,3,))*$F534)</f>
        <v>0</v>
      </c>
      <c r="R534" s="57">
        <f t="shared" si="256"/>
        <v>0</v>
      </c>
      <c r="S534" s="57">
        <f t="shared" si="256"/>
        <v>-308.32388603127811</v>
      </c>
      <c r="T534" s="57">
        <f t="shared" si="256"/>
        <v>-11.454548697868281</v>
      </c>
      <c r="U534" s="57">
        <f t="shared" si="256"/>
        <v>-4.5600615524681007</v>
      </c>
      <c r="V534" s="57">
        <f t="shared" si="256"/>
        <v>0</v>
      </c>
      <c r="W534" s="57">
        <f t="shared" si="256"/>
        <v>0</v>
      </c>
      <c r="X534" s="41">
        <f t="shared" si="256"/>
        <v>0</v>
      </c>
      <c r="Y534" s="41">
        <f t="shared" si="256"/>
        <v>0</v>
      </c>
      <c r="Z534" s="41">
        <f t="shared" si="256"/>
        <v>0</v>
      </c>
      <c r="AA534" s="43">
        <f>SUM(G534:Z534)</f>
        <v>-55864.452431319645</v>
      </c>
      <c r="AB534" s="37" t="str">
        <f>IF(ABS(F534-AA534)&lt;0.01,"ok","err")</f>
        <v>ok</v>
      </c>
    </row>
    <row r="535" spans="1:28">
      <c r="A535" s="45" t="s">
        <v>1199</v>
      </c>
      <c r="C535" s="39" t="s">
        <v>553</v>
      </c>
      <c r="D535" s="39" t="s">
        <v>601</v>
      </c>
      <c r="E535" s="39" t="s">
        <v>732</v>
      </c>
      <c r="F535" s="58">
        <f>VLOOKUP(C535,'Functional Assignment'!$C$2:$AP$725,'Functional Assignment'!$Y$2,)</f>
        <v>-44430.794303545059</v>
      </c>
      <c r="G535" s="58">
        <f t="shared" si="255"/>
        <v>-38266.234426193107</v>
      </c>
      <c r="H535" s="58">
        <f t="shared" si="255"/>
        <v>-4762.4692207600165</v>
      </c>
      <c r="I535" s="58">
        <f t="shared" si="255"/>
        <v>0</v>
      </c>
      <c r="J535" s="58">
        <f t="shared" si="255"/>
        <v>-320.19743617234985</v>
      </c>
      <c r="K535" s="58">
        <f t="shared" si="255"/>
        <v>0</v>
      </c>
      <c r="L535" s="58">
        <f t="shared" si="255"/>
        <v>-17.825424281759684</v>
      </c>
      <c r="M535" s="58">
        <f t="shared" si="255"/>
        <v>0</v>
      </c>
      <c r="N535" s="58">
        <f t="shared" si="255"/>
        <v>0</v>
      </c>
      <c r="O535" s="58">
        <f t="shared" si="255"/>
        <v>0</v>
      </c>
      <c r="P535" s="58">
        <f t="shared" si="255"/>
        <v>0</v>
      </c>
      <c r="Q535" s="58">
        <f t="shared" si="256"/>
        <v>0</v>
      </c>
      <c r="R535" s="58">
        <f t="shared" si="256"/>
        <v>0</v>
      </c>
      <c r="S535" s="58">
        <f t="shared" si="256"/>
        <v>-1050.9958183312085</v>
      </c>
      <c r="T535" s="58">
        <f t="shared" si="256"/>
        <v>-1.8705692147525594</v>
      </c>
      <c r="U535" s="58">
        <f t="shared" si="256"/>
        <v>-11.201408591871209</v>
      </c>
      <c r="V535" s="58">
        <f t="shared" si="256"/>
        <v>0</v>
      </c>
      <c r="W535" s="58">
        <f t="shared" si="256"/>
        <v>0</v>
      </c>
      <c r="X535" s="42">
        <f t="shared" si="256"/>
        <v>0</v>
      </c>
      <c r="Y535" s="42">
        <f t="shared" si="256"/>
        <v>0</v>
      </c>
      <c r="Z535" s="42">
        <f t="shared" si="256"/>
        <v>0</v>
      </c>
      <c r="AA535" s="42">
        <f>SUM(G535:Z535)</f>
        <v>-44430.794303545066</v>
      </c>
      <c r="AB535" s="37" t="str">
        <f>IF(ABS(F535-AA535)&lt;0.01,"ok","err")</f>
        <v>ok</v>
      </c>
    </row>
    <row r="536" spans="1:28">
      <c r="A536" s="39" t="s">
        <v>773</v>
      </c>
      <c r="D536" s="39" t="s">
        <v>602</v>
      </c>
      <c r="F536" s="57">
        <f>F534+F535</f>
        <v>-100295.2467348647</v>
      </c>
      <c r="G536" s="57">
        <f t="shared" ref="G536:W536" si="257">G534+G535</f>
        <v>-76930.048334287072</v>
      </c>
      <c r="H536" s="57">
        <f t="shared" si="257"/>
        <v>-12215.128247228162</v>
      </c>
      <c r="I536" s="57">
        <f t="shared" si="257"/>
        <v>0</v>
      </c>
      <c r="J536" s="57">
        <f t="shared" si="257"/>
        <v>-7750.1414346417778</v>
      </c>
      <c r="K536" s="57">
        <f t="shared" si="257"/>
        <v>0</v>
      </c>
      <c r="L536" s="57">
        <f t="shared" si="257"/>
        <v>-2011.5224262882591</v>
      </c>
      <c r="M536" s="57">
        <f t="shared" si="257"/>
        <v>0</v>
      </c>
      <c r="N536" s="57">
        <f t="shared" si="257"/>
        <v>0</v>
      </c>
      <c r="O536" s="57">
        <f>O534+O535</f>
        <v>0</v>
      </c>
      <c r="P536" s="57">
        <f t="shared" si="257"/>
        <v>0</v>
      </c>
      <c r="Q536" s="57">
        <f t="shared" si="257"/>
        <v>0</v>
      </c>
      <c r="R536" s="57">
        <f t="shared" si="257"/>
        <v>0</v>
      </c>
      <c r="S536" s="57">
        <f t="shared" si="257"/>
        <v>-1359.3197043624866</v>
      </c>
      <c r="T536" s="57">
        <f t="shared" si="257"/>
        <v>-13.32511791262084</v>
      </c>
      <c r="U536" s="57">
        <f t="shared" si="257"/>
        <v>-15.761470144339309</v>
      </c>
      <c r="V536" s="57">
        <f t="shared" si="257"/>
        <v>0</v>
      </c>
      <c r="W536" s="57">
        <f t="shared" si="257"/>
        <v>0</v>
      </c>
      <c r="X536" s="41">
        <f>X534+X535</f>
        <v>0</v>
      </c>
      <c r="Y536" s="41">
        <f>Y534+Y535</f>
        <v>0</v>
      </c>
      <c r="Z536" s="41">
        <f>Z534+Z535</f>
        <v>0</v>
      </c>
      <c r="AA536" s="43">
        <f>SUM(G536:Z536)</f>
        <v>-100295.2467348647</v>
      </c>
      <c r="AB536" s="37" t="str">
        <f>IF(ABS(F536-AA536)&lt;0.01,"ok","err")</f>
        <v>ok</v>
      </c>
    </row>
    <row r="537" spans="1:28">
      <c r="F537" s="58"/>
    </row>
    <row r="538" spans="1:28">
      <c r="A538" s="44" t="s">
        <v>371</v>
      </c>
      <c r="F538" s="58"/>
    </row>
    <row r="539" spans="1:28">
      <c r="A539" s="45" t="s">
        <v>1199</v>
      </c>
      <c r="C539" s="39" t="s">
        <v>553</v>
      </c>
      <c r="D539" s="39" t="s">
        <v>603</v>
      </c>
      <c r="E539" s="39" t="s">
        <v>1201</v>
      </c>
      <c r="F539" s="57">
        <f>VLOOKUP(C539,'Functional Assignment'!$C$2:$AP$725,'Functional Assignment'!$Z$2,)</f>
        <v>-20343.102854563891</v>
      </c>
      <c r="G539" s="57">
        <f t="shared" ref="G539:Z539" si="258">IF(VLOOKUP($E539,$D$6:$AN$1197,3,)=0,0,(VLOOKUP($E539,$D$6:$AN$1197,G$2,)/VLOOKUP($E539,$D$6:$AN$1197,3,))*$F539)</f>
        <v>-16827.700158780128</v>
      </c>
      <c r="H539" s="57">
        <f t="shared" si="258"/>
        <v>-2810.3903326425025</v>
      </c>
      <c r="I539" s="57">
        <f t="shared" si="258"/>
        <v>0</v>
      </c>
      <c r="J539" s="57">
        <f t="shared" si="258"/>
        <v>-600.36269308498561</v>
      </c>
      <c r="K539" s="57">
        <f t="shared" si="258"/>
        <v>0</v>
      </c>
      <c r="L539" s="57">
        <f t="shared" si="258"/>
        <v>-47.807232377112044</v>
      </c>
      <c r="M539" s="57">
        <f t="shared" si="258"/>
        <v>0</v>
      </c>
      <c r="N539" s="57">
        <f t="shared" si="258"/>
        <v>0</v>
      </c>
      <c r="O539" s="57">
        <f t="shared" si="258"/>
        <v>0</v>
      </c>
      <c r="P539" s="57">
        <f t="shared" si="258"/>
        <v>0</v>
      </c>
      <c r="Q539" s="57">
        <f t="shared" si="258"/>
        <v>0</v>
      </c>
      <c r="R539" s="57">
        <f t="shared" si="258"/>
        <v>0</v>
      </c>
      <c r="S539" s="57">
        <f t="shared" si="258"/>
        <v>0</v>
      </c>
      <c r="T539" s="57">
        <f t="shared" si="258"/>
        <v>-8.2567100910956555</v>
      </c>
      <c r="U539" s="57">
        <f t="shared" si="258"/>
        <v>-48.585727588065765</v>
      </c>
      <c r="V539" s="57">
        <f t="shared" si="258"/>
        <v>0</v>
      </c>
      <c r="W539" s="57">
        <f t="shared" si="258"/>
        <v>0</v>
      </c>
      <c r="X539" s="41">
        <f t="shared" si="258"/>
        <v>0</v>
      </c>
      <c r="Y539" s="41">
        <f t="shared" si="258"/>
        <v>0</v>
      </c>
      <c r="Z539" s="41">
        <f t="shared" si="258"/>
        <v>0</v>
      </c>
      <c r="AA539" s="43">
        <f>SUM(G539:Z539)</f>
        <v>-20343.102854563891</v>
      </c>
      <c r="AB539" s="37" t="str">
        <f>IF(ABS(F539-AA539)&lt;0.01,"ok","err")</f>
        <v>ok</v>
      </c>
    </row>
    <row r="540" spans="1:28">
      <c r="F540" s="58"/>
    </row>
    <row r="541" spans="1:28">
      <c r="A541" s="44" t="s">
        <v>370</v>
      </c>
      <c r="F541" s="58"/>
    </row>
    <row r="542" spans="1:28">
      <c r="A542" s="45" t="s">
        <v>1199</v>
      </c>
      <c r="C542" s="39" t="s">
        <v>553</v>
      </c>
      <c r="D542" s="39" t="s">
        <v>604</v>
      </c>
      <c r="E542" s="39" t="s">
        <v>1202</v>
      </c>
      <c r="F542" s="57">
        <f>VLOOKUP(C542,'Functional Assignment'!$C$2:$AP$725,'Functional Assignment'!$AA$2,)</f>
        <v>-27413.06955177676</v>
      </c>
      <c r="G542" s="57">
        <f t="shared" ref="G542:Z542" si="259">IF(VLOOKUP($E542,$D$6:$AN$1197,3,)=0,0,(VLOOKUP($E542,$D$6:$AN$1197,G$2,)/VLOOKUP($E542,$D$6:$AN$1197,3,))*$F542)</f>
        <v>-19186.14233368255</v>
      </c>
      <c r="H542" s="57">
        <f t="shared" si="259"/>
        <v>-5697.8831228596782</v>
      </c>
      <c r="I542" s="57">
        <f t="shared" si="259"/>
        <v>-259.99443066701417</v>
      </c>
      <c r="J542" s="57">
        <f t="shared" si="259"/>
        <v>-1492.8655427657332</v>
      </c>
      <c r="K542" s="57">
        <f t="shared" si="259"/>
        <v>-292.58213482487821</v>
      </c>
      <c r="L542" s="57">
        <f t="shared" si="259"/>
        <v>-89.690808592016751</v>
      </c>
      <c r="M542" s="57">
        <f t="shared" si="259"/>
        <v>0</v>
      </c>
      <c r="N542" s="57">
        <f t="shared" si="259"/>
        <v>0</v>
      </c>
      <c r="O542" s="57">
        <f t="shared" si="259"/>
        <v>0</v>
      </c>
      <c r="P542" s="57">
        <f t="shared" si="259"/>
        <v>-258.58025125159884</v>
      </c>
      <c r="Q542" s="57">
        <f t="shared" si="259"/>
        <v>-23.507295568327166</v>
      </c>
      <c r="R542" s="57">
        <f t="shared" si="259"/>
        <v>-47.014591136654332</v>
      </c>
      <c r="S542" s="57">
        <f t="shared" si="259"/>
        <v>0</v>
      </c>
      <c r="T542" s="57">
        <f t="shared" si="259"/>
        <v>-9.4139076356824063</v>
      </c>
      <c r="U542" s="57">
        <f t="shared" si="259"/>
        <v>-55.395132792628267</v>
      </c>
      <c r="V542" s="57">
        <f t="shared" si="259"/>
        <v>0</v>
      </c>
      <c r="W542" s="57">
        <f t="shared" si="259"/>
        <v>0</v>
      </c>
      <c r="X542" s="41">
        <f t="shared" si="259"/>
        <v>0</v>
      </c>
      <c r="Y542" s="41">
        <f t="shared" si="259"/>
        <v>0</v>
      </c>
      <c r="Z542" s="41">
        <f t="shared" si="259"/>
        <v>0</v>
      </c>
      <c r="AA542" s="43">
        <f>SUM(G542:Z542)</f>
        <v>-27413.069551776764</v>
      </c>
      <c r="AB542" s="37" t="str">
        <f>IF(ABS(F542-AA542)&lt;0.01,"ok","err")</f>
        <v>ok</v>
      </c>
    </row>
    <row r="543" spans="1:28"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41"/>
      <c r="Y543" s="41"/>
      <c r="Z543" s="41"/>
      <c r="AA543" s="43"/>
    </row>
    <row r="544" spans="1:28">
      <c r="A544" s="44" t="s">
        <v>391</v>
      </c>
      <c r="F544" s="58"/>
    </row>
    <row r="545" spans="1:28">
      <c r="A545" s="45" t="s">
        <v>1199</v>
      </c>
      <c r="C545" s="39" t="s">
        <v>553</v>
      </c>
      <c r="D545" s="39" t="s">
        <v>605</v>
      </c>
      <c r="E545" s="39" t="s">
        <v>1203</v>
      </c>
      <c r="F545" s="57">
        <f>VLOOKUP(C545,'Functional Assignment'!$C$2:$AP$725,'Functional Assignment'!$AB$2,)</f>
        <v>-60295.070948086839</v>
      </c>
      <c r="G545" s="57">
        <f t="shared" ref="G545:Z545" si="260">IF(VLOOKUP($E545,$D$6:$AN$1197,3,)=0,0,(VLOOKUP($E545,$D$6:$AN$1197,G$2,)/VLOOKUP($E545,$D$6:$AN$1197,3,))*$F545)</f>
        <v>0</v>
      </c>
      <c r="H545" s="57">
        <f t="shared" si="260"/>
        <v>0</v>
      </c>
      <c r="I545" s="57">
        <f t="shared" si="260"/>
        <v>0</v>
      </c>
      <c r="J545" s="57">
        <f t="shared" si="260"/>
        <v>0</v>
      </c>
      <c r="K545" s="57">
        <f t="shared" si="260"/>
        <v>0</v>
      </c>
      <c r="L545" s="57">
        <f t="shared" si="260"/>
        <v>0</v>
      </c>
      <c r="M545" s="57">
        <f t="shared" si="260"/>
        <v>0</v>
      </c>
      <c r="N545" s="57">
        <f t="shared" si="260"/>
        <v>0</v>
      </c>
      <c r="O545" s="57">
        <f t="shared" si="260"/>
        <v>0</v>
      </c>
      <c r="P545" s="57">
        <f t="shared" si="260"/>
        <v>0</v>
      </c>
      <c r="Q545" s="57">
        <f t="shared" si="260"/>
        <v>0</v>
      </c>
      <c r="R545" s="57">
        <f t="shared" si="260"/>
        <v>0</v>
      </c>
      <c r="S545" s="57">
        <f t="shared" si="260"/>
        <v>-60295.070948086839</v>
      </c>
      <c r="T545" s="57">
        <f t="shared" si="260"/>
        <v>0</v>
      </c>
      <c r="U545" s="57">
        <f t="shared" si="260"/>
        <v>0</v>
      </c>
      <c r="V545" s="57">
        <f t="shared" si="260"/>
        <v>0</v>
      </c>
      <c r="W545" s="57">
        <f t="shared" si="260"/>
        <v>0</v>
      </c>
      <c r="X545" s="41">
        <f t="shared" si="260"/>
        <v>0</v>
      </c>
      <c r="Y545" s="41">
        <f t="shared" si="260"/>
        <v>0</v>
      </c>
      <c r="Z545" s="41">
        <f t="shared" si="260"/>
        <v>0</v>
      </c>
      <c r="AA545" s="43">
        <f>SUM(G545:Z545)</f>
        <v>-60295.070948086839</v>
      </c>
      <c r="AB545" s="37" t="str">
        <f>IF(ABS(F545-AA545)&lt;0.01,"ok","err")</f>
        <v>ok</v>
      </c>
    </row>
    <row r="546" spans="1:28"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41"/>
      <c r="Y546" s="41"/>
      <c r="Z546" s="41"/>
      <c r="AA546" s="43"/>
    </row>
    <row r="547" spans="1:28">
      <c r="A547" s="44" t="s">
        <v>1129</v>
      </c>
      <c r="F547" s="58"/>
    </row>
    <row r="548" spans="1:28">
      <c r="A548" s="45" t="s">
        <v>1199</v>
      </c>
      <c r="C548" s="39" t="s">
        <v>553</v>
      </c>
      <c r="D548" s="39" t="s">
        <v>606</v>
      </c>
      <c r="E548" s="39" t="s">
        <v>1204</v>
      </c>
      <c r="F548" s="57">
        <f>VLOOKUP(C548,'Functional Assignment'!$C$2:$AP$725,'Functional Assignment'!$AC$2,)</f>
        <v>0</v>
      </c>
      <c r="G548" s="57">
        <f t="shared" ref="G548:Z548" si="261">IF(VLOOKUP($E548,$D$6:$AN$1197,3,)=0,0,(VLOOKUP($E548,$D$6:$AN$1197,G$2,)/VLOOKUP($E548,$D$6:$AN$1197,3,))*$F548)</f>
        <v>0</v>
      </c>
      <c r="H548" s="57">
        <f t="shared" si="261"/>
        <v>0</v>
      </c>
      <c r="I548" s="57">
        <f t="shared" si="261"/>
        <v>0</v>
      </c>
      <c r="J548" s="57">
        <f t="shared" si="261"/>
        <v>0</v>
      </c>
      <c r="K548" s="57">
        <f t="shared" si="261"/>
        <v>0</v>
      </c>
      <c r="L548" s="57">
        <f t="shared" si="261"/>
        <v>0</v>
      </c>
      <c r="M548" s="57">
        <f t="shared" si="261"/>
        <v>0</v>
      </c>
      <c r="N548" s="57">
        <f t="shared" si="261"/>
        <v>0</v>
      </c>
      <c r="O548" s="57">
        <f t="shared" si="261"/>
        <v>0</v>
      </c>
      <c r="P548" s="57">
        <f t="shared" si="261"/>
        <v>0</v>
      </c>
      <c r="Q548" s="57">
        <f t="shared" si="261"/>
        <v>0</v>
      </c>
      <c r="R548" s="57">
        <f t="shared" si="261"/>
        <v>0</v>
      </c>
      <c r="S548" s="57">
        <f t="shared" si="261"/>
        <v>0</v>
      </c>
      <c r="T548" s="57">
        <f t="shared" si="261"/>
        <v>0</v>
      </c>
      <c r="U548" s="57">
        <f t="shared" si="261"/>
        <v>0</v>
      </c>
      <c r="V548" s="57">
        <f t="shared" si="261"/>
        <v>0</v>
      </c>
      <c r="W548" s="57">
        <f t="shared" si="261"/>
        <v>0</v>
      </c>
      <c r="X548" s="41">
        <f t="shared" si="261"/>
        <v>0</v>
      </c>
      <c r="Y548" s="41">
        <f t="shared" si="261"/>
        <v>0</v>
      </c>
      <c r="Z548" s="41">
        <f t="shared" si="261"/>
        <v>0</v>
      </c>
      <c r="AA548" s="43">
        <f>SUM(G548:Z548)</f>
        <v>0</v>
      </c>
      <c r="AB548" s="37" t="str">
        <f>IF(ABS(F548-AA548)&lt;0.01,"ok","err")</f>
        <v>ok</v>
      </c>
    </row>
    <row r="549" spans="1:28"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41"/>
      <c r="Y549" s="41"/>
      <c r="Z549" s="41"/>
      <c r="AA549" s="43"/>
    </row>
    <row r="550" spans="1:28">
      <c r="A550" s="44" t="s">
        <v>368</v>
      </c>
      <c r="F550" s="58"/>
    </row>
    <row r="551" spans="1:28">
      <c r="A551" s="45" t="s">
        <v>1199</v>
      </c>
      <c r="C551" s="39" t="s">
        <v>553</v>
      </c>
      <c r="D551" s="39" t="s">
        <v>607</v>
      </c>
      <c r="E551" s="39" t="s">
        <v>1204</v>
      </c>
      <c r="F551" s="57">
        <f>VLOOKUP(C551,'Functional Assignment'!$C$2:$AP$725,'Functional Assignment'!$AD$2,)</f>
        <v>0</v>
      </c>
      <c r="G551" s="57">
        <f t="shared" ref="G551:Z551" si="262">IF(VLOOKUP($E551,$D$6:$AN$1197,3,)=0,0,(VLOOKUP($E551,$D$6:$AN$1197,G$2,)/VLOOKUP($E551,$D$6:$AN$1197,3,))*$F551)</f>
        <v>0</v>
      </c>
      <c r="H551" s="57">
        <f t="shared" si="262"/>
        <v>0</v>
      </c>
      <c r="I551" s="57">
        <f t="shared" si="262"/>
        <v>0</v>
      </c>
      <c r="J551" s="57">
        <f t="shared" si="262"/>
        <v>0</v>
      </c>
      <c r="K551" s="57">
        <f t="shared" si="262"/>
        <v>0</v>
      </c>
      <c r="L551" s="57">
        <f t="shared" si="262"/>
        <v>0</v>
      </c>
      <c r="M551" s="57">
        <f t="shared" si="262"/>
        <v>0</v>
      </c>
      <c r="N551" s="57">
        <f t="shared" si="262"/>
        <v>0</v>
      </c>
      <c r="O551" s="57">
        <f t="shared" si="262"/>
        <v>0</v>
      </c>
      <c r="P551" s="57">
        <f t="shared" si="262"/>
        <v>0</v>
      </c>
      <c r="Q551" s="57">
        <f t="shared" si="262"/>
        <v>0</v>
      </c>
      <c r="R551" s="57">
        <f t="shared" si="262"/>
        <v>0</v>
      </c>
      <c r="S551" s="57">
        <f t="shared" si="262"/>
        <v>0</v>
      </c>
      <c r="T551" s="57">
        <f t="shared" si="262"/>
        <v>0</v>
      </c>
      <c r="U551" s="57">
        <f t="shared" si="262"/>
        <v>0</v>
      </c>
      <c r="V551" s="57">
        <f t="shared" si="262"/>
        <v>0</v>
      </c>
      <c r="W551" s="57">
        <f t="shared" si="262"/>
        <v>0</v>
      </c>
      <c r="X551" s="41">
        <f t="shared" si="262"/>
        <v>0</v>
      </c>
      <c r="Y551" s="41">
        <f t="shared" si="262"/>
        <v>0</v>
      </c>
      <c r="Z551" s="41">
        <f t="shared" si="262"/>
        <v>0</v>
      </c>
      <c r="AA551" s="43">
        <f>SUM(G551:Z551)</f>
        <v>0</v>
      </c>
      <c r="AB551" s="37" t="str">
        <f>IF(ABS(F551-AA551)&lt;0.01,"ok","err")</f>
        <v>ok</v>
      </c>
    </row>
    <row r="552" spans="1:28"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41"/>
      <c r="Y552" s="41"/>
      <c r="Z552" s="41"/>
      <c r="AA552" s="43"/>
    </row>
    <row r="553" spans="1:28">
      <c r="A553" s="44" t="s">
        <v>367</v>
      </c>
      <c r="F553" s="58"/>
    </row>
    <row r="554" spans="1:28">
      <c r="A554" s="45" t="s">
        <v>1199</v>
      </c>
      <c r="C554" s="39" t="s">
        <v>553</v>
      </c>
      <c r="D554" s="39" t="s">
        <v>608</v>
      </c>
      <c r="E554" s="39" t="s">
        <v>1205</v>
      </c>
      <c r="F554" s="57">
        <f>VLOOKUP(C554,'Functional Assignment'!$C$2:$AP$725,'Functional Assignment'!$AE$2,)</f>
        <v>0</v>
      </c>
      <c r="G554" s="57">
        <f t="shared" ref="G554:Z554" si="263">IF(VLOOKUP($E554,$D$6:$AN$1197,3,)=0,0,(VLOOKUP($E554,$D$6:$AN$1197,G$2,)/VLOOKUP($E554,$D$6:$AN$1197,3,))*$F554)</f>
        <v>0</v>
      </c>
      <c r="H554" s="57">
        <f t="shared" si="263"/>
        <v>0</v>
      </c>
      <c r="I554" s="57">
        <f t="shared" si="263"/>
        <v>0</v>
      </c>
      <c r="J554" s="57">
        <f t="shared" si="263"/>
        <v>0</v>
      </c>
      <c r="K554" s="57">
        <f t="shared" si="263"/>
        <v>0</v>
      </c>
      <c r="L554" s="57">
        <f t="shared" si="263"/>
        <v>0</v>
      </c>
      <c r="M554" s="57">
        <f t="shared" si="263"/>
        <v>0</v>
      </c>
      <c r="N554" s="57">
        <f t="shared" si="263"/>
        <v>0</v>
      </c>
      <c r="O554" s="57">
        <f t="shared" si="263"/>
        <v>0</v>
      </c>
      <c r="P554" s="57">
        <f t="shared" si="263"/>
        <v>0</v>
      </c>
      <c r="Q554" s="57">
        <f t="shared" si="263"/>
        <v>0</v>
      </c>
      <c r="R554" s="57">
        <f t="shared" si="263"/>
        <v>0</v>
      </c>
      <c r="S554" s="57">
        <f t="shared" si="263"/>
        <v>0</v>
      </c>
      <c r="T554" s="57">
        <f t="shared" si="263"/>
        <v>0</v>
      </c>
      <c r="U554" s="57">
        <f t="shared" si="263"/>
        <v>0</v>
      </c>
      <c r="V554" s="57">
        <f t="shared" si="263"/>
        <v>0</v>
      </c>
      <c r="W554" s="57">
        <f t="shared" si="263"/>
        <v>0</v>
      </c>
      <c r="X554" s="41">
        <f t="shared" si="263"/>
        <v>0</v>
      </c>
      <c r="Y554" s="41">
        <f t="shared" si="263"/>
        <v>0</v>
      </c>
      <c r="Z554" s="41">
        <f t="shared" si="263"/>
        <v>0</v>
      </c>
      <c r="AA554" s="43">
        <f>SUM(G554:Z554)</f>
        <v>0</v>
      </c>
      <c r="AB554" s="37" t="str">
        <f>IF(ABS(F554-AA554)&lt;0.01,"ok","err")</f>
        <v>ok</v>
      </c>
    </row>
    <row r="555" spans="1:28"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41"/>
      <c r="Y555" s="41"/>
      <c r="Z555" s="41"/>
      <c r="AA555" s="43"/>
    </row>
    <row r="556" spans="1:28">
      <c r="A556" s="39" t="s">
        <v>1026</v>
      </c>
      <c r="D556" s="39" t="s">
        <v>1217</v>
      </c>
      <c r="F556" s="57">
        <f>F511+F517+F520+F523+F531+F536+F539+F542+F545+F548+F551+F554</f>
        <v>-2661472.4799999991</v>
      </c>
      <c r="G556" s="57">
        <f t="shared" ref="G556:Z556" si="264">G511+G517+G520+G523+G531+G536+G539+G542+G545+G548+G551+G554</f>
        <v>-1278297.1048726987</v>
      </c>
      <c r="H556" s="57">
        <f t="shared" si="264"/>
        <v>-347603.03120207833</v>
      </c>
      <c r="I556" s="57">
        <f t="shared" si="264"/>
        <v>-36147.034417679286</v>
      </c>
      <c r="J556" s="57">
        <f t="shared" si="264"/>
        <v>-416650.74894889165</v>
      </c>
      <c r="K556" s="57">
        <f t="shared" si="264"/>
        <v>-280007.43263497198</v>
      </c>
      <c r="L556" s="57">
        <f t="shared" si="264"/>
        <v>-103574.52506712983</v>
      </c>
      <c r="M556" s="57">
        <f t="shared" si="264"/>
        <v>0</v>
      </c>
      <c r="N556" s="57">
        <f t="shared" si="264"/>
        <v>0</v>
      </c>
      <c r="O556" s="57">
        <f>O511+O517+O520+O523+O531+O536+O539+O542+O545+O548+O551+O554</f>
        <v>0</v>
      </c>
      <c r="P556" s="57">
        <f t="shared" si="264"/>
        <v>-74320.211093411534</v>
      </c>
      <c r="Q556" s="57">
        <f t="shared" si="264"/>
        <v>-39453.348146122749</v>
      </c>
      <c r="R556" s="57">
        <f t="shared" si="264"/>
        <v>-8721.7411782118979</v>
      </c>
      <c r="S556" s="57">
        <f t="shared" si="264"/>
        <v>-75736.706219072905</v>
      </c>
      <c r="T556" s="57">
        <f t="shared" si="264"/>
        <v>-337.6737092098802</v>
      </c>
      <c r="U556" s="57">
        <f t="shared" si="264"/>
        <v>-622.92251052088352</v>
      </c>
      <c r="V556" s="57">
        <f t="shared" si="264"/>
        <v>0</v>
      </c>
      <c r="W556" s="57">
        <f t="shared" si="264"/>
        <v>0</v>
      </c>
      <c r="X556" s="41">
        <f t="shared" si="264"/>
        <v>0</v>
      </c>
      <c r="Y556" s="41">
        <f t="shared" si="264"/>
        <v>0</v>
      </c>
      <c r="Z556" s="41">
        <f t="shared" si="264"/>
        <v>0</v>
      </c>
      <c r="AA556" s="43">
        <f>SUM(G556:Z556)</f>
        <v>-2661472.4799999995</v>
      </c>
      <c r="AB556" s="37" t="str">
        <f>IF(ABS(F556-AA556)&lt;0.01,"ok","err")</f>
        <v>ok</v>
      </c>
    </row>
    <row r="557" spans="1:28">
      <c r="A557" s="44" t="s">
        <v>1175</v>
      </c>
    </row>
    <row r="559" spans="1:28">
      <c r="A559" s="44" t="s">
        <v>384</v>
      </c>
    </row>
    <row r="560" spans="1:28">
      <c r="A560" s="45" t="s">
        <v>376</v>
      </c>
      <c r="C560" s="39" t="s">
        <v>1180</v>
      </c>
      <c r="D560" s="39" t="s">
        <v>582</v>
      </c>
      <c r="E560" s="39" t="s">
        <v>939</v>
      </c>
      <c r="F560" s="57">
        <f>VLOOKUP(C560,'Functional Assignment'!$C$2:$AP$725,'Functional Assignment'!$H$2,)</f>
        <v>-158.12172517291137</v>
      </c>
      <c r="G560" s="57">
        <f t="shared" ref="G560:P565" si="265">IF(VLOOKUP($E560,$D$6:$AN$1197,3,)=0,0,(VLOOKUP($E560,$D$6:$AN$1197,G$2,)/VLOOKUP($E560,$D$6:$AN$1197,3,))*$F560)</f>
        <v>-57.805216020699078</v>
      </c>
      <c r="H560" s="57">
        <f t="shared" si="265"/>
        <v>-19.065994145513841</v>
      </c>
      <c r="I560" s="57">
        <f t="shared" si="265"/>
        <v>-3.1205317715144298</v>
      </c>
      <c r="J560" s="57">
        <f t="shared" si="265"/>
        <v>-31.790876653685206</v>
      </c>
      <c r="K560" s="57">
        <f t="shared" si="265"/>
        <v>-25.565548599759975</v>
      </c>
      <c r="L560" s="57">
        <f t="shared" si="265"/>
        <v>-8.6437147485413277</v>
      </c>
      <c r="M560" s="57">
        <f t="shared" si="265"/>
        <v>0</v>
      </c>
      <c r="N560" s="57">
        <f t="shared" si="265"/>
        <v>0</v>
      </c>
      <c r="O560" s="57">
        <f t="shared" si="265"/>
        <v>0</v>
      </c>
      <c r="P560" s="57">
        <f t="shared" si="265"/>
        <v>-6.9213368554602477</v>
      </c>
      <c r="Q560" s="57">
        <f t="shared" ref="Q560:Z565" si="266">IF(VLOOKUP($E560,$D$6:$AN$1197,3,)=0,0,(VLOOKUP($E560,$D$6:$AN$1197,Q$2,)/VLOOKUP($E560,$D$6:$AN$1197,3,))*$F560)</f>
        <v>-2.9054475295705999</v>
      </c>
      <c r="R560" s="57">
        <f t="shared" si="266"/>
        <v>-0.7808072519639313</v>
      </c>
      <c r="S560" s="57">
        <f t="shared" si="266"/>
        <v>-1.4283188616981377</v>
      </c>
      <c r="T560" s="57">
        <f t="shared" si="266"/>
        <v>-5.1629164165119923E-2</v>
      </c>
      <c r="U560" s="57">
        <f t="shared" si="266"/>
        <v>-4.2303570339455837E-2</v>
      </c>
      <c r="V560" s="57">
        <f t="shared" si="266"/>
        <v>0</v>
      </c>
      <c r="W560" s="57">
        <f t="shared" si="266"/>
        <v>0</v>
      </c>
      <c r="X560" s="41">
        <f t="shared" si="266"/>
        <v>0</v>
      </c>
      <c r="Y560" s="41">
        <f t="shared" si="266"/>
        <v>0</v>
      </c>
      <c r="Z560" s="41">
        <f t="shared" si="266"/>
        <v>0</v>
      </c>
      <c r="AA560" s="43">
        <f t="shared" ref="AA560:AA566" si="267">SUM(G560:Z560)</f>
        <v>-158.12172517291134</v>
      </c>
      <c r="AB560" s="37" t="str">
        <f t="shared" ref="AB560:AB566" si="268">IF(ABS(F560-AA560)&lt;0.01,"ok","err")</f>
        <v>ok</v>
      </c>
    </row>
    <row r="561" spans="1:28">
      <c r="A561" s="45" t="s">
        <v>1391</v>
      </c>
      <c r="C561" s="39" t="s">
        <v>1180</v>
      </c>
      <c r="D561" s="39" t="s">
        <v>583</v>
      </c>
      <c r="E561" s="39" t="s">
        <v>204</v>
      </c>
      <c r="F561" s="58">
        <f>VLOOKUP(C561,'Functional Assignment'!$C$2:$AP$725,'Functional Assignment'!$I$2,)</f>
        <v>-149.05783189749755</v>
      </c>
      <c r="G561" s="58">
        <f t="shared" si="265"/>
        <v>-60.105545597444198</v>
      </c>
      <c r="H561" s="58">
        <f t="shared" si="265"/>
        <v>-23.726066554357558</v>
      </c>
      <c r="I561" s="58">
        <f t="shared" si="265"/>
        <v>-2.4161774403429996</v>
      </c>
      <c r="J561" s="58">
        <f t="shared" si="265"/>
        <v>-27.824934591078968</v>
      </c>
      <c r="K561" s="58">
        <f t="shared" si="265"/>
        <v>-18.304998115011454</v>
      </c>
      <c r="L561" s="58">
        <f t="shared" si="265"/>
        <v>-6.992257096141242</v>
      </c>
      <c r="M561" s="58">
        <f t="shared" si="265"/>
        <v>0</v>
      </c>
      <c r="N561" s="58">
        <f t="shared" si="265"/>
        <v>0</v>
      </c>
      <c r="O561" s="58">
        <f t="shared" si="265"/>
        <v>0</v>
      </c>
      <c r="P561" s="58">
        <f t="shared" si="265"/>
        <v>-6.4792540174588815</v>
      </c>
      <c r="Q561" s="58">
        <f t="shared" si="266"/>
        <v>-2.6599603529440823</v>
      </c>
      <c r="R561" s="58">
        <f t="shared" si="266"/>
        <v>-0.51478907879302671</v>
      </c>
      <c r="S561" s="58">
        <f t="shared" si="266"/>
        <v>0</v>
      </c>
      <c r="T561" s="58">
        <f t="shared" si="266"/>
        <v>-1.0424762150000699E-3</v>
      </c>
      <c r="U561" s="58">
        <f t="shared" si="266"/>
        <v>-3.2806577710141699E-2</v>
      </c>
      <c r="V561" s="58">
        <f t="shared" si="266"/>
        <v>0</v>
      </c>
      <c r="W561" s="58">
        <f t="shared" si="266"/>
        <v>0</v>
      </c>
      <c r="X561" s="42">
        <f t="shared" si="266"/>
        <v>0</v>
      </c>
      <c r="Y561" s="42">
        <f t="shared" si="266"/>
        <v>0</v>
      </c>
      <c r="Z561" s="42">
        <f t="shared" si="266"/>
        <v>0</v>
      </c>
      <c r="AA561" s="42">
        <f t="shared" si="267"/>
        <v>-149.05783189749752</v>
      </c>
      <c r="AB561" s="37" t="str">
        <f t="shared" si="268"/>
        <v>ok</v>
      </c>
    </row>
    <row r="562" spans="1:28">
      <c r="A562" s="45" t="s">
        <v>1392</v>
      </c>
      <c r="C562" s="39" t="s">
        <v>1180</v>
      </c>
      <c r="D562" s="39" t="s">
        <v>584</v>
      </c>
      <c r="E562" s="39" t="s">
        <v>207</v>
      </c>
      <c r="F562" s="58">
        <f>VLOOKUP(C562,'Functional Assignment'!$C$2:$AP$725,'Functional Assignment'!$J$2,)</f>
        <v>-153.0834223643991</v>
      </c>
      <c r="G562" s="58">
        <f t="shared" si="265"/>
        <v>-74.745958828539898</v>
      </c>
      <c r="H562" s="58">
        <f t="shared" si="265"/>
        <v>-20.008824718070805</v>
      </c>
      <c r="I562" s="58">
        <f t="shared" si="265"/>
        <v>-2.244537790425579</v>
      </c>
      <c r="J562" s="58">
        <f t="shared" si="265"/>
        <v>-26.769074889935982</v>
      </c>
      <c r="K562" s="58">
        <f t="shared" si="265"/>
        <v>-15.810670231371521</v>
      </c>
      <c r="L562" s="58">
        <f t="shared" si="265"/>
        <v>-6.0373484280116525</v>
      </c>
      <c r="M562" s="58">
        <f t="shared" si="265"/>
        <v>0</v>
      </c>
      <c r="N562" s="58">
        <f t="shared" si="265"/>
        <v>0</v>
      </c>
      <c r="O562" s="58">
        <f t="shared" si="265"/>
        <v>0</v>
      </c>
      <c r="P562" s="58">
        <f t="shared" si="265"/>
        <v>-4.038293812665084</v>
      </c>
      <c r="Q562" s="58">
        <f t="shared" si="266"/>
        <v>-2.8543662812453379</v>
      </c>
      <c r="R562" s="58">
        <f t="shared" si="266"/>
        <v>-0.55158832161882809</v>
      </c>
      <c r="S562" s="58">
        <f t="shared" si="266"/>
        <v>0</v>
      </c>
      <c r="T562" s="58">
        <f t="shared" si="266"/>
        <v>-1.2961496214144437E-3</v>
      </c>
      <c r="U562" s="58">
        <f t="shared" si="266"/>
        <v>-2.1462912892978015E-2</v>
      </c>
      <c r="V562" s="58">
        <f t="shared" si="266"/>
        <v>0</v>
      </c>
      <c r="W562" s="58">
        <f t="shared" si="266"/>
        <v>0</v>
      </c>
      <c r="X562" s="42">
        <f t="shared" si="266"/>
        <v>0</v>
      </c>
      <c r="Y562" s="42">
        <f t="shared" si="266"/>
        <v>0</v>
      </c>
      <c r="Z562" s="42">
        <f t="shared" si="266"/>
        <v>0</v>
      </c>
      <c r="AA562" s="42">
        <f t="shared" si="267"/>
        <v>-153.0834223643991</v>
      </c>
      <c r="AB562" s="37" t="str">
        <f t="shared" si="268"/>
        <v>ok</v>
      </c>
    </row>
    <row r="563" spans="1:28">
      <c r="A563" s="45" t="s">
        <v>1393</v>
      </c>
      <c r="C563" s="39" t="s">
        <v>1180</v>
      </c>
      <c r="D563" s="39" t="s">
        <v>585</v>
      </c>
      <c r="E563" s="39" t="s">
        <v>1197</v>
      </c>
      <c r="F563" s="58">
        <f>VLOOKUP(C563,'Functional Assignment'!$C$2:$AP$725,'Functional Assignment'!$K$2,)</f>
        <v>0</v>
      </c>
      <c r="G563" s="58">
        <f t="shared" si="265"/>
        <v>0</v>
      </c>
      <c r="H563" s="58">
        <f t="shared" si="265"/>
        <v>0</v>
      </c>
      <c r="I563" s="58">
        <f t="shared" si="265"/>
        <v>0</v>
      </c>
      <c r="J563" s="58">
        <f t="shared" si="265"/>
        <v>0</v>
      </c>
      <c r="K563" s="58">
        <f t="shared" si="265"/>
        <v>0</v>
      </c>
      <c r="L563" s="58">
        <f t="shared" si="265"/>
        <v>0</v>
      </c>
      <c r="M563" s="58">
        <f t="shared" si="265"/>
        <v>0</v>
      </c>
      <c r="N563" s="58">
        <f t="shared" si="265"/>
        <v>0</v>
      </c>
      <c r="O563" s="58">
        <f t="shared" si="265"/>
        <v>0</v>
      </c>
      <c r="P563" s="58">
        <f t="shared" si="265"/>
        <v>0</v>
      </c>
      <c r="Q563" s="58">
        <f t="shared" si="266"/>
        <v>0</v>
      </c>
      <c r="R563" s="58">
        <f t="shared" si="266"/>
        <v>0</v>
      </c>
      <c r="S563" s="58">
        <f t="shared" si="266"/>
        <v>0</v>
      </c>
      <c r="T563" s="58">
        <f t="shared" si="266"/>
        <v>0</v>
      </c>
      <c r="U563" s="58">
        <f t="shared" si="266"/>
        <v>0</v>
      </c>
      <c r="V563" s="58">
        <f t="shared" si="266"/>
        <v>0</v>
      </c>
      <c r="W563" s="58">
        <f t="shared" si="266"/>
        <v>0</v>
      </c>
      <c r="X563" s="42">
        <f t="shared" si="266"/>
        <v>0</v>
      </c>
      <c r="Y563" s="42">
        <f t="shared" si="266"/>
        <v>0</v>
      </c>
      <c r="Z563" s="42">
        <f t="shared" si="266"/>
        <v>0</v>
      </c>
      <c r="AA563" s="42">
        <f t="shared" si="267"/>
        <v>0</v>
      </c>
      <c r="AB563" s="37" t="str">
        <f t="shared" si="268"/>
        <v>ok</v>
      </c>
    </row>
    <row r="564" spans="1:28">
      <c r="A564" s="45" t="s">
        <v>1394</v>
      </c>
      <c r="C564" s="39" t="s">
        <v>1180</v>
      </c>
      <c r="D564" s="39" t="s">
        <v>586</v>
      </c>
      <c r="E564" s="39" t="s">
        <v>1197</v>
      </c>
      <c r="F564" s="58">
        <f>VLOOKUP(C564,'Functional Assignment'!$C$2:$AP$725,'Functional Assignment'!$L$2,)</f>
        <v>0</v>
      </c>
      <c r="G564" s="58">
        <f t="shared" si="265"/>
        <v>0</v>
      </c>
      <c r="H564" s="58">
        <f t="shared" si="265"/>
        <v>0</v>
      </c>
      <c r="I564" s="58">
        <f t="shared" si="265"/>
        <v>0</v>
      </c>
      <c r="J564" s="58">
        <f t="shared" si="265"/>
        <v>0</v>
      </c>
      <c r="K564" s="58">
        <f t="shared" si="265"/>
        <v>0</v>
      </c>
      <c r="L564" s="58">
        <f t="shared" si="265"/>
        <v>0</v>
      </c>
      <c r="M564" s="58">
        <f t="shared" si="265"/>
        <v>0</v>
      </c>
      <c r="N564" s="58">
        <f t="shared" si="265"/>
        <v>0</v>
      </c>
      <c r="O564" s="58">
        <f t="shared" si="265"/>
        <v>0</v>
      </c>
      <c r="P564" s="58">
        <f t="shared" si="265"/>
        <v>0</v>
      </c>
      <c r="Q564" s="58">
        <f t="shared" si="266"/>
        <v>0</v>
      </c>
      <c r="R564" s="58">
        <f t="shared" si="266"/>
        <v>0</v>
      </c>
      <c r="S564" s="58">
        <f t="shared" si="266"/>
        <v>0</v>
      </c>
      <c r="T564" s="58">
        <f t="shared" si="266"/>
        <v>0</v>
      </c>
      <c r="U564" s="58">
        <f t="shared" si="266"/>
        <v>0</v>
      </c>
      <c r="V564" s="58">
        <f t="shared" si="266"/>
        <v>0</v>
      </c>
      <c r="W564" s="58">
        <f t="shared" si="266"/>
        <v>0</v>
      </c>
      <c r="X564" s="42">
        <f t="shared" si="266"/>
        <v>0</v>
      </c>
      <c r="Y564" s="42">
        <f t="shared" si="266"/>
        <v>0</v>
      </c>
      <c r="Z564" s="42">
        <f t="shared" si="266"/>
        <v>0</v>
      </c>
      <c r="AA564" s="42">
        <f t="shared" si="267"/>
        <v>0</v>
      </c>
      <c r="AB564" s="37" t="str">
        <f t="shared" si="268"/>
        <v>ok</v>
      </c>
    </row>
    <row r="565" spans="1:28">
      <c r="A565" s="45" t="s">
        <v>1394</v>
      </c>
      <c r="C565" s="39" t="s">
        <v>1180</v>
      </c>
      <c r="D565" s="39" t="s">
        <v>587</v>
      </c>
      <c r="E565" s="39" t="s">
        <v>1197</v>
      </c>
      <c r="F565" s="58">
        <f>VLOOKUP(C565,'Functional Assignment'!$C$2:$AP$725,'Functional Assignment'!$M$2,)</f>
        <v>0</v>
      </c>
      <c r="G565" s="58">
        <f t="shared" si="265"/>
        <v>0</v>
      </c>
      <c r="H565" s="58">
        <f t="shared" si="265"/>
        <v>0</v>
      </c>
      <c r="I565" s="58">
        <f t="shared" si="265"/>
        <v>0</v>
      </c>
      <c r="J565" s="58">
        <f t="shared" si="265"/>
        <v>0</v>
      </c>
      <c r="K565" s="58">
        <f t="shared" si="265"/>
        <v>0</v>
      </c>
      <c r="L565" s="58">
        <f t="shared" si="265"/>
        <v>0</v>
      </c>
      <c r="M565" s="58">
        <f t="shared" si="265"/>
        <v>0</v>
      </c>
      <c r="N565" s="58">
        <f t="shared" si="265"/>
        <v>0</v>
      </c>
      <c r="O565" s="58">
        <f t="shared" si="265"/>
        <v>0</v>
      </c>
      <c r="P565" s="58">
        <f t="shared" si="265"/>
        <v>0</v>
      </c>
      <c r="Q565" s="58">
        <f t="shared" si="266"/>
        <v>0</v>
      </c>
      <c r="R565" s="58">
        <f t="shared" si="266"/>
        <v>0</v>
      </c>
      <c r="S565" s="58">
        <f t="shared" si="266"/>
        <v>0</v>
      </c>
      <c r="T565" s="58">
        <f t="shared" si="266"/>
        <v>0</v>
      </c>
      <c r="U565" s="58">
        <f t="shared" si="266"/>
        <v>0</v>
      </c>
      <c r="V565" s="58">
        <f t="shared" si="266"/>
        <v>0</v>
      </c>
      <c r="W565" s="58">
        <f t="shared" si="266"/>
        <v>0</v>
      </c>
      <c r="X565" s="42">
        <f t="shared" si="266"/>
        <v>0</v>
      </c>
      <c r="Y565" s="42">
        <f t="shared" si="266"/>
        <v>0</v>
      </c>
      <c r="Z565" s="42">
        <f t="shared" si="266"/>
        <v>0</v>
      </c>
      <c r="AA565" s="42">
        <f t="shared" si="267"/>
        <v>0</v>
      </c>
      <c r="AB565" s="37" t="str">
        <f t="shared" si="268"/>
        <v>ok</v>
      </c>
    </row>
    <row r="566" spans="1:28">
      <c r="A566" s="39" t="s">
        <v>407</v>
      </c>
      <c r="D566" s="39" t="s">
        <v>1216</v>
      </c>
      <c r="F566" s="57">
        <f>SUM(F560:F565)</f>
        <v>-460.26297943480802</v>
      </c>
      <c r="G566" s="57">
        <f t="shared" ref="G566:P566" si="269">SUM(G560:G565)</f>
        <v>-192.65672044668318</v>
      </c>
      <c r="H566" s="57">
        <f t="shared" si="269"/>
        <v>-62.800885417942204</v>
      </c>
      <c r="I566" s="57">
        <f t="shared" si="269"/>
        <v>-7.781247002283008</v>
      </c>
      <c r="J566" s="57">
        <f t="shared" si="269"/>
        <v>-86.384886134700153</v>
      </c>
      <c r="K566" s="57">
        <f t="shared" si="269"/>
        <v>-59.681216946142953</v>
      </c>
      <c r="L566" s="57">
        <f t="shared" si="269"/>
        <v>-21.67332027269422</v>
      </c>
      <c r="M566" s="57">
        <f t="shared" si="269"/>
        <v>0</v>
      </c>
      <c r="N566" s="57">
        <f t="shared" si="269"/>
        <v>0</v>
      </c>
      <c r="O566" s="57">
        <f>SUM(O560:O565)</f>
        <v>0</v>
      </c>
      <c r="P566" s="57">
        <f t="shared" si="269"/>
        <v>-17.438884685584213</v>
      </c>
      <c r="Q566" s="57">
        <f t="shared" ref="Q566:W566" si="270">SUM(Q560:Q565)</f>
        <v>-8.419774163760021</v>
      </c>
      <c r="R566" s="57">
        <f t="shared" si="270"/>
        <v>-1.8471846523757862</v>
      </c>
      <c r="S566" s="57">
        <f t="shared" si="270"/>
        <v>-1.4283188616981377</v>
      </c>
      <c r="T566" s="57">
        <f t="shared" si="270"/>
        <v>-5.3967790001534434E-2</v>
      </c>
      <c r="U566" s="57">
        <f t="shared" si="270"/>
        <v>-9.6573060942575548E-2</v>
      </c>
      <c r="V566" s="57">
        <f t="shared" si="270"/>
        <v>0</v>
      </c>
      <c r="W566" s="57">
        <f t="shared" si="270"/>
        <v>0</v>
      </c>
      <c r="X566" s="41">
        <f>SUM(X560:X565)</f>
        <v>0</v>
      </c>
      <c r="Y566" s="41">
        <f>SUM(Y560:Y565)</f>
        <v>0</v>
      </c>
      <c r="Z566" s="41">
        <f>SUM(Z560:Z565)</f>
        <v>0</v>
      </c>
      <c r="AA566" s="43">
        <f t="shared" si="267"/>
        <v>-460.26297943480802</v>
      </c>
      <c r="AB566" s="37" t="str">
        <f t="shared" si="268"/>
        <v>ok</v>
      </c>
    </row>
    <row r="567" spans="1:28">
      <c r="F567" s="58"/>
      <c r="G567" s="58"/>
    </row>
    <row r="568" spans="1:28">
      <c r="A568" s="44" t="s">
        <v>1237</v>
      </c>
      <c r="F568" s="58"/>
      <c r="G568" s="58"/>
    </row>
    <row r="569" spans="1:28">
      <c r="A569" s="45" t="s">
        <v>377</v>
      </c>
      <c r="C569" s="39" t="s">
        <v>1180</v>
      </c>
      <c r="D569" s="39" t="s">
        <v>588</v>
      </c>
      <c r="E569" s="39" t="s">
        <v>939</v>
      </c>
      <c r="F569" s="57">
        <f>VLOOKUP(C569,'Functional Assignment'!$C$2:$AP$725,'Functional Assignment'!$N$2,)</f>
        <v>-16.977742499855559</v>
      </c>
      <c r="G569" s="57">
        <f t="shared" ref="G569:P571" si="271">IF(VLOOKUP($E569,$D$6:$AN$1197,3,)=0,0,(VLOOKUP($E569,$D$6:$AN$1197,G$2,)/VLOOKUP($E569,$D$6:$AN$1197,3,))*$F569)</f>
        <v>-6.2066238631962705</v>
      </c>
      <c r="H569" s="57">
        <f t="shared" si="271"/>
        <v>-2.0471414585966197</v>
      </c>
      <c r="I569" s="57">
        <f t="shared" si="271"/>
        <v>-0.33505569725763584</v>
      </c>
      <c r="J569" s="57">
        <f t="shared" si="271"/>
        <v>-3.4134292241038762</v>
      </c>
      <c r="K569" s="57">
        <f t="shared" si="271"/>
        <v>-2.7450073702372317</v>
      </c>
      <c r="L569" s="57">
        <f t="shared" si="271"/>
        <v>-0.92808728896969439</v>
      </c>
      <c r="M569" s="57">
        <f t="shared" si="271"/>
        <v>0</v>
      </c>
      <c r="N569" s="57">
        <f t="shared" si="271"/>
        <v>0</v>
      </c>
      <c r="O569" s="57">
        <f t="shared" si="271"/>
        <v>0</v>
      </c>
      <c r="P569" s="57">
        <f t="shared" si="271"/>
        <v>-0.74315325587463987</v>
      </c>
      <c r="Q569" s="57">
        <f t="shared" ref="Q569:Z571" si="272">IF(VLOOKUP($E569,$D$6:$AN$1197,3,)=0,0,(VLOOKUP($E569,$D$6:$AN$1197,Q$2,)/VLOOKUP($E569,$D$6:$AN$1197,3,))*$F569)</f>
        <v>-0.31196181264749906</v>
      </c>
      <c r="R569" s="57">
        <f t="shared" si="272"/>
        <v>-8.3836325788674587E-2</v>
      </c>
      <c r="S569" s="57">
        <f t="shared" si="272"/>
        <v>-0.15336051902469447</v>
      </c>
      <c r="T569" s="57">
        <f t="shared" si="272"/>
        <v>-5.5434928610830882E-3</v>
      </c>
      <c r="U569" s="57">
        <f t="shared" si="272"/>
        <v>-4.5421912976373862E-3</v>
      </c>
      <c r="V569" s="57">
        <f t="shared" si="272"/>
        <v>0</v>
      </c>
      <c r="W569" s="57">
        <f t="shared" si="272"/>
        <v>0</v>
      </c>
      <c r="X569" s="41">
        <f t="shared" si="272"/>
        <v>0</v>
      </c>
      <c r="Y569" s="41">
        <f t="shared" si="272"/>
        <v>0</v>
      </c>
      <c r="Z569" s="41">
        <f t="shared" si="272"/>
        <v>0</v>
      </c>
      <c r="AA569" s="43">
        <f>SUM(G569:Z569)</f>
        <v>-16.977742499855555</v>
      </c>
      <c r="AB569" s="37" t="str">
        <f>IF(ABS(F569-AA569)&lt;0.01,"ok","err")</f>
        <v>ok</v>
      </c>
    </row>
    <row r="570" spans="1:28">
      <c r="A570" s="45" t="s">
        <v>379</v>
      </c>
      <c r="C570" s="39" t="s">
        <v>1180</v>
      </c>
      <c r="D570" s="39" t="s">
        <v>589</v>
      </c>
      <c r="E570" s="39" t="s">
        <v>204</v>
      </c>
      <c r="F570" s="58">
        <f>VLOOKUP(C570,'Functional Assignment'!$C$2:$AP$725,'Functional Assignment'!$O$2,)</f>
        <v>-16.004540076799074</v>
      </c>
      <c r="G570" s="58">
        <f t="shared" si="271"/>
        <v>-6.4536133466216059</v>
      </c>
      <c r="H570" s="58">
        <f t="shared" si="271"/>
        <v>-2.5474997066584373</v>
      </c>
      <c r="I570" s="58">
        <f t="shared" si="271"/>
        <v>-0.2594282244975854</v>
      </c>
      <c r="J570" s="58">
        <f t="shared" si="271"/>
        <v>-2.987600685775925</v>
      </c>
      <c r="K570" s="58">
        <f t="shared" si="271"/>
        <v>-1.9654322903267101</v>
      </c>
      <c r="L570" s="58">
        <f t="shared" si="271"/>
        <v>-0.75076805759143728</v>
      </c>
      <c r="M570" s="58">
        <f t="shared" si="271"/>
        <v>0</v>
      </c>
      <c r="N570" s="58">
        <f t="shared" si="271"/>
        <v>0</v>
      </c>
      <c r="O570" s="58">
        <f t="shared" si="271"/>
        <v>0</v>
      </c>
      <c r="P570" s="58">
        <f t="shared" si="271"/>
        <v>-0.69568622641372924</v>
      </c>
      <c r="Q570" s="58">
        <f t="shared" si="272"/>
        <v>-0.28560352401117201</v>
      </c>
      <c r="R570" s="58">
        <f t="shared" si="272"/>
        <v>-5.5273596413955302E-2</v>
      </c>
      <c r="S570" s="58">
        <f t="shared" si="272"/>
        <v>0</v>
      </c>
      <c r="T570" s="58">
        <f t="shared" si="272"/>
        <v>-1.1193207461619152E-4</v>
      </c>
      <c r="U570" s="58">
        <f t="shared" si="272"/>
        <v>-3.5224864139017497E-3</v>
      </c>
      <c r="V570" s="58">
        <f t="shared" si="272"/>
        <v>0</v>
      </c>
      <c r="W570" s="58">
        <f t="shared" si="272"/>
        <v>0</v>
      </c>
      <c r="X570" s="42">
        <f t="shared" si="272"/>
        <v>0</v>
      </c>
      <c r="Y570" s="42">
        <f t="shared" si="272"/>
        <v>0</v>
      </c>
      <c r="Z570" s="42">
        <f t="shared" si="272"/>
        <v>0</v>
      </c>
      <c r="AA570" s="42">
        <f>SUM(G570:Z570)</f>
        <v>-16.004540076799078</v>
      </c>
      <c r="AB570" s="37" t="str">
        <f>IF(ABS(F570-AA570)&lt;0.01,"ok","err")</f>
        <v>ok</v>
      </c>
    </row>
    <row r="571" spans="1:28">
      <c r="A571" s="45" t="s">
        <v>378</v>
      </c>
      <c r="C571" s="39" t="s">
        <v>1180</v>
      </c>
      <c r="D571" s="39" t="s">
        <v>590</v>
      </c>
      <c r="E571" s="39" t="s">
        <v>207</v>
      </c>
      <c r="F571" s="58">
        <f>VLOOKUP(C571,'Functional Assignment'!$C$2:$AP$725,'Functional Assignment'!$P$2,)</f>
        <v>-16.436773144596621</v>
      </c>
      <c r="G571" s="58">
        <f t="shared" si="271"/>
        <v>-8.0255742245921127</v>
      </c>
      <c r="H571" s="58">
        <f t="shared" si="271"/>
        <v>-2.1483744464378485</v>
      </c>
      <c r="I571" s="58">
        <f t="shared" si="271"/>
        <v>-0.24099904421969065</v>
      </c>
      <c r="J571" s="58">
        <f t="shared" si="271"/>
        <v>-2.8742316082353327</v>
      </c>
      <c r="K571" s="58">
        <f t="shared" si="271"/>
        <v>-1.6976129475239459</v>
      </c>
      <c r="L571" s="58">
        <f t="shared" si="271"/>
        <v>-0.64823822836869394</v>
      </c>
      <c r="M571" s="58">
        <f t="shared" si="271"/>
        <v>0</v>
      </c>
      <c r="N571" s="58">
        <f t="shared" si="271"/>
        <v>0</v>
      </c>
      <c r="O571" s="58">
        <f t="shared" si="271"/>
        <v>0</v>
      </c>
      <c r="P571" s="58">
        <f t="shared" si="271"/>
        <v>-0.43359704313378744</v>
      </c>
      <c r="Q571" s="58">
        <f t="shared" si="272"/>
        <v>-0.30647715024776162</v>
      </c>
      <c r="R571" s="58">
        <f t="shared" si="272"/>
        <v>-5.9224780656366709E-2</v>
      </c>
      <c r="S571" s="58">
        <f t="shared" si="272"/>
        <v>0</v>
      </c>
      <c r="T571" s="58">
        <f t="shared" si="272"/>
        <v>-1.3916932976538001E-4</v>
      </c>
      <c r="U571" s="58">
        <f t="shared" si="272"/>
        <v>-2.3045018513131958E-3</v>
      </c>
      <c r="V571" s="58">
        <f t="shared" si="272"/>
        <v>0</v>
      </c>
      <c r="W571" s="58">
        <f t="shared" si="272"/>
        <v>0</v>
      </c>
      <c r="X571" s="42">
        <f t="shared" si="272"/>
        <v>0</v>
      </c>
      <c r="Y571" s="42">
        <f t="shared" si="272"/>
        <v>0</v>
      </c>
      <c r="Z571" s="42">
        <f t="shared" si="272"/>
        <v>0</v>
      </c>
      <c r="AA571" s="42">
        <f>SUM(G571:Z571)</f>
        <v>-16.436773144596621</v>
      </c>
      <c r="AB571" s="37" t="str">
        <f>IF(ABS(F571-AA571)&lt;0.01,"ok","err")</f>
        <v>ok</v>
      </c>
    </row>
    <row r="572" spans="1:28">
      <c r="A572" s="39" t="s">
        <v>1239</v>
      </c>
      <c r="D572" s="39" t="s">
        <v>591</v>
      </c>
      <c r="F572" s="57">
        <f>SUM(F569:F571)</f>
        <v>-49.419055721251254</v>
      </c>
      <c r="G572" s="57">
        <f t="shared" ref="G572:W572" si="273">SUM(G569:G571)</f>
        <v>-20.685811434409988</v>
      </c>
      <c r="H572" s="57">
        <f t="shared" si="273"/>
        <v>-6.7430156116929059</v>
      </c>
      <c r="I572" s="57">
        <f t="shared" si="273"/>
        <v>-0.8354829659749119</v>
      </c>
      <c r="J572" s="57">
        <f t="shared" si="273"/>
        <v>-9.2752615181151334</v>
      </c>
      <c r="K572" s="57">
        <f t="shared" si="273"/>
        <v>-6.4080526080878881</v>
      </c>
      <c r="L572" s="57">
        <f t="shared" si="273"/>
        <v>-2.3270935749298256</v>
      </c>
      <c r="M572" s="57">
        <f t="shared" si="273"/>
        <v>0</v>
      </c>
      <c r="N572" s="57">
        <f t="shared" si="273"/>
        <v>0</v>
      </c>
      <c r="O572" s="57">
        <f>SUM(O569:O571)</f>
        <v>0</v>
      </c>
      <c r="P572" s="57">
        <f t="shared" si="273"/>
        <v>-1.8724365254221564</v>
      </c>
      <c r="Q572" s="57">
        <f t="shared" si="273"/>
        <v>-0.90404248690643274</v>
      </c>
      <c r="R572" s="57">
        <f t="shared" si="273"/>
        <v>-0.1983347028589966</v>
      </c>
      <c r="S572" s="57">
        <f t="shared" si="273"/>
        <v>-0.15336051902469447</v>
      </c>
      <c r="T572" s="57">
        <f t="shared" si="273"/>
        <v>-5.7945942654646591E-3</v>
      </c>
      <c r="U572" s="57">
        <f t="shared" si="273"/>
        <v>-1.0369179562852332E-2</v>
      </c>
      <c r="V572" s="57">
        <f t="shared" si="273"/>
        <v>0</v>
      </c>
      <c r="W572" s="57">
        <f t="shared" si="273"/>
        <v>0</v>
      </c>
      <c r="X572" s="41">
        <f>SUM(X569:X571)</f>
        <v>0</v>
      </c>
      <c r="Y572" s="41">
        <f>SUM(Y569:Y571)</f>
        <v>0</v>
      </c>
      <c r="Z572" s="41">
        <f>SUM(Z569:Z571)</f>
        <v>0</v>
      </c>
      <c r="AA572" s="43">
        <f>SUM(G572:Z572)</f>
        <v>-49.419055721251254</v>
      </c>
      <c r="AB572" s="37" t="str">
        <f>IF(ABS(F572-AA572)&lt;0.01,"ok","err")</f>
        <v>ok</v>
      </c>
    </row>
    <row r="573" spans="1:28">
      <c r="F573" s="58"/>
      <c r="G573" s="58"/>
    </row>
    <row r="574" spans="1:28">
      <c r="A574" s="44" t="s">
        <v>365</v>
      </c>
      <c r="F574" s="58"/>
      <c r="G574" s="58"/>
    </row>
    <row r="575" spans="1:28">
      <c r="A575" s="45" t="s">
        <v>392</v>
      </c>
      <c r="C575" s="39" t="s">
        <v>1180</v>
      </c>
      <c r="D575" s="39" t="s">
        <v>592</v>
      </c>
      <c r="E575" s="39" t="s">
        <v>1472</v>
      </c>
      <c r="F575" s="57">
        <f>VLOOKUP(C575,'Functional Assignment'!$C$2:$AP$725,'Functional Assignment'!$Q$2,)</f>
        <v>0</v>
      </c>
      <c r="G575" s="57">
        <f t="shared" ref="G575:Z575" si="274">IF(VLOOKUP($E575,$D$6:$AN$1197,3,)=0,0,(VLOOKUP($E575,$D$6:$AN$1197,G$2,)/VLOOKUP($E575,$D$6:$AN$1197,3,))*$F575)</f>
        <v>0</v>
      </c>
      <c r="H575" s="57">
        <f t="shared" si="274"/>
        <v>0</v>
      </c>
      <c r="I575" s="57">
        <f t="shared" si="274"/>
        <v>0</v>
      </c>
      <c r="J575" s="57">
        <f t="shared" si="274"/>
        <v>0</v>
      </c>
      <c r="K575" s="57">
        <f t="shared" si="274"/>
        <v>0</v>
      </c>
      <c r="L575" s="57">
        <f t="shared" si="274"/>
        <v>0</v>
      </c>
      <c r="M575" s="57">
        <f t="shared" si="274"/>
        <v>0</v>
      </c>
      <c r="N575" s="57">
        <f t="shared" si="274"/>
        <v>0</v>
      </c>
      <c r="O575" s="57">
        <f t="shared" si="274"/>
        <v>0</v>
      </c>
      <c r="P575" s="57">
        <f t="shared" si="274"/>
        <v>0</v>
      </c>
      <c r="Q575" s="57">
        <f t="shared" si="274"/>
        <v>0</v>
      </c>
      <c r="R575" s="57">
        <f t="shared" si="274"/>
        <v>0</v>
      </c>
      <c r="S575" s="57">
        <f t="shared" si="274"/>
        <v>0</v>
      </c>
      <c r="T575" s="57">
        <f t="shared" si="274"/>
        <v>0</v>
      </c>
      <c r="U575" s="57">
        <f t="shared" si="274"/>
        <v>0</v>
      </c>
      <c r="V575" s="57">
        <f t="shared" si="274"/>
        <v>0</v>
      </c>
      <c r="W575" s="57">
        <f t="shared" si="274"/>
        <v>0</v>
      </c>
      <c r="X575" s="41">
        <f t="shared" si="274"/>
        <v>0</v>
      </c>
      <c r="Y575" s="41">
        <f t="shared" si="274"/>
        <v>0</v>
      </c>
      <c r="Z575" s="41">
        <f t="shared" si="274"/>
        <v>0</v>
      </c>
      <c r="AA575" s="43">
        <f>SUM(G575:Z575)</f>
        <v>0</v>
      </c>
      <c r="AB575" s="37" t="str">
        <f>IF(ABS(F575-AA575)&lt;0.01,"ok","err")</f>
        <v>ok</v>
      </c>
    </row>
    <row r="576" spans="1:28">
      <c r="F576" s="58"/>
    </row>
    <row r="577" spans="1:28">
      <c r="A577" s="44" t="s">
        <v>366</v>
      </c>
      <c r="F577" s="58"/>
      <c r="G577" s="58"/>
    </row>
    <row r="578" spans="1:28">
      <c r="A578" s="45" t="s">
        <v>394</v>
      </c>
      <c r="C578" s="39" t="s">
        <v>1180</v>
      </c>
      <c r="D578" s="39" t="s">
        <v>593</v>
      </c>
      <c r="E578" s="39" t="s">
        <v>1471</v>
      </c>
      <c r="F578" s="57">
        <f>VLOOKUP(C578,'Functional Assignment'!$C$2:$AP$725,'Functional Assignment'!$R$2,)</f>
        <v>-20.261975473506364</v>
      </c>
      <c r="G578" s="57">
        <f t="shared" ref="G578:Z578" si="275">IF(VLOOKUP($E578,$D$6:$AN$1197,3,)=0,0,(VLOOKUP($E578,$D$6:$AN$1197,G$2,)/VLOOKUP($E578,$D$6:$AN$1197,3,))*$F578)</f>
        <v>-9.7207684057712065</v>
      </c>
      <c r="H578" s="57">
        <f t="shared" si="275"/>
        <v>-2.7577961275401992</v>
      </c>
      <c r="I578" s="57">
        <f t="shared" si="275"/>
        <v>-0.28740432763725343</v>
      </c>
      <c r="J578" s="57">
        <f t="shared" si="275"/>
        <v>-3.3623681312207725</v>
      </c>
      <c r="K578" s="57">
        <f t="shared" si="275"/>
        <v>-2.6906913884684713</v>
      </c>
      <c r="L578" s="57">
        <f t="shared" si="275"/>
        <v>-0.80616130122664675</v>
      </c>
      <c r="M578" s="57">
        <f t="shared" si="275"/>
        <v>0</v>
      </c>
      <c r="N578" s="57">
        <f t="shared" si="275"/>
        <v>0</v>
      </c>
      <c r="O578" s="57">
        <f t="shared" si="275"/>
        <v>0</v>
      </c>
      <c r="P578" s="57">
        <f t="shared" si="275"/>
        <v>0</v>
      </c>
      <c r="Q578" s="57">
        <f t="shared" si="275"/>
        <v>-0.37690255890892543</v>
      </c>
      <c r="R578" s="57">
        <f t="shared" si="275"/>
        <v>-8.5098814318509686E-2</v>
      </c>
      <c r="S578" s="57">
        <f t="shared" si="275"/>
        <v>-0.16633787097618208</v>
      </c>
      <c r="T578" s="57">
        <f t="shared" si="275"/>
        <v>-5.9864366114900152E-3</v>
      </c>
      <c r="U578" s="57">
        <f t="shared" si="275"/>
        <v>-2.4601108267068867E-3</v>
      </c>
      <c r="V578" s="57">
        <f t="shared" si="275"/>
        <v>0</v>
      </c>
      <c r="W578" s="57">
        <f t="shared" si="275"/>
        <v>0</v>
      </c>
      <c r="X578" s="41">
        <f t="shared" si="275"/>
        <v>0</v>
      </c>
      <c r="Y578" s="41">
        <f t="shared" si="275"/>
        <v>0</v>
      </c>
      <c r="Z578" s="41">
        <f t="shared" si="275"/>
        <v>0</v>
      </c>
      <c r="AA578" s="43">
        <f>SUM(G578:Z578)</f>
        <v>-20.261975473506364</v>
      </c>
      <c r="AB578" s="37" t="str">
        <f>IF(ABS(F578-AA578)&lt;0.01,"ok","err")</f>
        <v>ok</v>
      </c>
    </row>
    <row r="579" spans="1:28">
      <c r="F579" s="58"/>
    </row>
    <row r="580" spans="1:28">
      <c r="A580" s="44" t="s">
        <v>393</v>
      </c>
      <c r="F580" s="58"/>
    </row>
    <row r="581" spans="1:28">
      <c r="A581" s="45" t="s">
        <v>644</v>
      </c>
      <c r="C581" s="39" t="s">
        <v>1180</v>
      </c>
      <c r="D581" s="39" t="s">
        <v>594</v>
      </c>
      <c r="E581" s="39" t="s">
        <v>1472</v>
      </c>
      <c r="F581" s="57">
        <f>VLOOKUP(C581,'Functional Assignment'!$C$2:$AP$725,'Functional Assignment'!$S$2,)</f>
        <v>0</v>
      </c>
      <c r="G581" s="57">
        <f t="shared" ref="G581:P585" si="276">IF(VLOOKUP($E581,$D$6:$AN$1197,3,)=0,0,(VLOOKUP($E581,$D$6:$AN$1197,G$2,)/VLOOKUP($E581,$D$6:$AN$1197,3,))*$F581)</f>
        <v>0</v>
      </c>
      <c r="H581" s="57">
        <f t="shared" si="276"/>
        <v>0</v>
      </c>
      <c r="I581" s="57">
        <f t="shared" si="276"/>
        <v>0</v>
      </c>
      <c r="J581" s="57">
        <f t="shared" si="276"/>
        <v>0</v>
      </c>
      <c r="K581" s="57">
        <f t="shared" si="276"/>
        <v>0</v>
      </c>
      <c r="L581" s="57">
        <f t="shared" si="276"/>
        <v>0</v>
      </c>
      <c r="M581" s="57">
        <f t="shared" si="276"/>
        <v>0</v>
      </c>
      <c r="N581" s="57">
        <f t="shared" si="276"/>
        <v>0</v>
      </c>
      <c r="O581" s="57">
        <f t="shared" si="276"/>
        <v>0</v>
      </c>
      <c r="P581" s="57">
        <f t="shared" si="276"/>
        <v>0</v>
      </c>
      <c r="Q581" s="57">
        <f t="shared" ref="Q581:Z585" si="277">IF(VLOOKUP($E581,$D$6:$AN$1197,3,)=0,0,(VLOOKUP($E581,$D$6:$AN$1197,Q$2,)/VLOOKUP($E581,$D$6:$AN$1197,3,))*$F581)</f>
        <v>0</v>
      </c>
      <c r="R581" s="57">
        <f t="shared" si="277"/>
        <v>0</v>
      </c>
      <c r="S581" s="57">
        <f t="shared" si="277"/>
        <v>0</v>
      </c>
      <c r="T581" s="57">
        <f t="shared" si="277"/>
        <v>0</v>
      </c>
      <c r="U581" s="57">
        <f t="shared" si="277"/>
        <v>0</v>
      </c>
      <c r="V581" s="57">
        <f t="shared" si="277"/>
        <v>0</v>
      </c>
      <c r="W581" s="57">
        <f t="shared" si="277"/>
        <v>0</v>
      </c>
      <c r="X581" s="41">
        <f t="shared" si="277"/>
        <v>0</v>
      </c>
      <c r="Y581" s="41">
        <f t="shared" si="277"/>
        <v>0</v>
      </c>
      <c r="Z581" s="41">
        <f t="shared" si="277"/>
        <v>0</v>
      </c>
      <c r="AA581" s="43">
        <f t="shared" ref="AA581:AA586" si="278">SUM(G581:Z581)</f>
        <v>0</v>
      </c>
      <c r="AB581" s="37" t="str">
        <f t="shared" ref="AB581:AB586" si="279">IF(ABS(F581-AA581)&lt;0.01,"ok","err")</f>
        <v>ok</v>
      </c>
    </row>
    <row r="582" spans="1:28">
      <c r="A582" s="45" t="s">
        <v>645</v>
      </c>
      <c r="C582" s="39" t="s">
        <v>1180</v>
      </c>
      <c r="D582" s="39" t="s">
        <v>595</v>
      </c>
      <c r="E582" s="39" t="s">
        <v>1472</v>
      </c>
      <c r="F582" s="58">
        <f>VLOOKUP(C582,'Functional Assignment'!$C$2:$AP$725,'Functional Assignment'!$T$2,)</f>
        <v>-31.199293916622739</v>
      </c>
      <c r="G582" s="58">
        <f t="shared" si="276"/>
        <v>-14.967993174388779</v>
      </c>
      <c r="H582" s="58">
        <f t="shared" si="276"/>
        <v>-4.2464414221483171</v>
      </c>
      <c r="I582" s="58">
        <f t="shared" si="276"/>
        <v>-0.44254382316218893</v>
      </c>
      <c r="J582" s="58">
        <f t="shared" si="276"/>
        <v>-5.1773585314526454</v>
      </c>
      <c r="K582" s="58">
        <f t="shared" si="276"/>
        <v>-4.1431138625905319</v>
      </c>
      <c r="L582" s="58">
        <f t="shared" si="276"/>
        <v>-1.2413233553689946</v>
      </c>
      <c r="M582" s="58">
        <f t="shared" si="276"/>
        <v>0</v>
      </c>
      <c r="N582" s="58">
        <f t="shared" si="276"/>
        <v>0</v>
      </c>
      <c r="O582" s="58">
        <f t="shared" si="276"/>
        <v>0</v>
      </c>
      <c r="P582" s="58">
        <f t="shared" si="276"/>
        <v>0</v>
      </c>
      <c r="Q582" s="58">
        <f t="shared" si="277"/>
        <v>-0.58035277600165081</v>
      </c>
      <c r="R582" s="58">
        <f t="shared" si="277"/>
        <v>-0.13103475144123405</v>
      </c>
      <c r="S582" s="58">
        <f t="shared" si="277"/>
        <v>-0.25612626630788748</v>
      </c>
      <c r="T582" s="58">
        <f t="shared" si="277"/>
        <v>-9.2178867553819425E-3</v>
      </c>
      <c r="U582" s="58">
        <f t="shared" si="277"/>
        <v>-3.7880670051275889E-3</v>
      </c>
      <c r="V582" s="58">
        <f t="shared" si="277"/>
        <v>0</v>
      </c>
      <c r="W582" s="58">
        <f t="shared" si="277"/>
        <v>0</v>
      </c>
      <c r="X582" s="42">
        <f t="shared" si="277"/>
        <v>0</v>
      </c>
      <c r="Y582" s="42">
        <f t="shared" si="277"/>
        <v>0</v>
      </c>
      <c r="Z582" s="42">
        <f t="shared" si="277"/>
        <v>0</v>
      </c>
      <c r="AA582" s="42">
        <f t="shared" si="278"/>
        <v>-31.199293916622743</v>
      </c>
      <c r="AB582" s="37" t="str">
        <f t="shared" si="279"/>
        <v>ok</v>
      </c>
    </row>
    <row r="583" spans="1:28">
      <c r="A583" s="45" t="s">
        <v>646</v>
      </c>
      <c r="C583" s="39" t="s">
        <v>1180</v>
      </c>
      <c r="D583" s="39" t="s">
        <v>596</v>
      </c>
      <c r="E583" s="39" t="s">
        <v>733</v>
      </c>
      <c r="F583" s="58">
        <f>VLOOKUP(C583,'Functional Assignment'!$C$2:$AP$725,'Functional Assignment'!$U$2,)</f>
        <v>-51.075963064500726</v>
      </c>
      <c r="G583" s="58">
        <f t="shared" si="276"/>
        <v>-43.969817317126214</v>
      </c>
      <c r="H583" s="58">
        <f t="shared" si="276"/>
        <v>-5.4723153389745978</v>
      </c>
      <c r="I583" s="58">
        <f t="shared" si="276"/>
        <v>-1.0746887939855848E-2</v>
      </c>
      <c r="J583" s="58">
        <f t="shared" si="276"/>
        <v>-0.36792286947035902</v>
      </c>
      <c r="K583" s="58">
        <f t="shared" si="276"/>
        <v>-1.1631925770196918E-2</v>
      </c>
      <c r="L583" s="58">
        <f t="shared" si="276"/>
        <v>-2.0482304073607613E-2</v>
      </c>
      <c r="M583" s="58">
        <f t="shared" si="276"/>
        <v>0</v>
      </c>
      <c r="N583" s="58">
        <f t="shared" si="276"/>
        <v>0</v>
      </c>
      <c r="O583" s="58">
        <f t="shared" si="276"/>
        <v>0</v>
      </c>
      <c r="P583" s="58">
        <f t="shared" si="276"/>
        <v>0</v>
      </c>
      <c r="Q583" s="58">
        <f t="shared" si="277"/>
        <v>-1.2643397576300996E-4</v>
      </c>
      <c r="R583" s="58">
        <f t="shared" si="277"/>
        <v>-2.5286795152601991E-4</v>
      </c>
      <c r="S583" s="58">
        <f t="shared" si="277"/>
        <v>-1.2076467628979661</v>
      </c>
      <c r="T583" s="58">
        <f t="shared" si="277"/>
        <v>-2.1493775879711696E-3</v>
      </c>
      <c r="U583" s="58">
        <f t="shared" si="277"/>
        <v>-1.2870978732674414E-2</v>
      </c>
      <c r="V583" s="58">
        <f t="shared" si="277"/>
        <v>0</v>
      </c>
      <c r="W583" s="58">
        <f t="shared" si="277"/>
        <v>0</v>
      </c>
      <c r="X583" s="42">
        <f t="shared" si="277"/>
        <v>0</v>
      </c>
      <c r="Y583" s="42">
        <f t="shared" si="277"/>
        <v>0</v>
      </c>
      <c r="Z583" s="42">
        <f t="shared" si="277"/>
        <v>0</v>
      </c>
      <c r="AA583" s="42">
        <f t="shared" si="278"/>
        <v>-51.075963064500726</v>
      </c>
      <c r="AB583" s="37" t="str">
        <f t="shared" si="279"/>
        <v>ok</v>
      </c>
    </row>
    <row r="584" spans="1:28">
      <c r="A584" s="45" t="s">
        <v>647</v>
      </c>
      <c r="C584" s="39" t="s">
        <v>1180</v>
      </c>
      <c r="D584" s="39" t="s">
        <v>597</v>
      </c>
      <c r="E584" s="39" t="s">
        <v>711</v>
      </c>
      <c r="F584" s="58">
        <f>VLOOKUP(C584,'Functional Assignment'!$C$2:$AP$725,'Functional Assignment'!$V$2,)</f>
        <v>-10.399764638874242</v>
      </c>
      <c r="G584" s="58">
        <f t="shared" si="276"/>
        <v>-7.1976820175539906</v>
      </c>
      <c r="H584" s="58">
        <f t="shared" si="276"/>
        <v>-1.3873920970466314</v>
      </c>
      <c r="I584" s="58">
        <f t="shared" si="276"/>
        <v>0</v>
      </c>
      <c r="J584" s="58">
        <f t="shared" si="276"/>
        <v>-1.3831634519123661</v>
      </c>
      <c r="K584" s="58">
        <f t="shared" si="276"/>
        <v>0</v>
      </c>
      <c r="L584" s="58">
        <f t="shared" si="276"/>
        <v>-0.37114799626090234</v>
      </c>
      <c r="M584" s="58">
        <f t="shared" si="276"/>
        <v>0</v>
      </c>
      <c r="N584" s="58">
        <f t="shared" si="276"/>
        <v>0</v>
      </c>
      <c r="O584" s="58">
        <f t="shared" si="276"/>
        <v>0</v>
      </c>
      <c r="P584" s="58">
        <f t="shared" si="276"/>
        <v>0</v>
      </c>
      <c r="Q584" s="58">
        <f t="shared" si="277"/>
        <v>0</v>
      </c>
      <c r="R584" s="58">
        <f t="shared" si="277"/>
        <v>0</v>
      </c>
      <c r="S584" s="58">
        <f t="shared" si="277"/>
        <v>-5.7397785312770726E-2</v>
      </c>
      <c r="T584" s="58">
        <f t="shared" si="277"/>
        <v>-2.1323866129146548E-3</v>
      </c>
      <c r="U584" s="58">
        <f t="shared" si="277"/>
        <v>-8.4890417466725867E-4</v>
      </c>
      <c r="V584" s="58">
        <f t="shared" si="277"/>
        <v>0</v>
      </c>
      <c r="W584" s="58">
        <f t="shared" si="277"/>
        <v>0</v>
      </c>
      <c r="X584" s="42">
        <f t="shared" si="277"/>
        <v>0</v>
      </c>
      <c r="Y584" s="42">
        <f t="shared" si="277"/>
        <v>0</v>
      </c>
      <c r="Z584" s="42">
        <f t="shared" si="277"/>
        <v>0</v>
      </c>
      <c r="AA584" s="42">
        <f t="shared" si="278"/>
        <v>-10.399764638874245</v>
      </c>
      <c r="AB584" s="37" t="str">
        <f t="shared" si="279"/>
        <v>ok</v>
      </c>
    </row>
    <row r="585" spans="1:28">
      <c r="A585" s="45" t="s">
        <v>648</v>
      </c>
      <c r="C585" s="39" t="s">
        <v>1180</v>
      </c>
      <c r="D585" s="39" t="s">
        <v>598</v>
      </c>
      <c r="E585" s="39" t="s">
        <v>732</v>
      </c>
      <c r="F585" s="58">
        <f>VLOOKUP(C585,'Functional Assignment'!$C$2:$AP$725,'Functional Assignment'!$W$2,)</f>
        <v>-17.025321021500243</v>
      </c>
      <c r="G585" s="58">
        <f t="shared" si="276"/>
        <v>-14.663139284411578</v>
      </c>
      <c r="H585" s="58">
        <f t="shared" si="276"/>
        <v>-1.824918248917822</v>
      </c>
      <c r="I585" s="58">
        <f t="shared" si="276"/>
        <v>0</v>
      </c>
      <c r="J585" s="58">
        <f t="shared" si="276"/>
        <v>-0.12269562645790079</v>
      </c>
      <c r="K585" s="58">
        <f t="shared" si="276"/>
        <v>0</v>
      </c>
      <c r="L585" s="58">
        <f t="shared" si="276"/>
        <v>-6.8304781739449922E-3</v>
      </c>
      <c r="M585" s="58">
        <f t="shared" si="276"/>
        <v>0</v>
      </c>
      <c r="N585" s="58">
        <f t="shared" si="276"/>
        <v>0</v>
      </c>
      <c r="O585" s="58">
        <f t="shared" si="276"/>
        <v>0</v>
      </c>
      <c r="P585" s="58">
        <f t="shared" si="276"/>
        <v>0</v>
      </c>
      <c r="Q585" s="58">
        <f t="shared" si="277"/>
        <v>0</v>
      </c>
      <c r="R585" s="58">
        <f t="shared" si="277"/>
        <v>0</v>
      </c>
      <c r="S585" s="58">
        <f t="shared" si="277"/>
        <v>-0.4027283662114382</v>
      </c>
      <c r="T585" s="58">
        <f t="shared" si="277"/>
        <v>-7.1677857380904244E-4</v>
      </c>
      <c r="U585" s="58">
        <f t="shared" si="277"/>
        <v>-4.2922387537506186E-3</v>
      </c>
      <c r="V585" s="58">
        <f t="shared" si="277"/>
        <v>0</v>
      </c>
      <c r="W585" s="58">
        <f t="shared" si="277"/>
        <v>0</v>
      </c>
      <c r="X585" s="42">
        <f t="shared" si="277"/>
        <v>0</v>
      </c>
      <c r="Y585" s="42">
        <f t="shared" si="277"/>
        <v>0</v>
      </c>
      <c r="Z585" s="42">
        <f t="shared" si="277"/>
        <v>0</v>
      </c>
      <c r="AA585" s="42">
        <f t="shared" si="278"/>
        <v>-17.025321021500247</v>
      </c>
      <c r="AB585" s="37" t="str">
        <f t="shared" si="279"/>
        <v>ok</v>
      </c>
    </row>
    <row r="586" spans="1:28">
      <c r="A586" s="39" t="s">
        <v>398</v>
      </c>
      <c r="D586" s="39" t="s">
        <v>599</v>
      </c>
      <c r="F586" s="57">
        <f>SUM(F581:F585)</f>
        <v>-109.70034264149795</v>
      </c>
      <c r="G586" s="57">
        <f t="shared" ref="G586:W586" si="280">SUM(G581:G585)</f>
        <v>-80.798631793480553</v>
      </c>
      <c r="H586" s="57">
        <f t="shared" si="280"/>
        <v>-12.931067107087369</v>
      </c>
      <c r="I586" s="57">
        <f t="shared" si="280"/>
        <v>-0.45329071110204477</v>
      </c>
      <c r="J586" s="57">
        <f t="shared" si="280"/>
        <v>-7.051140479293271</v>
      </c>
      <c r="K586" s="57">
        <f t="shared" si="280"/>
        <v>-4.1547457883607288</v>
      </c>
      <c r="L586" s="57">
        <f t="shared" si="280"/>
        <v>-1.6397841338774495</v>
      </c>
      <c r="M586" s="57">
        <f t="shared" si="280"/>
        <v>0</v>
      </c>
      <c r="N586" s="57">
        <f t="shared" si="280"/>
        <v>0</v>
      </c>
      <c r="O586" s="57">
        <f>SUM(O581:O585)</f>
        <v>0</v>
      </c>
      <c r="P586" s="57">
        <f t="shared" si="280"/>
        <v>0</v>
      </c>
      <c r="Q586" s="57">
        <f t="shared" si="280"/>
        <v>-0.58047920997741387</v>
      </c>
      <c r="R586" s="57">
        <f t="shared" si="280"/>
        <v>-0.13128761939276007</v>
      </c>
      <c r="S586" s="57">
        <f t="shared" si="280"/>
        <v>-1.9238991807300625</v>
      </c>
      <c r="T586" s="57">
        <f t="shared" si="280"/>
        <v>-1.421642953007681E-2</v>
      </c>
      <c r="U586" s="57">
        <f t="shared" si="280"/>
        <v>-2.1800188666219879E-2</v>
      </c>
      <c r="V586" s="57">
        <f t="shared" si="280"/>
        <v>0</v>
      </c>
      <c r="W586" s="57">
        <f t="shared" si="280"/>
        <v>0</v>
      </c>
      <c r="X586" s="41">
        <f>SUM(X581:X585)</f>
        <v>0</v>
      </c>
      <c r="Y586" s="41">
        <f>SUM(Y581:Y585)</f>
        <v>0</v>
      </c>
      <c r="Z586" s="41">
        <f>SUM(Z581:Z585)</f>
        <v>0</v>
      </c>
      <c r="AA586" s="43">
        <f t="shared" si="278"/>
        <v>-109.70034264149795</v>
      </c>
      <c r="AB586" s="37" t="str">
        <f t="shared" si="279"/>
        <v>ok</v>
      </c>
    </row>
    <row r="587" spans="1:28">
      <c r="F587" s="58"/>
    </row>
    <row r="588" spans="1:28">
      <c r="A588" s="44" t="s">
        <v>666</v>
      </c>
      <c r="F588" s="58"/>
    </row>
    <row r="589" spans="1:28">
      <c r="A589" s="45" t="s">
        <v>1196</v>
      </c>
      <c r="C589" s="39" t="s">
        <v>1180</v>
      </c>
      <c r="D589" s="39" t="s">
        <v>600</v>
      </c>
      <c r="E589" s="39" t="s">
        <v>711</v>
      </c>
      <c r="F589" s="57">
        <f>VLOOKUP(C589,'Functional Assignment'!$C$2:$AP$725,'Functional Assignment'!$X$2,)</f>
        <v>-14.566468128110381</v>
      </c>
      <c r="G589" s="57">
        <f t="shared" ref="G589:P590" si="281">IF(VLOOKUP($E589,$D$6:$AN$1197,3,)=0,0,(VLOOKUP($E589,$D$6:$AN$1197,G$2,)/VLOOKUP($E589,$D$6:$AN$1197,3,))*$F589)</f>
        <v>-10.081459470059961</v>
      </c>
      <c r="H589" s="57">
        <f t="shared" si="281"/>
        <v>-1.9432557817009999</v>
      </c>
      <c r="I589" s="57">
        <f t="shared" si="281"/>
        <v>0</v>
      </c>
      <c r="J589" s="57">
        <f t="shared" si="281"/>
        <v>-1.9373329145292641</v>
      </c>
      <c r="K589" s="57">
        <f t="shared" si="281"/>
        <v>0</v>
      </c>
      <c r="L589" s="57">
        <f t="shared" si="281"/>
        <v>-0.51984978949789873</v>
      </c>
      <c r="M589" s="57">
        <f t="shared" si="281"/>
        <v>0</v>
      </c>
      <c r="N589" s="57">
        <f t="shared" si="281"/>
        <v>0</v>
      </c>
      <c r="O589" s="57">
        <f t="shared" si="281"/>
        <v>0</v>
      </c>
      <c r="P589" s="57">
        <f t="shared" si="281"/>
        <v>0</v>
      </c>
      <c r="Q589" s="57">
        <f t="shared" ref="Q589:Z590" si="282">IF(VLOOKUP($E589,$D$6:$AN$1197,3,)=0,0,(VLOOKUP($E589,$D$6:$AN$1197,Q$2,)/VLOOKUP($E589,$D$6:$AN$1197,3,))*$F589)</f>
        <v>0</v>
      </c>
      <c r="R589" s="57">
        <f t="shared" si="282"/>
        <v>0</v>
      </c>
      <c r="S589" s="57">
        <f t="shared" si="282"/>
        <v>-8.0394416548363504E-2</v>
      </c>
      <c r="T589" s="57">
        <f t="shared" si="282"/>
        <v>-2.9867350572265364E-3</v>
      </c>
      <c r="U589" s="57">
        <f t="shared" si="282"/>
        <v>-1.1890207166697015E-3</v>
      </c>
      <c r="V589" s="57">
        <f t="shared" si="282"/>
        <v>0</v>
      </c>
      <c r="W589" s="57">
        <f t="shared" si="282"/>
        <v>0</v>
      </c>
      <c r="X589" s="41">
        <f t="shared" si="282"/>
        <v>0</v>
      </c>
      <c r="Y589" s="41">
        <f t="shared" si="282"/>
        <v>0</v>
      </c>
      <c r="Z589" s="41">
        <f t="shared" si="282"/>
        <v>0</v>
      </c>
      <c r="AA589" s="43">
        <f>SUM(G589:Z589)</f>
        <v>-14.566468128110383</v>
      </c>
      <c r="AB589" s="37" t="str">
        <f>IF(ABS(F589-AA589)&lt;0.01,"ok","err")</f>
        <v>ok</v>
      </c>
    </row>
    <row r="590" spans="1:28">
      <c r="A590" s="45" t="s">
        <v>1199</v>
      </c>
      <c r="C590" s="39" t="s">
        <v>1180</v>
      </c>
      <c r="D590" s="39" t="s">
        <v>601</v>
      </c>
      <c r="E590" s="39" t="s">
        <v>732</v>
      </c>
      <c r="F590" s="58">
        <f>VLOOKUP(C590,'Functional Assignment'!$C$2:$AP$725,'Functional Assignment'!$Y$2,)</f>
        <v>-11.585180216791558</v>
      </c>
      <c r="G590" s="58">
        <f t="shared" si="281"/>
        <v>-9.9777919570091633</v>
      </c>
      <c r="H590" s="58">
        <f t="shared" si="281"/>
        <v>-1.2417978355841683</v>
      </c>
      <c r="I590" s="58">
        <f t="shared" si="281"/>
        <v>0</v>
      </c>
      <c r="J590" s="58">
        <f t="shared" si="281"/>
        <v>-8.349040482301949E-2</v>
      </c>
      <c r="K590" s="58">
        <f t="shared" si="281"/>
        <v>0</v>
      </c>
      <c r="L590" s="58">
        <f t="shared" si="281"/>
        <v>-4.6479194437557244E-3</v>
      </c>
      <c r="M590" s="58">
        <f t="shared" si="281"/>
        <v>0</v>
      </c>
      <c r="N590" s="58">
        <f t="shared" si="281"/>
        <v>0</v>
      </c>
      <c r="O590" s="58">
        <f t="shared" si="281"/>
        <v>0</v>
      </c>
      <c r="P590" s="58">
        <f t="shared" si="281"/>
        <v>0</v>
      </c>
      <c r="Q590" s="58">
        <f t="shared" si="282"/>
        <v>0</v>
      </c>
      <c r="R590" s="58">
        <f t="shared" si="282"/>
        <v>0</v>
      </c>
      <c r="S590" s="58">
        <f t="shared" si="282"/>
        <v>-0.27404362567269863</v>
      </c>
      <c r="T590" s="58">
        <f t="shared" si="282"/>
        <v>-4.8774463298671184E-4</v>
      </c>
      <c r="U590" s="58">
        <f t="shared" si="282"/>
        <v>-2.920729625767486E-3</v>
      </c>
      <c r="V590" s="58">
        <f t="shared" si="282"/>
        <v>0</v>
      </c>
      <c r="W590" s="58">
        <f t="shared" si="282"/>
        <v>0</v>
      </c>
      <c r="X590" s="42">
        <f t="shared" si="282"/>
        <v>0</v>
      </c>
      <c r="Y590" s="42">
        <f t="shared" si="282"/>
        <v>0</v>
      </c>
      <c r="Z590" s="42">
        <f t="shared" si="282"/>
        <v>0</v>
      </c>
      <c r="AA590" s="42">
        <f>SUM(G590:Z590)</f>
        <v>-11.585180216791558</v>
      </c>
      <c r="AB590" s="37" t="str">
        <f>IF(ABS(F590-AA590)&lt;0.01,"ok","err")</f>
        <v>ok</v>
      </c>
    </row>
    <row r="591" spans="1:28">
      <c r="A591" s="39" t="s">
        <v>773</v>
      </c>
      <c r="D591" s="39" t="s">
        <v>602</v>
      </c>
      <c r="F591" s="57">
        <f>F589+F590</f>
        <v>-26.15164834490194</v>
      </c>
      <c r="G591" s="57">
        <f t="shared" ref="G591:W591" si="283">G589+G590</f>
        <v>-20.059251427069125</v>
      </c>
      <c r="H591" s="57">
        <f t="shared" si="283"/>
        <v>-3.1850536172851682</v>
      </c>
      <c r="I591" s="57">
        <f t="shared" si="283"/>
        <v>0</v>
      </c>
      <c r="J591" s="57">
        <f t="shared" si="283"/>
        <v>-2.0208233193522838</v>
      </c>
      <c r="K591" s="57">
        <f t="shared" si="283"/>
        <v>0</v>
      </c>
      <c r="L591" s="57">
        <f t="shared" si="283"/>
        <v>-0.52449770894165448</v>
      </c>
      <c r="M591" s="57">
        <f t="shared" si="283"/>
        <v>0</v>
      </c>
      <c r="N591" s="57">
        <f t="shared" si="283"/>
        <v>0</v>
      </c>
      <c r="O591" s="57">
        <f>O589+O590</f>
        <v>0</v>
      </c>
      <c r="P591" s="57">
        <f t="shared" si="283"/>
        <v>0</v>
      </c>
      <c r="Q591" s="57">
        <f t="shared" si="283"/>
        <v>0</v>
      </c>
      <c r="R591" s="57">
        <f t="shared" si="283"/>
        <v>0</v>
      </c>
      <c r="S591" s="57">
        <f t="shared" si="283"/>
        <v>-0.35443804222106212</v>
      </c>
      <c r="T591" s="57">
        <f t="shared" si="283"/>
        <v>-3.474479690213248E-3</v>
      </c>
      <c r="U591" s="57">
        <f t="shared" si="283"/>
        <v>-4.1097503424371877E-3</v>
      </c>
      <c r="V591" s="57">
        <f t="shared" si="283"/>
        <v>0</v>
      </c>
      <c r="W591" s="57">
        <f t="shared" si="283"/>
        <v>0</v>
      </c>
      <c r="X591" s="41">
        <f>X589+X590</f>
        <v>0</v>
      </c>
      <c r="Y591" s="41">
        <f>Y589+Y590</f>
        <v>0</v>
      </c>
      <c r="Z591" s="41">
        <f>Z589+Z590</f>
        <v>0</v>
      </c>
      <c r="AA591" s="43">
        <f>SUM(G591:Z591)</f>
        <v>-26.151648344901943</v>
      </c>
      <c r="AB591" s="37" t="str">
        <f>IF(ABS(F591-AA591)&lt;0.01,"ok","err")</f>
        <v>ok</v>
      </c>
    </row>
    <row r="592" spans="1:28">
      <c r="F592" s="58"/>
    </row>
    <row r="593" spans="1:28">
      <c r="A593" s="44" t="s">
        <v>371</v>
      </c>
      <c r="F593" s="58"/>
    </row>
    <row r="594" spans="1:28">
      <c r="A594" s="45" t="s">
        <v>1199</v>
      </c>
      <c r="C594" s="39" t="s">
        <v>1180</v>
      </c>
      <c r="D594" s="39" t="s">
        <v>603</v>
      </c>
      <c r="E594" s="39" t="s">
        <v>1201</v>
      </c>
      <c r="F594" s="57">
        <f>VLOOKUP(C594,'Functional Assignment'!$C$2:$AP$725,'Functional Assignment'!$Z$2,)</f>
        <v>-5.3043956659592073</v>
      </c>
      <c r="G594" s="57">
        <f t="shared" ref="G594:Z594" si="284">IF(VLOOKUP($E594,$D$6:$AN$1197,3,)=0,0,(VLOOKUP($E594,$D$6:$AN$1197,G$2,)/VLOOKUP($E594,$D$6:$AN$1197,3,))*$F594)</f>
        <v>-4.3877662335207175</v>
      </c>
      <c r="H594" s="57">
        <f t="shared" si="284"/>
        <v>-0.73279982934255905</v>
      </c>
      <c r="I594" s="57">
        <f t="shared" si="284"/>
        <v>0</v>
      </c>
      <c r="J594" s="57">
        <f t="shared" si="284"/>
        <v>-0.15654255351165133</v>
      </c>
      <c r="K594" s="57">
        <f t="shared" si="284"/>
        <v>0</v>
      </c>
      <c r="L594" s="57">
        <f t="shared" si="284"/>
        <v>-1.2465575091253412E-2</v>
      </c>
      <c r="M594" s="57">
        <f t="shared" si="284"/>
        <v>0</v>
      </c>
      <c r="N594" s="57">
        <f t="shared" si="284"/>
        <v>0</v>
      </c>
      <c r="O594" s="57">
        <f t="shared" si="284"/>
        <v>0</v>
      </c>
      <c r="P594" s="57">
        <f t="shared" si="284"/>
        <v>0</v>
      </c>
      <c r="Q594" s="57">
        <f t="shared" si="284"/>
        <v>0</v>
      </c>
      <c r="R594" s="57">
        <f t="shared" si="284"/>
        <v>0</v>
      </c>
      <c r="S594" s="57">
        <f t="shared" si="284"/>
        <v>0</v>
      </c>
      <c r="T594" s="57">
        <f t="shared" si="284"/>
        <v>-2.1529093931933695E-3</v>
      </c>
      <c r="U594" s="57">
        <f t="shared" si="284"/>
        <v>-1.2668565099831504E-2</v>
      </c>
      <c r="V594" s="57">
        <f t="shared" si="284"/>
        <v>0</v>
      </c>
      <c r="W594" s="57">
        <f t="shared" si="284"/>
        <v>0</v>
      </c>
      <c r="X594" s="41">
        <f t="shared" si="284"/>
        <v>0</v>
      </c>
      <c r="Y594" s="41">
        <f t="shared" si="284"/>
        <v>0</v>
      </c>
      <c r="Z594" s="41">
        <f t="shared" si="284"/>
        <v>0</v>
      </c>
      <c r="AA594" s="43">
        <f>SUM(G594:Z594)</f>
        <v>-5.3043956659592064</v>
      </c>
      <c r="AB594" s="37" t="str">
        <f>IF(ABS(F594-AA594)&lt;0.01,"ok","err")</f>
        <v>ok</v>
      </c>
    </row>
    <row r="595" spans="1:28">
      <c r="F595" s="58"/>
    </row>
    <row r="596" spans="1:28">
      <c r="A596" s="44" t="s">
        <v>370</v>
      </c>
      <c r="F596" s="58"/>
    </row>
    <row r="597" spans="1:28">
      <c r="A597" s="45" t="s">
        <v>1199</v>
      </c>
      <c r="C597" s="39" t="s">
        <v>1180</v>
      </c>
      <c r="D597" s="39" t="s">
        <v>604</v>
      </c>
      <c r="E597" s="39" t="s">
        <v>1202</v>
      </c>
      <c r="F597" s="57">
        <f>VLOOKUP(C597,'Functional Assignment'!$C$2:$AP$725,'Functional Assignment'!$AA$2,)</f>
        <v>-7.1478657096039253</v>
      </c>
      <c r="G597" s="57">
        <f t="shared" ref="G597:Z597" si="285">IF(VLOOKUP($E597,$D$6:$AN$1197,3,)=0,0,(VLOOKUP($E597,$D$6:$AN$1197,G$2,)/VLOOKUP($E597,$D$6:$AN$1197,3,))*$F597)</f>
        <v>-5.0027221004012334</v>
      </c>
      <c r="H597" s="57">
        <f t="shared" si="285"/>
        <v>-1.4857038652418948</v>
      </c>
      <c r="I597" s="57">
        <f t="shared" si="285"/>
        <v>-6.7792673569176953E-2</v>
      </c>
      <c r="J597" s="57">
        <f t="shared" si="285"/>
        <v>-0.38925967053889499</v>
      </c>
      <c r="K597" s="57">
        <f t="shared" si="285"/>
        <v>-7.6289807852689392E-2</v>
      </c>
      <c r="L597" s="57">
        <f t="shared" si="285"/>
        <v>-2.3386576756413379E-2</v>
      </c>
      <c r="M597" s="57">
        <f t="shared" si="285"/>
        <v>0</v>
      </c>
      <c r="N597" s="57">
        <f t="shared" si="285"/>
        <v>0</v>
      </c>
      <c r="O597" s="57">
        <f t="shared" si="285"/>
        <v>0</v>
      </c>
      <c r="P597" s="57">
        <f t="shared" si="285"/>
        <v>-6.7423931041763793E-2</v>
      </c>
      <c r="Q597" s="57">
        <f t="shared" si="285"/>
        <v>-6.1294482765239808E-3</v>
      </c>
      <c r="R597" s="57">
        <f t="shared" si="285"/>
        <v>-1.2258896553047962E-2</v>
      </c>
      <c r="S597" s="57">
        <f t="shared" si="285"/>
        <v>0</v>
      </c>
      <c r="T597" s="57">
        <f t="shared" si="285"/>
        <v>-2.4546447618855405E-3</v>
      </c>
      <c r="U597" s="57">
        <f t="shared" si="285"/>
        <v>-1.4444094610401623E-2</v>
      </c>
      <c r="V597" s="57">
        <f t="shared" si="285"/>
        <v>0</v>
      </c>
      <c r="W597" s="57">
        <f t="shared" si="285"/>
        <v>0</v>
      </c>
      <c r="X597" s="41">
        <f t="shared" si="285"/>
        <v>0</v>
      </c>
      <c r="Y597" s="41">
        <f t="shared" si="285"/>
        <v>0</v>
      </c>
      <c r="Z597" s="41">
        <f t="shared" si="285"/>
        <v>0</v>
      </c>
      <c r="AA597" s="43">
        <f>SUM(G597:Z597)</f>
        <v>-7.1478657096039262</v>
      </c>
      <c r="AB597" s="37" t="str">
        <f>IF(ABS(F597-AA597)&lt;0.01,"ok","err")</f>
        <v>ok</v>
      </c>
    </row>
    <row r="598" spans="1:28"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41"/>
      <c r="Y598" s="41"/>
      <c r="Z598" s="41"/>
      <c r="AA598" s="43"/>
    </row>
    <row r="599" spans="1:28">
      <c r="A599" s="44" t="s">
        <v>391</v>
      </c>
      <c r="F599" s="58"/>
    </row>
    <row r="600" spans="1:28">
      <c r="A600" s="45" t="s">
        <v>1199</v>
      </c>
      <c r="C600" s="39" t="s">
        <v>1180</v>
      </c>
      <c r="D600" s="39" t="s">
        <v>605</v>
      </c>
      <c r="E600" s="39" t="s">
        <v>1203</v>
      </c>
      <c r="F600" s="57">
        <f>VLOOKUP(C600,'Functional Assignment'!$C$2:$AP$725,'Functional Assignment'!$AB$2,)</f>
        <v>-15.721737008471276</v>
      </c>
      <c r="G600" s="57">
        <f t="shared" ref="G600:Z600" si="286">IF(VLOOKUP($E600,$D$6:$AN$1197,3,)=0,0,(VLOOKUP($E600,$D$6:$AN$1197,G$2,)/VLOOKUP($E600,$D$6:$AN$1197,3,))*$F600)</f>
        <v>0</v>
      </c>
      <c r="H600" s="57">
        <f t="shared" si="286"/>
        <v>0</v>
      </c>
      <c r="I600" s="57">
        <f t="shared" si="286"/>
        <v>0</v>
      </c>
      <c r="J600" s="57">
        <f t="shared" si="286"/>
        <v>0</v>
      </c>
      <c r="K600" s="57">
        <f t="shared" si="286"/>
        <v>0</v>
      </c>
      <c r="L600" s="57">
        <f t="shared" si="286"/>
        <v>0</v>
      </c>
      <c r="M600" s="57">
        <f t="shared" si="286"/>
        <v>0</v>
      </c>
      <c r="N600" s="57">
        <f t="shared" si="286"/>
        <v>0</v>
      </c>
      <c r="O600" s="57">
        <f t="shared" si="286"/>
        <v>0</v>
      </c>
      <c r="P600" s="57">
        <f t="shared" si="286"/>
        <v>0</v>
      </c>
      <c r="Q600" s="57">
        <f t="shared" si="286"/>
        <v>0</v>
      </c>
      <c r="R600" s="57">
        <f t="shared" si="286"/>
        <v>0</v>
      </c>
      <c r="S600" s="57">
        <f t="shared" si="286"/>
        <v>-15.721737008471276</v>
      </c>
      <c r="T600" s="57">
        <f t="shared" si="286"/>
        <v>0</v>
      </c>
      <c r="U600" s="57">
        <f t="shared" si="286"/>
        <v>0</v>
      </c>
      <c r="V600" s="57">
        <f t="shared" si="286"/>
        <v>0</v>
      </c>
      <c r="W600" s="57">
        <f t="shared" si="286"/>
        <v>0</v>
      </c>
      <c r="X600" s="41">
        <f t="shared" si="286"/>
        <v>0</v>
      </c>
      <c r="Y600" s="41">
        <f t="shared" si="286"/>
        <v>0</v>
      </c>
      <c r="Z600" s="41">
        <f t="shared" si="286"/>
        <v>0</v>
      </c>
      <c r="AA600" s="43">
        <f>SUM(G600:Z600)</f>
        <v>-15.721737008471276</v>
      </c>
      <c r="AB600" s="37" t="str">
        <f>IF(ABS(F600-AA600)&lt;0.01,"ok","err")</f>
        <v>ok</v>
      </c>
    </row>
    <row r="601" spans="1:28"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41"/>
      <c r="Y601" s="41"/>
      <c r="Z601" s="41"/>
      <c r="AA601" s="43"/>
    </row>
    <row r="602" spans="1:28">
      <c r="A602" s="44" t="s">
        <v>1129</v>
      </c>
      <c r="F602" s="58"/>
    </row>
    <row r="603" spans="1:28">
      <c r="A603" s="45" t="s">
        <v>1199</v>
      </c>
      <c r="C603" s="39" t="s">
        <v>1180</v>
      </c>
      <c r="D603" s="39" t="s">
        <v>606</v>
      </c>
      <c r="E603" s="39" t="s">
        <v>1204</v>
      </c>
      <c r="F603" s="57">
        <f>VLOOKUP(C603,'Functional Assignment'!$C$2:$AP$725,'Functional Assignment'!$AC$2,)</f>
        <v>0</v>
      </c>
      <c r="G603" s="57">
        <f t="shared" ref="G603:Z603" si="287">IF(VLOOKUP($E603,$D$6:$AN$1197,3,)=0,0,(VLOOKUP($E603,$D$6:$AN$1197,G$2,)/VLOOKUP($E603,$D$6:$AN$1197,3,))*$F603)</f>
        <v>0</v>
      </c>
      <c r="H603" s="57">
        <f t="shared" si="287"/>
        <v>0</v>
      </c>
      <c r="I603" s="57">
        <f t="shared" si="287"/>
        <v>0</v>
      </c>
      <c r="J603" s="57">
        <f t="shared" si="287"/>
        <v>0</v>
      </c>
      <c r="K603" s="57">
        <f t="shared" si="287"/>
        <v>0</v>
      </c>
      <c r="L603" s="57">
        <f t="shared" si="287"/>
        <v>0</v>
      </c>
      <c r="M603" s="57">
        <f t="shared" si="287"/>
        <v>0</v>
      </c>
      <c r="N603" s="57">
        <f t="shared" si="287"/>
        <v>0</v>
      </c>
      <c r="O603" s="57">
        <f t="shared" si="287"/>
        <v>0</v>
      </c>
      <c r="P603" s="57">
        <f t="shared" si="287"/>
        <v>0</v>
      </c>
      <c r="Q603" s="57">
        <f t="shared" si="287"/>
        <v>0</v>
      </c>
      <c r="R603" s="57">
        <f t="shared" si="287"/>
        <v>0</v>
      </c>
      <c r="S603" s="57">
        <f t="shared" si="287"/>
        <v>0</v>
      </c>
      <c r="T603" s="57">
        <f t="shared" si="287"/>
        <v>0</v>
      </c>
      <c r="U603" s="57">
        <f t="shared" si="287"/>
        <v>0</v>
      </c>
      <c r="V603" s="57">
        <f t="shared" si="287"/>
        <v>0</v>
      </c>
      <c r="W603" s="57">
        <f t="shared" si="287"/>
        <v>0</v>
      </c>
      <c r="X603" s="41">
        <f t="shared" si="287"/>
        <v>0</v>
      </c>
      <c r="Y603" s="41">
        <f t="shared" si="287"/>
        <v>0</v>
      </c>
      <c r="Z603" s="41">
        <f t="shared" si="287"/>
        <v>0</v>
      </c>
      <c r="AA603" s="43">
        <f>SUM(G603:Z603)</f>
        <v>0</v>
      </c>
      <c r="AB603" s="37" t="str">
        <f>IF(ABS(F603-AA603)&lt;0.01,"ok","err")</f>
        <v>ok</v>
      </c>
    </row>
    <row r="604" spans="1:28"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41"/>
      <c r="Y604" s="41"/>
      <c r="Z604" s="41"/>
      <c r="AA604" s="43"/>
    </row>
    <row r="605" spans="1:28">
      <c r="A605" s="44" t="s">
        <v>368</v>
      </c>
      <c r="F605" s="58"/>
    </row>
    <row r="606" spans="1:28">
      <c r="A606" s="45" t="s">
        <v>1199</v>
      </c>
      <c r="C606" s="39" t="s">
        <v>1180</v>
      </c>
      <c r="D606" s="39" t="s">
        <v>607</v>
      </c>
      <c r="E606" s="39" t="s">
        <v>1204</v>
      </c>
      <c r="F606" s="57">
        <f>VLOOKUP(C606,'Functional Assignment'!$C$2:$AP$725,'Functional Assignment'!$AD$2,)</f>
        <v>0</v>
      </c>
      <c r="G606" s="57">
        <f t="shared" ref="G606:Z606" si="288">IF(VLOOKUP($E606,$D$6:$AN$1197,3,)=0,0,(VLOOKUP($E606,$D$6:$AN$1197,G$2,)/VLOOKUP($E606,$D$6:$AN$1197,3,))*$F606)</f>
        <v>0</v>
      </c>
      <c r="H606" s="57">
        <f t="shared" si="288"/>
        <v>0</v>
      </c>
      <c r="I606" s="57">
        <f t="shared" si="288"/>
        <v>0</v>
      </c>
      <c r="J606" s="57">
        <f t="shared" si="288"/>
        <v>0</v>
      </c>
      <c r="K606" s="57">
        <f t="shared" si="288"/>
        <v>0</v>
      </c>
      <c r="L606" s="57">
        <f t="shared" si="288"/>
        <v>0</v>
      </c>
      <c r="M606" s="57">
        <f t="shared" si="288"/>
        <v>0</v>
      </c>
      <c r="N606" s="57">
        <f t="shared" si="288"/>
        <v>0</v>
      </c>
      <c r="O606" s="57">
        <f t="shared" si="288"/>
        <v>0</v>
      </c>
      <c r="P606" s="57">
        <f t="shared" si="288"/>
        <v>0</v>
      </c>
      <c r="Q606" s="57">
        <f t="shared" si="288"/>
        <v>0</v>
      </c>
      <c r="R606" s="57">
        <f t="shared" si="288"/>
        <v>0</v>
      </c>
      <c r="S606" s="57">
        <f t="shared" si="288"/>
        <v>0</v>
      </c>
      <c r="T606" s="57">
        <f t="shared" si="288"/>
        <v>0</v>
      </c>
      <c r="U606" s="57">
        <f t="shared" si="288"/>
        <v>0</v>
      </c>
      <c r="V606" s="57">
        <f t="shared" si="288"/>
        <v>0</v>
      </c>
      <c r="W606" s="57">
        <f t="shared" si="288"/>
        <v>0</v>
      </c>
      <c r="X606" s="41">
        <f t="shared" si="288"/>
        <v>0</v>
      </c>
      <c r="Y606" s="41">
        <f t="shared" si="288"/>
        <v>0</v>
      </c>
      <c r="Z606" s="41">
        <f t="shared" si="288"/>
        <v>0</v>
      </c>
      <c r="AA606" s="43">
        <f>SUM(G606:Z606)</f>
        <v>0</v>
      </c>
      <c r="AB606" s="37" t="str">
        <f>IF(ABS(F606-AA606)&lt;0.01,"ok","err")</f>
        <v>ok</v>
      </c>
    </row>
    <row r="607" spans="1:28"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41"/>
      <c r="Y607" s="41"/>
      <c r="Z607" s="41"/>
      <c r="AA607" s="43"/>
    </row>
    <row r="608" spans="1:28">
      <c r="A608" s="44" t="s">
        <v>367</v>
      </c>
      <c r="F608" s="58"/>
    </row>
    <row r="609" spans="1:28">
      <c r="A609" s="45" t="s">
        <v>1199</v>
      </c>
      <c r="C609" s="39" t="s">
        <v>1180</v>
      </c>
      <c r="D609" s="39" t="s">
        <v>608</v>
      </c>
      <c r="E609" s="39" t="s">
        <v>1205</v>
      </c>
      <c r="F609" s="57">
        <f>VLOOKUP(C609,'Functional Assignment'!$C$2:$AP$725,'Functional Assignment'!$AE$2,)</f>
        <v>0</v>
      </c>
      <c r="G609" s="57">
        <f t="shared" ref="G609:Z609" si="289">IF(VLOOKUP($E609,$D$6:$AN$1197,3,)=0,0,(VLOOKUP($E609,$D$6:$AN$1197,G$2,)/VLOOKUP($E609,$D$6:$AN$1197,3,))*$F609)</f>
        <v>0</v>
      </c>
      <c r="H609" s="57">
        <f t="shared" si="289"/>
        <v>0</v>
      </c>
      <c r="I609" s="57">
        <f t="shared" si="289"/>
        <v>0</v>
      </c>
      <c r="J609" s="57">
        <f t="shared" si="289"/>
        <v>0</v>
      </c>
      <c r="K609" s="57">
        <f t="shared" si="289"/>
        <v>0</v>
      </c>
      <c r="L609" s="57">
        <f t="shared" si="289"/>
        <v>0</v>
      </c>
      <c r="M609" s="57">
        <f t="shared" si="289"/>
        <v>0</v>
      </c>
      <c r="N609" s="57">
        <f t="shared" si="289"/>
        <v>0</v>
      </c>
      <c r="O609" s="57">
        <f t="shared" si="289"/>
        <v>0</v>
      </c>
      <c r="P609" s="57">
        <f t="shared" si="289"/>
        <v>0</v>
      </c>
      <c r="Q609" s="57">
        <f t="shared" si="289"/>
        <v>0</v>
      </c>
      <c r="R609" s="57">
        <f t="shared" si="289"/>
        <v>0</v>
      </c>
      <c r="S609" s="57">
        <f t="shared" si="289"/>
        <v>0</v>
      </c>
      <c r="T609" s="57">
        <f t="shared" si="289"/>
        <v>0</v>
      </c>
      <c r="U609" s="57">
        <f t="shared" si="289"/>
        <v>0</v>
      </c>
      <c r="V609" s="57">
        <f t="shared" si="289"/>
        <v>0</v>
      </c>
      <c r="W609" s="57">
        <f t="shared" si="289"/>
        <v>0</v>
      </c>
      <c r="X609" s="41">
        <f t="shared" si="289"/>
        <v>0</v>
      </c>
      <c r="Y609" s="41">
        <f t="shared" si="289"/>
        <v>0</v>
      </c>
      <c r="Z609" s="41">
        <f t="shared" si="289"/>
        <v>0</v>
      </c>
      <c r="AA609" s="43">
        <f>SUM(G609:Z609)</f>
        <v>0</v>
      </c>
      <c r="AB609" s="37" t="str">
        <f>IF(ABS(F609-AA609)&lt;0.01,"ok","err")</f>
        <v>ok</v>
      </c>
    </row>
    <row r="610" spans="1:28"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41"/>
      <c r="Y610" s="41"/>
      <c r="Z610" s="41"/>
      <c r="AA610" s="43"/>
    </row>
    <row r="611" spans="1:28">
      <c r="A611" s="39" t="s">
        <v>1026</v>
      </c>
      <c r="D611" s="39" t="s">
        <v>1217</v>
      </c>
      <c r="F611" s="57">
        <f>F566+F572+F575+F578+F586+F591+F594+F597+F600+F603+F606+F609</f>
        <v>-693.9699999999998</v>
      </c>
      <c r="G611" s="57">
        <f t="shared" ref="G611:Z611" si="290">G566+G572+G575+G578+G586+G591+G594+G597+G600+G603+G606+G609</f>
        <v>-333.31167184133596</v>
      </c>
      <c r="H611" s="57">
        <f t="shared" si="290"/>
        <v>-90.636321576132289</v>
      </c>
      <c r="I611" s="57">
        <f t="shared" si="290"/>
        <v>-9.4252176805663943</v>
      </c>
      <c r="J611" s="57">
        <f t="shared" si="290"/>
        <v>-108.64028180673216</v>
      </c>
      <c r="K611" s="57">
        <f t="shared" si="290"/>
        <v>-73.010996538912721</v>
      </c>
      <c r="L611" s="57">
        <f t="shared" si="290"/>
        <v>-27.006709143517462</v>
      </c>
      <c r="M611" s="57">
        <f t="shared" si="290"/>
        <v>0</v>
      </c>
      <c r="N611" s="57">
        <f t="shared" si="290"/>
        <v>0</v>
      </c>
      <c r="O611" s="57">
        <f>O566+O572+O575+O578+O586+O591+O594+O597+O600+O603+O606+O609</f>
        <v>0</v>
      </c>
      <c r="P611" s="57">
        <f t="shared" si="290"/>
        <v>-19.378745142048132</v>
      </c>
      <c r="Q611" s="57">
        <f t="shared" si="290"/>
        <v>-10.287327867829317</v>
      </c>
      <c r="R611" s="57">
        <f t="shared" si="290"/>
        <v>-2.2741646854991009</v>
      </c>
      <c r="S611" s="57">
        <f t="shared" si="290"/>
        <v>-19.748091483121414</v>
      </c>
      <c r="T611" s="57">
        <f t="shared" si="290"/>
        <v>-8.8047284253858077E-2</v>
      </c>
      <c r="U611" s="57">
        <f t="shared" si="290"/>
        <v>-0.16242495005102492</v>
      </c>
      <c r="V611" s="57">
        <f t="shared" si="290"/>
        <v>0</v>
      </c>
      <c r="W611" s="57">
        <f t="shared" si="290"/>
        <v>0</v>
      </c>
      <c r="X611" s="41">
        <f t="shared" si="290"/>
        <v>0</v>
      </c>
      <c r="Y611" s="41">
        <f t="shared" si="290"/>
        <v>0</v>
      </c>
      <c r="Z611" s="41">
        <f t="shared" si="290"/>
        <v>0</v>
      </c>
      <c r="AA611" s="43">
        <f>SUM(G611:Z611)</f>
        <v>-693.9699999999998</v>
      </c>
      <c r="AB611" s="37" t="str">
        <f>IF(ABS(F611-AA611)&lt;0.01,"ok","err")</f>
        <v>ok</v>
      </c>
    </row>
    <row r="612" spans="1:28">
      <c r="A612" s="44" t="s">
        <v>870</v>
      </c>
    </row>
    <row r="614" spans="1:28">
      <c r="A614" s="44" t="s">
        <v>384</v>
      </c>
    </row>
    <row r="615" spans="1:28">
      <c r="A615" s="45" t="s">
        <v>376</v>
      </c>
      <c r="C615" s="39" t="s">
        <v>1181</v>
      </c>
      <c r="D615" s="39" t="s">
        <v>871</v>
      </c>
      <c r="E615" s="39" t="s">
        <v>939</v>
      </c>
      <c r="F615" s="57">
        <f>VLOOKUP(C615,'Functional Assignment'!$C$2:$AP$725,'Functional Assignment'!$H$2,)</f>
        <v>7957095.9188774414</v>
      </c>
      <c r="G615" s="57">
        <f t="shared" ref="G615:P620" si="291">IF(VLOOKUP($E615,$D$6:$AN$1197,3,)=0,0,(VLOOKUP($E615,$D$6:$AN$1197,G$2,)/VLOOKUP($E615,$D$6:$AN$1197,3,))*$F615)</f>
        <v>2908908.6144560473</v>
      </c>
      <c r="H615" s="57">
        <f t="shared" si="291"/>
        <v>959450.34775398183</v>
      </c>
      <c r="I615" s="57">
        <f t="shared" si="291"/>
        <v>157033.26406723697</v>
      </c>
      <c r="J615" s="57">
        <f t="shared" si="291"/>
        <v>1599799.4874009322</v>
      </c>
      <c r="K615" s="57">
        <f t="shared" si="291"/>
        <v>1286524.8099497918</v>
      </c>
      <c r="L615" s="57">
        <f t="shared" si="291"/>
        <v>434974.1774847635</v>
      </c>
      <c r="M615" s="57">
        <f t="shared" si="291"/>
        <v>0</v>
      </c>
      <c r="N615" s="57">
        <f t="shared" si="291"/>
        <v>0</v>
      </c>
      <c r="O615" s="57">
        <f t="shared" si="291"/>
        <v>0</v>
      </c>
      <c r="P615" s="57">
        <f t="shared" si="291"/>
        <v>348299.64817000192</v>
      </c>
      <c r="Q615" s="57">
        <f t="shared" ref="Q615:Z620" si="292">IF(VLOOKUP($E615,$D$6:$AN$1197,3,)=0,0,(VLOOKUP($E615,$D$6:$AN$1197,Q$2,)/VLOOKUP($E615,$D$6:$AN$1197,3,))*$F615)</f>
        <v>146209.66634899442</v>
      </c>
      <c r="R615" s="57">
        <f t="shared" si="292"/>
        <v>39292.249001445132</v>
      </c>
      <c r="S615" s="57">
        <f t="shared" si="292"/>
        <v>71876.715061422598</v>
      </c>
      <c r="T615" s="57">
        <f t="shared" si="292"/>
        <v>2598.1136432965541</v>
      </c>
      <c r="U615" s="57">
        <f t="shared" si="292"/>
        <v>2128.8255395261513</v>
      </c>
      <c r="V615" s="57">
        <f t="shared" si="292"/>
        <v>0</v>
      </c>
      <c r="W615" s="57">
        <f t="shared" si="292"/>
        <v>0</v>
      </c>
      <c r="X615" s="41">
        <f t="shared" si="292"/>
        <v>0</v>
      </c>
      <c r="Y615" s="41">
        <f t="shared" si="292"/>
        <v>0</v>
      </c>
      <c r="Z615" s="41">
        <f t="shared" si="292"/>
        <v>0</v>
      </c>
      <c r="AA615" s="43">
        <f t="shared" ref="AA615:AA621" si="293">SUM(G615:Z615)</f>
        <v>7957095.9188774414</v>
      </c>
      <c r="AB615" s="37" t="str">
        <f t="shared" ref="AB615:AB621" si="294">IF(ABS(F615-AA615)&lt;0.01,"ok","err")</f>
        <v>ok</v>
      </c>
    </row>
    <row r="616" spans="1:28">
      <c r="A616" s="45" t="s">
        <v>1391</v>
      </c>
      <c r="C616" s="39" t="s">
        <v>1181</v>
      </c>
      <c r="D616" s="39" t="s">
        <v>872</v>
      </c>
      <c r="E616" s="39" t="s">
        <v>204</v>
      </c>
      <c r="F616" s="58">
        <f>VLOOKUP(C616,'Functional Assignment'!$C$2:$AP$725,'Functional Assignment'!$I$2,)</f>
        <v>7500977.2665412882</v>
      </c>
      <c r="G616" s="58">
        <f t="shared" si="291"/>
        <v>3024667.1736747492</v>
      </c>
      <c r="H616" s="58">
        <f t="shared" si="291"/>
        <v>1193957.2955218158</v>
      </c>
      <c r="I616" s="58">
        <f t="shared" si="291"/>
        <v>121588.32462024446</v>
      </c>
      <c r="J616" s="58">
        <f t="shared" si="291"/>
        <v>1400222.9816022546</v>
      </c>
      <c r="K616" s="58">
        <f t="shared" si="291"/>
        <v>921155.05087450019</v>
      </c>
      <c r="L616" s="58">
        <f t="shared" si="291"/>
        <v>351868.5388905619</v>
      </c>
      <c r="M616" s="58">
        <f t="shared" si="291"/>
        <v>0</v>
      </c>
      <c r="N616" s="58">
        <f t="shared" si="291"/>
        <v>0</v>
      </c>
      <c r="O616" s="58">
        <f t="shared" si="291"/>
        <v>0</v>
      </c>
      <c r="P616" s="58">
        <f t="shared" si="291"/>
        <v>326052.89148796018</v>
      </c>
      <c r="Q616" s="58">
        <f t="shared" si="292"/>
        <v>133856.11398839668</v>
      </c>
      <c r="R616" s="58">
        <f t="shared" si="292"/>
        <v>25905.523567158856</v>
      </c>
      <c r="S616" s="58">
        <f t="shared" si="292"/>
        <v>0</v>
      </c>
      <c r="T616" s="58">
        <f t="shared" si="292"/>
        <v>52.460110885034361</v>
      </c>
      <c r="U616" s="58">
        <f t="shared" si="292"/>
        <v>1650.9122027617814</v>
      </c>
      <c r="V616" s="58">
        <f t="shared" si="292"/>
        <v>0</v>
      </c>
      <c r="W616" s="58">
        <f t="shared" si="292"/>
        <v>0</v>
      </c>
      <c r="X616" s="42">
        <f t="shared" si="292"/>
        <v>0</v>
      </c>
      <c r="Y616" s="42">
        <f t="shared" si="292"/>
        <v>0</v>
      </c>
      <c r="Z616" s="42">
        <f t="shared" si="292"/>
        <v>0</v>
      </c>
      <c r="AA616" s="42">
        <f t="shared" si="293"/>
        <v>7500977.2665412882</v>
      </c>
      <c r="AB616" s="37" t="str">
        <f t="shared" si="294"/>
        <v>ok</v>
      </c>
    </row>
    <row r="617" spans="1:28">
      <c r="A617" s="45" t="s">
        <v>1392</v>
      </c>
      <c r="C617" s="39" t="s">
        <v>1181</v>
      </c>
      <c r="D617" s="39" t="s">
        <v>873</v>
      </c>
      <c r="E617" s="39" t="s">
        <v>207</v>
      </c>
      <c r="F617" s="58">
        <f>VLOOKUP(C617,'Functional Assignment'!$C$2:$AP$725,'Functional Assignment'!$J$2,)</f>
        <v>7703555.4349759305</v>
      </c>
      <c r="G617" s="58">
        <f t="shared" si="291"/>
        <v>3761410.794732763</v>
      </c>
      <c r="H617" s="58">
        <f t="shared" si="291"/>
        <v>1006896.0310899183</v>
      </c>
      <c r="I617" s="58">
        <f t="shared" si="291"/>
        <v>112950.97161652555</v>
      </c>
      <c r="J617" s="58">
        <f t="shared" si="291"/>
        <v>1347089.3789320041</v>
      </c>
      <c r="K617" s="58">
        <f t="shared" si="291"/>
        <v>795633.99295820505</v>
      </c>
      <c r="L617" s="58">
        <f t="shared" si="291"/>
        <v>303815.05441355123</v>
      </c>
      <c r="M617" s="58">
        <f t="shared" si="291"/>
        <v>0</v>
      </c>
      <c r="N617" s="58">
        <f t="shared" si="291"/>
        <v>0</v>
      </c>
      <c r="O617" s="58">
        <f t="shared" si="291"/>
        <v>0</v>
      </c>
      <c r="P617" s="58">
        <f t="shared" si="291"/>
        <v>203217.4337893592</v>
      </c>
      <c r="Q617" s="58">
        <f t="shared" si="292"/>
        <v>143639.12525392586</v>
      </c>
      <c r="R617" s="58">
        <f t="shared" si="292"/>
        <v>27757.357049159895</v>
      </c>
      <c r="S617" s="58">
        <f t="shared" si="292"/>
        <v>0</v>
      </c>
      <c r="T617" s="58">
        <f t="shared" si="292"/>
        <v>65.22561559161565</v>
      </c>
      <c r="U617" s="58">
        <f t="shared" si="292"/>
        <v>1080.069524925693</v>
      </c>
      <c r="V617" s="58">
        <f t="shared" si="292"/>
        <v>0</v>
      </c>
      <c r="W617" s="58">
        <f t="shared" si="292"/>
        <v>0</v>
      </c>
      <c r="X617" s="42">
        <f t="shared" si="292"/>
        <v>0</v>
      </c>
      <c r="Y617" s="42">
        <f t="shared" si="292"/>
        <v>0</v>
      </c>
      <c r="Z617" s="42">
        <f t="shared" si="292"/>
        <v>0</v>
      </c>
      <c r="AA617" s="42">
        <f t="shared" si="293"/>
        <v>7703555.4349759296</v>
      </c>
      <c r="AB617" s="37" t="str">
        <f t="shared" si="294"/>
        <v>ok</v>
      </c>
    </row>
    <row r="618" spans="1:28">
      <c r="A618" s="45" t="s">
        <v>1393</v>
      </c>
      <c r="C618" s="39" t="s">
        <v>1181</v>
      </c>
      <c r="D618" s="39" t="s">
        <v>874</v>
      </c>
      <c r="E618" s="39" t="s">
        <v>1197</v>
      </c>
      <c r="F618" s="58">
        <f>VLOOKUP(C618,'Functional Assignment'!$C$2:$AP$725,'Functional Assignment'!$K$2,)</f>
        <v>0</v>
      </c>
      <c r="G618" s="58">
        <f t="shared" si="291"/>
        <v>0</v>
      </c>
      <c r="H618" s="58">
        <f t="shared" si="291"/>
        <v>0</v>
      </c>
      <c r="I618" s="58">
        <f t="shared" si="291"/>
        <v>0</v>
      </c>
      <c r="J618" s="58">
        <f t="shared" si="291"/>
        <v>0</v>
      </c>
      <c r="K618" s="58">
        <f t="shared" si="291"/>
        <v>0</v>
      </c>
      <c r="L618" s="58">
        <f t="shared" si="291"/>
        <v>0</v>
      </c>
      <c r="M618" s="58">
        <f t="shared" si="291"/>
        <v>0</v>
      </c>
      <c r="N618" s="58">
        <f t="shared" si="291"/>
        <v>0</v>
      </c>
      <c r="O618" s="58">
        <f t="shared" si="291"/>
        <v>0</v>
      </c>
      <c r="P618" s="58">
        <f t="shared" si="291"/>
        <v>0</v>
      </c>
      <c r="Q618" s="58">
        <f t="shared" si="292"/>
        <v>0</v>
      </c>
      <c r="R618" s="58">
        <f t="shared" si="292"/>
        <v>0</v>
      </c>
      <c r="S618" s="58">
        <f t="shared" si="292"/>
        <v>0</v>
      </c>
      <c r="T618" s="58">
        <f t="shared" si="292"/>
        <v>0</v>
      </c>
      <c r="U618" s="58">
        <f t="shared" si="292"/>
        <v>0</v>
      </c>
      <c r="V618" s="58">
        <f t="shared" si="292"/>
        <v>0</v>
      </c>
      <c r="W618" s="58">
        <f t="shared" si="292"/>
        <v>0</v>
      </c>
      <c r="X618" s="42">
        <f t="shared" si="292"/>
        <v>0</v>
      </c>
      <c r="Y618" s="42">
        <f t="shared" si="292"/>
        <v>0</v>
      </c>
      <c r="Z618" s="42">
        <f t="shared" si="292"/>
        <v>0</v>
      </c>
      <c r="AA618" s="42">
        <f t="shared" si="293"/>
        <v>0</v>
      </c>
      <c r="AB618" s="37" t="str">
        <f t="shared" si="294"/>
        <v>ok</v>
      </c>
    </row>
    <row r="619" spans="1:28">
      <c r="A619" s="45" t="s">
        <v>1394</v>
      </c>
      <c r="C619" s="39" t="s">
        <v>1181</v>
      </c>
      <c r="D619" s="39" t="s">
        <v>875</v>
      </c>
      <c r="E619" s="39" t="s">
        <v>1197</v>
      </c>
      <c r="F619" s="58">
        <f>VLOOKUP(C619,'Functional Assignment'!$C$2:$AP$725,'Functional Assignment'!$L$2,)</f>
        <v>0</v>
      </c>
      <c r="G619" s="58">
        <f t="shared" si="291"/>
        <v>0</v>
      </c>
      <c r="H619" s="58">
        <f t="shared" si="291"/>
        <v>0</v>
      </c>
      <c r="I619" s="58">
        <f t="shared" si="291"/>
        <v>0</v>
      </c>
      <c r="J619" s="58">
        <f t="shared" si="291"/>
        <v>0</v>
      </c>
      <c r="K619" s="58">
        <f t="shared" si="291"/>
        <v>0</v>
      </c>
      <c r="L619" s="58">
        <f t="shared" si="291"/>
        <v>0</v>
      </c>
      <c r="M619" s="58">
        <f t="shared" si="291"/>
        <v>0</v>
      </c>
      <c r="N619" s="58">
        <f t="shared" si="291"/>
        <v>0</v>
      </c>
      <c r="O619" s="58">
        <f t="shared" si="291"/>
        <v>0</v>
      </c>
      <c r="P619" s="58">
        <f t="shared" si="291"/>
        <v>0</v>
      </c>
      <c r="Q619" s="58">
        <f t="shared" si="292"/>
        <v>0</v>
      </c>
      <c r="R619" s="58">
        <f t="shared" si="292"/>
        <v>0</v>
      </c>
      <c r="S619" s="58">
        <f t="shared" si="292"/>
        <v>0</v>
      </c>
      <c r="T619" s="58">
        <f t="shared" si="292"/>
        <v>0</v>
      </c>
      <c r="U619" s="58">
        <f t="shared" si="292"/>
        <v>0</v>
      </c>
      <c r="V619" s="58">
        <f t="shared" si="292"/>
        <v>0</v>
      </c>
      <c r="W619" s="58">
        <f t="shared" si="292"/>
        <v>0</v>
      </c>
      <c r="X619" s="42">
        <f t="shared" si="292"/>
        <v>0</v>
      </c>
      <c r="Y619" s="42">
        <f t="shared" si="292"/>
        <v>0</v>
      </c>
      <c r="Z619" s="42">
        <f t="shared" si="292"/>
        <v>0</v>
      </c>
      <c r="AA619" s="42">
        <f t="shared" si="293"/>
        <v>0</v>
      </c>
      <c r="AB619" s="37" t="str">
        <f t="shared" si="294"/>
        <v>ok</v>
      </c>
    </row>
    <row r="620" spans="1:28">
      <c r="A620" s="45" t="s">
        <v>1394</v>
      </c>
      <c r="C620" s="39" t="s">
        <v>1181</v>
      </c>
      <c r="D620" s="39" t="s">
        <v>876</v>
      </c>
      <c r="E620" s="39" t="s">
        <v>1197</v>
      </c>
      <c r="F620" s="58">
        <f>VLOOKUP(C620,'Functional Assignment'!$C$2:$AP$725,'Functional Assignment'!$M$2,)</f>
        <v>0</v>
      </c>
      <c r="G620" s="58">
        <f t="shared" si="291"/>
        <v>0</v>
      </c>
      <c r="H620" s="58">
        <f t="shared" si="291"/>
        <v>0</v>
      </c>
      <c r="I620" s="58">
        <f t="shared" si="291"/>
        <v>0</v>
      </c>
      <c r="J620" s="58">
        <f t="shared" si="291"/>
        <v>0</v>
      </c>
      <c r="K620" s="58">
        <f t="shared" si="291"/>
        <v>0</v>
      </c>
      <c r="L620" s="58">
        <f t="shared" si="291"/>
        <v>0</v>
      </c>
      <c r="M620" s="58">
        <f t="shared" si="291"/>
        <v>0</v>
      </c>
      <c r="N620" s="58">
        <f t="shared" si="291"/>
        <v>0</v>
      </c>
      <c r="O620" s="58">
        <f t="shared" si="291"/>
        <v>0</v>
      </c>
      <c r="P620" s="58">
        <f t="shared" si="291"/>
        <v>0</v>
      </c>
      <c r="Q620" s="58">
        <f t="shared" si="292"/>
        <v>0</v>
      </c>
      <c r="R620" s="58">
        <f t="shared" si="292"/>
        <v>0</v>
      </c>
      <c r="S620" s="58">
        <f t="shared" si="292"/>
        <v>0</v>
      </c>
      <c r="T620" s="58">
        <f t="shared" si="292"/>
        <v>0</v>
      </c>
      <c r="U620" s="58">
        <f t="shared" si="292"/>
        <v>0</v>
      </c>
      <c r="V620" s="58">
        <f t="shared" si="292"/>
        <v>0</v>
      </c>
      <c r="W620" s="58">
        <f t="shared" si="292"/>
        <v>0</v>
      </c>
      <c r="X620" s="42">
        <f t="shared" si="292"/>
        <v>0</v>
      </c>
      <c r="Y620" s="42">
        <f t="shared" si="292"/>
        <v>0</v>
      </c>
      <c r="Z620" s="42">
        <f t="shared" si="292"/>
        <v>0</v>
      </c>
      <c r="AA620" s="42">
        <f t="shared" si="293"/>
        <v>0</v>
      </c>
      <c r="AB620" s="37" t="str">
        <f t="shared" si="294"/>
        <v>ok</v>
      </c>
    </row>
    <row r="621" spans="1:28">
      <c r="A621" s="39" t="s">
        <v>407</v>
      </c>
      <c r="D621" s="39" t="s">
        <v>877</v>
      </c>
      <c r="F621" s="57">
        <f>SUM(F615:F620)</f>
        <v>23161628.620394658</v>
      </c>
      <c r="G621" s="57">
        <f t="shared" ref="G621:W621" si="295">SUM(G615:G620)</f>
        <v>9694986.5828635599</v>
      </c>
      <c r="H621" s="57">
        <f t="shared" si="295"/>
        <v>3160303.6743657156</v>
      </c>
      <c r="I621" s="57">
        <f t="shared" si="295"/>
        <v>391572.56030400697</v>
      </c>
      <c r="J621" s="57">
        <f t="shared" si="295"/>
        <v>4347111.8479351904</v>
      </c>
      <c r="K621" s="57">
        <f t="shared" si="295"/>
        <v>3003313.8537824973</v>
      </c>
      <c r="L621" s="57">
        <f t="shared" si="295"/>
        <v>1090657.7707888766</v>
      </c>
      <c r="M621" s="57">
        <f t="shared" si="295"/>
        <v>0</v>
      </c>
      <c r="N621" s="57">
        <f t="shared" si="295"/>
        <v>0</v>
      </c>
      <c r="O621" s="57">
        <f>SUM(O615:O620)</f>
        <v>0</v>
      </c>
      <c r="P621" s="57">
        <f t="shared" si="295"/>
        <v>877569.97344732122</v>
      </c>
      <c r="Q621" s="57">
        <f t="shared" si="295"/>
        <v>423704.90559131693</v>
      </c>
      <c r="R621" s="57">
        <f t="shared" si="295"/>
        <v>92955.129617763887</v>
      </c>
      <c r="S621" s="57">
        <f t="shared" si="295"/>
        <v>71876.715061422598</v>
      </c>
      <c r="T621" s="57">
        <f t="shared" si="295"/>
        <v>2715.799369773204</v>
      </c>
      <c r="U621" s="57">
        <f t="shared" si="295"/>
        <v>4859.8072672136259</v>
      </c>
      <c r="V621" s="57">
        <f t="shared" si="295"/>
        <v>0</v>
      </c>
      <c r="W621" s="57">
        <f t="shared" si="295"/>
        <v>0</v>
      </c>
      <c r="X621" s="41">
        <f>SUM(X615:X620)</f>
        <v>0</v>
      </c>
      <c r="Y621" s="41">
        <f>SUM(Y615:Y620)</f>
        <v>0</v>
      </c>
      <c r="Z621" s="41">
        <f>SUM(Z615:Z620)</f>
        <v>0</v>
      </c>
      <c r="AA621" s="43">
        <f t="shared" si="293"/>
        <v>23161628.620394666</v>
      </c>
      <c r="AB621" s="37" t="str">
        <f t="shared" si="294"/>
        <v>ok</v>
      </c>
    </row>
    <row r="622" spans="1:28">
      <c r="F622" s="58"/>
      <c r="G622" s="58"/>
    </row>
    <row r="623" spans="1:28">
      <c r="A623" s="44" t="s">
        <v>1237</v>
      </c>
      <c r="F623" s="58"/>
      <c r="G623" s="58"/>
    </row>
    <row r="624" spans="1:28">
      <c r="A624" s="45" t="s">
        <v>377</v>
      </c>
      <c r="C624" s="39" t="s">
        <v>1181</v>
      </c>
      <c r="D624" s="39" t="s">
        <v>878</v>
      </c>
      <c r="E624" s="39" t="s">
        <v>939</v>
      </c>
      <c r="F624" s="57">
        <f>VLOOKUP(C624,'Functional Assignment'!$C$2:$AP$725,'Functional Assignment'!$N$2,)</f>
        <v>854364.10088255431</v>
      </c>
      <c r="G624" s="57">
        <f t="shared" ref="G624:P626" si="296">IF(VLOOKUP($E624,$D$6:$AN$1197,3,)=0,0,(VLOOKUP($E624,$D$6:$AN$1197,G$2,)/VLOOKUP($E624,$D$6:$AN$1197,3,))*$F624)</f>
        <v>312333.43399106222</v>
      </c>
      <c r="H624" s="57">
        <f t="shared" si="296"/>
        <v>103017.47547815509</v>
      </c>
      <c r="I624" s="57">
        <f t="shared" si="296"/>
        <v>16860.872965621475</v>
      </c>
      <c r="J624" s="57">
        <f t="shared" si="296"/>
        <v>171772.62465858192</v>
      </c>
      <c r="K624" s="57">
        <f t="shared" si="296"/>
        <v>138135.90080122076</v>
      </c>
      <c r="L624" s="57">
        <f t="shared" si="296"/>
        <v>46703.763011358329</v>
      </c>
      <c r="M624" s="57">
        <f t="shared" si="296"/>
        <v>0</v>
      </c>
      <c r="N624" s="57">
        <f t="shared" si="296"/>
        <v>0</v>
      </c>
      <c r="O624" s="57">
        <f t="shared" si="296"/>
        <v>0</v>
      </c>
      <c r="P624" s="57">
        <f t="shared" si="296"/>
        <v>37397.402115073972</v>
      </c>
      <c r="Q624" s="57">
        <f t="shared" ref="Q624:Z626" si="297">IF(VLOOKUP($E624,$D$6:$AN$1197,3,)=0,0,(VLOOKUP($E624,$D$6:$AN$1197,Q$2,)/VLOOKUP($E624,$D$6:$AN$1197,3,))*$F624)</f>
        <v>15698.728707573457</v>
      </c>
      <c r="R624" s="57">
        <f t="shared" si="297"/>
        <v>4218.8616716472898</v>
      </c>
      <c r="S624" s="57">
        <f t="shared" si="297"/>
        <v>7717.4996586577799</v>
      </c>
      <c r="T624" s="57">
        <f t="shared" si="297"/>
        <v>278.96295953648752</v>
      </c>
      <c r="U624" s="57">
        <f t="shared" si="297"/>
        <v>228.57486406544001</v>
      </c>
      <c r="V624" s="57">
        <f t="shared" si="297"/>
        <v>0</v>
      </c>
      <c r="W624" s="57">
        <f t="shared" si="297"/>
        <v>0</v>
      </c>
      <c r="X624" s="41">
        <f t="shared" si="297"/>
        <v>0</v>
      </c>
      <c r="Y624" s="41">
        <f t="shared" si="297"/>
        <v>0</v>
      </c>
      <c r="Z624" s="41">
        <f t="shared" si="297"/>
        <v>0</v>
      </c>
      <c r="AA624" s="43">
        <f>SUM(G624:Z624)</f>
        <v>854364.10088255419</v>
      </c>
      <c r="AB624" s="37" t="str">
        <f>IF(ABS(F624-AA624)&lt;0.01,"ok","err")</f>
        <v>ok</v>
      </c>
    </row>
    <row r="625" spans="1:28">
      <c r="A625" s="45" t="s">
        <v>379</v>
      </c>
      <c r="C625" s="39" t="s">
        <v>1181</v>
      </c>
      <c r="D625" s="39" t="s">
        <v>879</v>
      </c>
      <c r="E625" s="39" t="s">
        <v>204</v>
      </c>
      <c r="F625" s="58">
        <f>VLOOKUP(C625,'Functional Assignment'!$C$2:$AP$725,'Functional Assignment'!$O$2,)</f>
        <v>805390.02714109828</v>
      </c>
      <c r="G625" s="58">
        <f t="shared" si="296"/>
        <v>324762.58633189474</v>
      </c>
      <c r="H625" s="58">
        <f t="shared" si="296"/>
        <v>128196.80216002352</v>
      </c>
      <c r="I625" s="58">
        <f t="shared" si="296"/>
        <v>13055.102100195165</v>
      </c>
      <c r="J625" s="58">
        <f t="shared" si="296"/>
        <v>150343.82655531302</v>
      </c>
      <c r="K625" s="58">
        <f t="shared" si="296"/>
        <v>98905.657897968762</v>
      </c>
      <c r="L625" s="58">
        <f t="shared" si="296"/>
        <v>37780.598716284396</v>
      </c>
      <c r="M625" s="58">
        <f t="shared" si="296"/>
        <v>0</v>
      </c>
      <c r="N625" s="58">
        <f t="shared" si="296"/>
        <v>0</v>
      </c>
      <c r="O625" s="58">
        <f t="shared" si="296"/>
        <v>0</v>
      </c>
      <c r="P625" s="58">
        <f t="shared" si="296"/>
        <v>35008.737900895809</v>
      </c>
      <c r="Q625" s="58">
        <f t="shared" si="297"/>
        <v>14372.31115990656</v>
      </c>
      <c r="R625" s="58">
        <f t="shared" si="297"/>
        <v>2781.5109401709833</v>
      </c>
      <c r="S625" s="58">
        <f t="shared" si="297"/>
        <v>0</v>
      </c>
      <c r="T625" s="58">
        <f t="shared" si="297"/>
        <v>5.6327127290448091</v>
      </c>
      <c r="U625" s="58">
        <f t="shared" si="297"/>
        <v>177.26066571629207</v>
      </c>
      <c r="V625" s="58">
        <f t="shared" si="297"/>
        <v>0</v>
      </c>
      <c r="W625" s="58">
        <f t="shared" si="297"/>
        <v>0</v>
      </c>
      <c r="X625" s="42">
        <f t="shared" si="297"/>
        <v>0</v>
      </c>
      <c r="Y625" s="42">
        <f t="shared" si="297"/>
        <v>0</v>
      </c>
      <c r="Z625" s="42">
        <f t="shared" si="297"/>
        <v>0</v>
      </c>
      <c r="AA625" s="42">
        <f>SUM(G625:Z625)</f>
        <v>805390.02714109828</v>
      </c>
      <c r="AB625" s="37" t="str">
        <f>IF(ABS(F625-AA625)&lt;0.01,"ok","err")</f>
        <v>ok</v>
      </c>
    </row>
    <row r="626" spans="1:28">
      <c r="A626" s="45" t="s">
        <v>378</v>
      </c>
      <c r="C626" s="39" t="s">
        <v>1181</v>
      </c>
      <c r="D626" s="39" t="s">
        <v>880</v>
      </c>
      <c r="E626" s="39" t="s">
        <v>207</v>
      </c>
      <c r="F626" s="58">
        <f>VLOOKUP(C626,'Functional Assignment'!$C$2:$AP$725,'Functional Assignment'!$P$2,)</f>
        <v>827141.11780251586</v>
      </c>
      <c r="G626" s="58">
        <f t="shared" si="296"/>
        <v>403867.74075046659</v>
      </c>
      <c r="H626" s="58">
        <f t="shared" si="296"/>
        <v>108111.78237068583</v>
      </c>
      <c r="I626" s="58">
        <f t="shared" si="296"/>
        <v>12127.697880331421</v>
      </c>
      <c r="J626" s="58">
        <f t="shared" si="296"/>
        <v>144638.80010661547</v>
      </c>
      <c r="K626" s="58">
        <f t="shared" si="296"/>
        <v>85428.292929417323</v>
      </c>
      <c r="L626" s="58">
        <f t="shared" si="296"/>
        <v>32621.03139699703</v>
      </c>
      <c r="M626" s="58">
        <f t="shared" si="296"/>
        <v>0</v>
      </c>
      <c r="N626" s="58">
        <f t="shared" si="296"/>
        <v>0</v>
      </c>
      <c r="O626" s="58">
        <f t="shared" si="296"/>
        <v>0</v>
      </c>
      <c r="P626" s="58">
        <f t="shared" si="296"/>
        <v>21819.729443150882</v>
      </c>
      <c r="Q626" s="58">
        <f t="shared" si="297"/>
        <v>15422.726249659167</v>
      </c>
      <c r="R626" s="58">
        <f t="shared" si="297"/>
        <v>2980.344794125233</v>
      </c>
      <c r="S626" s="58">
        <f t="shared" si="297"/>
        <v>0</v>
      </c>
      <c r="T626" s="58">
        <f t="shared" si="297"/>
        <v>7.0033621546821179</v>
      </c>
      <c r="U626" s="58">
        <f t="shared" si="297"/>
        <v>115.96851891210689</v>
      </c>
      <c r="V626" s="58">
        <f t="shared" si="297"/>
        <v>0</v>
      </c>
      <c r="W626" s="58">
        <f t="shared" si="297"/>
        <v>0</v>
      </c>
      <c r="X626" s="42">
        <f t="shared" si="297"/>
        <v>0</v>
      </c>
      <c r="Y626" s="42">
        <f t="shared" si="297"/>
        <v>0</v>
      </c>
      <c r="Z626" s="42">
        <f t="shared" si="297"/>
        <v>0</v>
      </c>
      <c r="AA626" s="42">
        <f>SUM(G626:Z626)</f>
        <v>827141.11780251574</v>
      </c>
      <c r="AB626" s="37" t="str">
        <f>IF(ABS(F626-AA626)&lt;0.01,"ok","err")</f>
        <v>ok</v>
      </c>
    </row>
    <row r="627" spans="1:28">
      <c r="A627" s="39" t="s">
        <v>1239</v>
      </c>
      <c r="D627" s="39" t="s">
        <v>881</v>
      </c>
      <c r="F627" s="57">
        <f>SUM(F624:F626)</f>
        <v>2486895.2458261685</v>
      </c>
      <c r="G627" s="57">
        <f t="shared" ref="G627:W627" si="298">SUM(G624:G626)</f>
        <v>1040963.7610734235</v>
      </c>
      <c r="H627" s="57">
        <f t="shared" si="298"/>
        <v>339326.06000886444</v>
      </c>
      <c r="I627" s="57">
        <f t="shared" si="298"/>
        <v>42043.672946148057</v>
      </c>
      <c r="J627" s="57">
        <f t="shared" si="298"/>
        <v>466755.2513205104</v>
      </c>
      <c r="K627" s="57">
        <f t="shared" si="298"/>
        <v>322469.85162860685</v>
      </c>
      <c r="L627" s="57">
        <f t="shared" si="298"/>
        <v>117105.39312463976</v>
      </c>
      <c r="M627" s="57">
        <f t="shared" si="298"/>
        <v>0</v>
      </c>
      <c r="N627" s="57">
        <f t="shared" si="298"/>
        <v>0</v>
      </c>
      <c r="O627" s="57">
        <f>SUM(O624:O626)</f>
        <v>0</v>
      </c>
      <c r="P627" s="57">
        <f t="shared" si="298"/>
        <v>94225.869459120659</v>
      </c>
      <c r="Q627" s="57">
        <f t="shared" si="298"/>
        <v>45493.766117139181</v>
      </c>
      <c r="R627" s="57">
        <f t="shared" si="298"/>
        <v>9980.7174059435056</v>
      </c>
      <c r="S627" s="57">
        <f t="shared" si="298"/>
        <v>7717.4996586577799</v>
      </c>
      <c r="T627" s="57">
        <f t="shared" si="298"/>
        <v>291.59903442021442</v>
      </c>
      <c r="U627" s="57">
        <f t="shared" si="298"/>
        <v>521.80404869383892</v>
      </c>
      <c r="V627" s="57">
        <f t="shared" si="298"/>
        <v>0</v>
      </c>
      <c r="W627" s="57">
        <f t="shared" si="298"/>
        <v>0</v>
      </c>
      <c r="X627" s="41">
        <f>SUM(X624:X626)</f>
        <v>0</v>
      </c>
      <c r="Y627" s="41">
        <f>SUM(Y624:Y626)</f>
        <v>0</v>
      </c>
      <c r="Z627" s="41">
        <f>SUM(Z624:Z626)</f>
        <v>0</v>
      </c>
      <c r="AA627" s="43">
        <f>SUM(G627:Z627)</f>
        <v>2486895.2458261685</v>
      </c>
      <c r="AB627" s="37" t="str">
        <f>IF(ABS(F627-AA627)&lt;0.01,"ok","err")</f>
        <v>ok</v>
      </c>
    </row>
    <row r="628" spans="1:28">
      <c r="F628" s="58"/>
      <c r="G628" s="58"/>
    </row>
    <row r="629" spans="1:28">
      <c r="A629" s="44" t="s">
        <v>365</v>
      </c>
      <c r="F629" s="58"/>
      <c r="G629" s="58"/>
    </row>
    <row r="630" spans="1:28">
      <c r="A630" s="45" t="s">
        <v>392</v>
      </c>
      <c r="C630" s="39" t="s">
        <v>1181</v>
      </c>
      <c r="D630" s="39" t="s">
        <v>882</v>
      </c>
      <c r="E630" s="39" t="s">
        <v>1472</v>
      </c>
      <c r="F630" s="57">
        <f>VLOOKUP(C630,'Functional Assignment'!$C$2:$AP$725,'Functional Assignment'!$Q$2,)</f>
        <v>0</v>
      </c>
      <c r="G630" s="57">
        <f t="shared" ref="G630:Z630" si="299">IF(VLOOKUP($E630,$D$6:$AN$1197,3,)=0,0,(VLOOKUP($E630,$D$6:$AN$1197,G$2,)/VLOOKUP($E630,$D$6:$AN$1197,3,))*$F630)</f>
        <v>0</v>
      </c>
      <c r="H630" s="57">
        <f t="shared" si="299"/>
        <v>0</v>
      </c>
      <c r="I630" s="57">
        <f t="shared" si="299"/>
        <v>0</v>
      </c>
      <c r="J630" s="57">
        <f t="shared" si="299"/>
        <v>0</v>
      </c>
      <c r="K630" s="57">
        <f t="shared" si="299"/>
        <v>0</v>
      </c>
      <c r="L630" s="57">
        <f t="shared" si="299"/>
        <v>0</v>
      </c>
      <c r="M630" s="57">
        <f t="shared" si="299"/>
        <v>0</v>
      </c>
      <c r="N630" s="57">
        <f t="shared" si="299"/>
        <v>0</v>
      </c>
      <c r="O630" s="57">
        <f t="shared" si="299"/>
        <v>0</v>
      </c>
      <c r="P630" s="57">
        <f t="shared" si="299"/>
        <v>0</v>
      </c>
      <c r="Q630" s="57">
        <f t="shared" si="299"/>
        <v>0</v>
      </c>
      <c r="R630" s="57">
        <f t="shared" si="299"/>
        <v>0</v>
      </c>
      <c r="S630" s="57">
        <f t="shared" si="299"/>
        <v>0</v>
      </c>
      <c r="T630" s="57">
        <f t="shared" si="299"/>
        <v>0</v>
      </c>
      <c r="U630" s="57">
        <f t="shared" si="299"/>
        <v>0</v>
      </c>
      <c r="V630" s="57">
        <f t="shared" si="299"/>
        <v>0</v>
      </c>
      <c r="W630" s="57">
        <f t="shared" si="299"/>
        <v>0</v>
      </c>
      <c r="X630" s="41">
        <f t="shared" si="299"/>
        <v>0</v>
      </c>
      <c r="Y630" s="41">
        <f t="shared" si="299"/>
        <v>0</v>
      </c>
      <c r="Z630" s="41">
        <f t="shared" si="299"/>
        <v>0</v>
      </c>
      <c r="AA630" s="43">
        <f>SUM(G630:Z630)</f>
        <v>0</v>
      </c>
      <c r="AB630" s="37" t="str">
        <f>IF(ABS(F630-AA630)&lt;0.01,"ok","err")</f>
        <v>ok</v>
      </c>
    </row>
    <row r="631" spans="1:28">
      <c r="F631" s="58"/>
    </row>
    <row r="632" spans="1:28">
      <c r="A632" s="44" t="s">
        <v>366</v>
      </c>
      <c r="F632" s="58"/>
      <c r="G632" s="58"/>
    </row>
    <row r="633" spans="1:28">
      <c r="A633" s="45" t="s">
        <v>394</v>
      </c>
      <c r="C633" s="39" t="s">
        <v>1181</v>
      </c>
      <c r="D633" s="39" t="s">
        <v>883</v>
      </c>
      <c r="E633" s="39" t="s">
        <v>1471</v>
      </c>
      <c r="F633" s="57">
        <f>VLOOKUP(C633,'Functional Assignment'!$C$2:$AP$725,'Functional Assignment'!$R$2,)</f>
        <v>1019635.2346417026</v>
      </c>
      <c r="G633" s="57">
        <f t="shared" ref="G633:Z633" si="300">IF(VLOOKUP($E633,$D$6:$AN$1197,3,)=0,0,(VLOOKUP($E633,$D$6:$AN$1197,G$2,)/VLOOKUP($E633,$D$6:$AN$1197,3,))*$F633)</f>
        <v>489174.31507486419</v>
      </c>
      <c r="H633" s="57">
        <f t="shared" si="300"/>
        <v>138779.46428645137</v>
      </c>
      <c r="I633" s="57">
        <f t="shared" si="300"/>
        <v>14462.93227581029</v>
      </c>
      <c r="J633" s="57">
        <f t="shared" si="300"/>
        <v>169203.09783771483</v>
      </c>
      <c r="K633" s="57">
        <f t="shared" si="300"/>
        <v>135402.57951732125</v>
      </c>
      <c r="L633" s="57">
        <f t="shared" si="300"/>
        <v>40568.130615402704</v>
      </c>
      <c r="M633" s="57">
        <f t="shared" si="300"/>
        <v>0</v>
      </c>
      <c r="N633" s="57">
        <f t="shared" si="300"/>
        <v>0</v>
      </c>
      <c r="O633" s="57">
        <f t="shared" si="300"/>
        <v>0</v>
      </c>
      <c r="P633" s="57">
        <f t="shared" si="300"/>
        <v>0</v>
      </c>
      <c r="Q633" s="57">
        <f t="shared" si="300"/>
        <v>18966.715737695842</v>
      </c>
      <c r="R633" s="57">
        <f t="shared" si="300"/>
        <v>4282.3933736787158</v>
      </c>
      <c r="S633" s="57">
        <f t="shared" si="300"/>
        <v>8370.5537164610178</v>
      </c>
      <c r="T633" s="57">
        <f t="shared" si="300"/>
        <v>301.25303956692619</v>
      </c>
      <c r="U633" s="57">
        <f t="shared" si="300"/>
        <v>123.79916673543306</v>
      </c>
      <c r="V633" s="57">
        <f t="shared" si="300"/>
        <v>0</v>
      </c>
      <c r="W633" s="57">
        <f t="shared" si="300"/>
        <v>0</v>
      </c>
      <c r="X633" s="41">
        <f t="shared" si="300"/>
        <v>0</v>
      </c>
      <c r="Y633" s="41">
        <f t="shared" si="300"/>
        <v>0</v>
      </c>
      <c r="Z633" s="41">
        <f t="shared" si="300"/>
        <v>0</v>
      </c>
      <c r="AA633" s="43">
        <f>SUM(G633:Z633)</f>
        <v>1019635.2346417025</v>
      </c>
      <c r="AB633" s="37" t="str">
        <f>IF(ABS(F633-AA633)&lt;0.01,"ok","err")</f>
        <v>ok</v>
      </c>
    </row>
    <row r="634" spans="1:28">
      <c r="F634" s="58"/>
    </row>
    <row r="635" spans="1:28">
      <c r="A635" s="44" t="s">
        <v>393</v>
      </c>
      <c r="F635" s="58"/>
    </row>
    <row r="636" spans="1:28">
      <c r="A636" s="45" t="s">
        <v>644</v>
      </c>
      <c r="C636" s="39" t="s">
        <v>1181</v>
      </c>
      <c r="D636" s="39" t="s">
        <v>884</v>
      </c>
      <c r="E636" s="39" t="s">
        <v>1472</v>
      </c>
      <c r="F636" s="57">
        <f>VLOOKUP(C636,'Functional Assignment'!$C$2:$AP$725,'Functional Assignment'!$S$2,)</f>
        <v>0</v>
      </c>
      <c r="G636" s="57">
        <f t="shared" ref="G636:P640" si="301">IF(VLOOKUP($E636,$D$6:$AN$1197,3,)=0,0,(VLOOKUP($E636,$D$6:$AN$1197,G$2,)/VLOOKUP($E636,$D$6:$AN$1197,3,))*$F636)</f>
        <v>0</v>
      </c>
      <c r="H636" s="57">
        <f t="shared" si="301"/>
        <v>0</v>
      </c>
      <c r="I636" s="57">
        <f t="shared" si="301"/>
        <v>0</v>
      </c>
      <c r="J636" s="57">
        <f t="shared" si="301"/>
        <v>0</v>
      </c>
      <c r="K636" s="57">
        <f t="shared" si="301"/>
        <v>0</v>
      </c>
      <c r="L636" s="57">
        <f t="shared" si="301"/>
        <v>0</v>
      </c>
      <c r="M636" s="57">
        <f t="shared" si="301"/>
        <v>0</v>
      </c>
      <c r="N636" s="57">
        <f t="shared" si="301"/>
        <v>0</v>
      </c>
      <c r="O636" s="57">
        <f t="shared" si="301"/>
        <v>0</v>
      </c>
      <c r="P636" s="57">
        <f t="shared" si="301"/>
        <v>0</v>
      </c>
      <c r="Q636" s="57">
        <f t="shared" ref="Q636:Z640" si="302">IF(VLOOKUP($E636,$D$6:$AN$1197,3,)=0,0,(VLOOKUP($E636,$D$6:$AN$1197,Q$2,)/VLOOKUP($E636,$D$6:$AN$1197,3,))*$F636)</f>
        <v>0</v>
      </c>
      <c r="R636" s="57">
        <f t="shared" si="302"/>
        <v>0</v>
      </c>
      <c r="S636" s="57">
        <f t="shared" si="302"/>
        <v>0</v>
      </c>
      <c r="T636" s="57">
        <f t="shared" si="302"/>
        <v>0</v>
      </c>
      <c r="U636" s="57">
        <f t="shared" si="302"/>
        <v>0</v>
      </c>
      <c r="V636" s="57">
        <f t="shared" si="302"/>
        <v>0</v>
      </c>
      <c r="W636" s="57">
        <f t="shared" si="302"/>
        <v>0</v>
      </c>
      <c r="X636" s="41">
        <f t="shared" si="302"/>
        <v>0</v>
      </c>
      <c r="Y636" s="41">
        <f t="shared" si="302"/>
        <v>0</v>
      </c>
      <c r="Z636" s="41">
        <f t="shared" si="302"/>
        <v>0</v>
      </c>
      <c r="AA636" s="43">
        <f t="shared" ref="AA636:AA641" si="303">SUM(G636:Z636)</f>
        <v>0</v>
      </c>
      <c r="AB636" s="37" t="str">
        <f t="shared" ref="AB636:AB641" si="304">IF(ABS(F636-AA636)&lt;0.01,"ok","err")</f>
        <v>ok</v>
      </c>
    </row>
    <row r="637" spans="1:28">
      <c r="A637" s="45" t="s">
        <v>645</v>
      </c>
      <c r="C637" s="39" t="s">
        <v>1181</v>
      </c>
      <c r="D637" s="39" t="s">
        <v>885</v>
      </c>
      <c r="E637" s="39" t="s">
        <v>1472</v>
      </c>
      <c r="F637" s="58">
        <f>VLOOKUP(C637,'Functional Assignment'!$C$2:$AP$725,'Functional Assignment'!$T$2,)</f>
        <v>1570029.5074844437</v>
      </c>
      <c r="G637" s="58">
        <f t="shared" si="301"/>
        <v>753228.29466648318</v>
      </c>
      <c r="H637" s="58">
        <f t="shared" si="301"/>
        <v>213691.96214485218</v>
      </c>
      <c r="I637" s="58">
        <f t="shared" si="301"/>
        <v>22269.95465270535</v>
      </c>
      <c r="J637" s="58">
        <f t="shared" si="301"/>
        <v>260538.12906567485</v>
      </c>
      <c r="K637" s="58">
        <f t="shared" si="301"/>
        <v>208492.25096306656</v>
      </c>
      <c r="L637" s="58">
        <f t="shared" si="301"/>
        <v>62466.61547749173</v>
      </c>
      <c r="M637" s="58">
        <f t="shared" si="301"/>
        <v>0</v>
      </c>
      <c r="N637" s="58">
        <f t="shared" si="301"/>
        <v>0</v>
      </c>
      <c r="O637" s="58">
        <f t="shared" si="301"/>
        <v>0</v>
      </c>
      <c r="P637" s="58">
        <f t="shared" si="301"/>
        <v>0</v>
      </c>
      <c r="Q637" s="58">
        <f t="shared" si="302"/>
        <v>29204.859107008084</v>
      </c>
      <c r="R637" s="58">
        <f t="shared" si="302"/>
        <v>6594.009044512919</v>
      </c>
      <c r="S637" s="58">
        <f t="shared" si="302"/>
        <v>12888.938987524734</v>
      </c>
      <c r="T637" s="58">
        <f t="shared" si="302"/>
        <v>463.86800423354873</v>
      </c>
      <c r="U637" s="58">
        <f t="shared" si="302"/>
        <v>190.62537089051955</v>
      </c>
      <c r="V637" s="58">
        <f t="shared" si="302"/>
        <v>0</v>
      </c>
      <c r="W637" s="58">
        <f t="shared" si="302"/>
        <v>0</v>
      </c>
      <c r="X637" s="42">
        <f t="shared" si="302"/>
        <v>0</v>
      </c>
      <c r="Y637" s="42">
        <f t="shared" si="302"/>
        <v>0</v>
      </c>
      <c r="Z637" s="42">
        <f t="shared" si="302"/>
        <v>0</v>
      </c>
      <c r="AA637" s="42">
        <f t="shared" si="303"/>
        <v>1570029.5074844435</v>
      </c>
      <c r="AB637" s="37" t="str">
        <f t="shared" si="304"/>
        <v>ok</v>
      </c>
    </row>
    <row r="638" spans="1:28">
      <c r="A638" s="45" t="s">
        <v>646</v>
      </c>
      <c r="C638" s="39" t="s">
        <v>1181</v>
      </c>
      <c r="D638" s="39" t="s">
        <v>886</v>
      </c>
      <c r="E638" s="39" t="s">
        <v>733</v>
      </c>
      <c r="F638" s="58">
        <f>VLOOKUP(C638,'Functional Assignment'!$C$2:$AP$725,'Functional Assignment'!$U$2,)</f>
        <v>2570275.1270190347</v>
      </c>
      <c r="G638" s="58">
        <f t="shared" si="301"/>
        <v>2212675.4153820095</v>
      </c>
      <c r="H638" s="58">
        <f t="shared" si="301"/>
        <v>275381.12174622854</v>
      </c>
      <c r="I638" s="58">
        <f t="shared" si="301"/>
        <v>540.81131529110075</v>
      </c>
      <c r="J638" s="58">
        <f t="shared" si="301"/>
        <v>18514.834441142393</v>
      </c>
      <c r="K638" s="58">
        <f t="shared" si="301"/>
        <v>585.34871772683846</v>
      </c>
      <c r="L638" s="58">
        <f t="shared" si="301"/>
        <v>1030.7227420842155</v>
      </c>
      <c r="M638" s="58">
        <f t="shared" si="301"/>
        <v>0</v>
      </c>
      <c r="N638" s="58">
        <f t="shared" si="301"/>
        <v>0</v>
      </c>
      <c r="O638" s="58">
        <f t="shared" si="301"/>
        <v>0</v>
      </c>
      <c r="P638" s="58">
        <f t="shared" si="301"/>
        <v>0</v>
      </c>
      <c r="Q638" s="58">
        <f t="shared" si="302"/>
        <v>6.3624860622482435</v>
      </c>
      <c r="R638" s="58">
        <f t="shared" si="302"/>
        <v>12.724972124496487</v>
      </c>
      <c r="S638" s="58">
        <f t="shared" si="302"/>
        <v>60771.921872170336</v>
      </c>
      <c r="T638" s="58">
        <f t="shared" si="302"/>
        <v>108.16226305822016</v>
      </c>
      <c r="U638" s="58">
        <f t="shared" si="302"/>
        <v>647.70108113687127</v>
      </c>
      <c r="V638" s="58">
        <f t="shared" si="302"/>
        <v>0</v>
      </c>
      <c r="W638" s="58">
        <f t="shared" si="302"/>
        <v>0</v>
      </c>
      <c r="X638" s="42">
        <f t="shared" si="302"/>
        <v>0</v>
      </c>
      <c r="Y638" s="42">
        <f t="shared" si="302"/>
        <v>0</v>
      </c>
      <c r="Z638" s="42">
        <f t="shared" si="302"/>
        <v>0</v>
      </c>
      <c r="AA638" s="42">
        <f t="shared" si="303"/>
        <v>2570275.1270190347</v>
      </c>
      <c r="AB638" s="37" t="str">
        <f t="shared" si="304"/>
        <v>ok</v>
      </c>
    </row>
    <row r="639" spans="1:28">
      <c r="A639" s="45" t="s">
        <v>647</v>
      </c>
      <c r="C639" s="39" t="s">
        <v>1181</v>
      </c>
      <c r="D639" s="39" t="s">
        <v>887</v>
      </c>
      <c r="E639" s="39" t="s">
        <v>711</v>
      </c>
      <c r="F639" s="58">
        <f>VLOOKUP(C639,'Functional Assignment'!$C$2:$AP$725,'Functional Assignment'!$V$2,)</f>
        <v>523343.16916148097</v>
      </c>
      <c r="G639" s="58">
        <f t="shared" si="301"/>
        <v>362206.0545103898</v>
      </c>
      <c r="H639" s="58">
        <f t="shared" si="301"/>
        <v>69817.173960253611</v>
      </c>
      <c r="I639" s="58">
        <f t="shared" si="301"/>
        <v>0</v>
      </c>
      <c r="J639" s="58">
        <f t="shared" si="301"/>
        <v>69604.377553539423</v>
      </c>
      <c r="K639" s="58">
        <f t="shared" si="301"/>
        <v>0</v>
      </c>
      <c r="L639" s="58">
        <f t="shared" si="301"/>
        <v>18677.131198244122</v>
      </c>
      <c r="M639" s="58">
        <f t="shared" si="301"/>
        <v>0</v>
      </c>
      <c r="N639" s="58">
        <f t="shared" si="301"/>
        <v>0</v>
      </c>
      <c r="O639" s="58">
        <f t="shared" si="301"/>
        <v>0</v>
      </c>
      <c r="P639" s="58">
        <f t="shared" si="301"/>
        <v>0</v>
      </c>
      <c r="Q639" s="58">
        <f t="shared" si="302"/>
        <v>0</v>
      </c>
      <c r="R639" s="58">
        <f t="shared" si="302"/>
        <v>0</v>
      </c>
      <c r="S639" s="58">
        <f t="shared" si="302"/>
        <v>2888.4056429653378</v>
      </c>
      <c r="T639" s="58">
        <f t="shared" si="302"/>
        <v>107.30723306071603</v>
      </c>
      <c r="U639" s="58">
        <f t="shared" si="302"/>
        <v>42.719063028032707</v>
      </c>
      <c r="V639" s="58">
        <f t="shared" si="302"/>
        <v>0</v>
      </c>
      <c r="W639" s="58">
        <f t="shared" si="302"/>
        <v>0</v>
      </c>
      <c r="X639" s="42">
        <f t="shared" si="302"/>
        <v>0</v>
      </c>
      <c r="Y639" s="42">
        <f t="shared" si="302"/>
        <v>0</v>
      </c>
      <c r="Z639" s="42">
        <f t="shared" si="302"/>
        <v>0</v>
      </c>
      <c r="AA639" s="42">
        <f t="shared" si="303"/>
        <v>523343.16916148103</v>
      </c>
      <c r="AB639" s="37" t="str">
        <f t="shared" si="304"/>
        <v>ok</v>
      </c>
    </row>
    <row r="640" spans="1:28">
      <c r="A640" s="45" t="s">
        <v>648</v>
      </c>
      <c r="C640" s="39" t="s">
        <v>1181</v>
      </c>
      <c r="D640" s="39" t="s">
        <v>888</v>
      </c>
      <c r="E640" s="39" t="s">
        <v>732</v>
      </c>
      <c r="F640" s="58">
        <f>VLOOKUP(C640,'Functional Assignment'!$C$2:$AP$725,'Functional Assignment'!$W$2,)</f>
        <v>856758.37567301164</v>
      </c>
      <c r="G640" s="58">
        <f t="shared" si="301"/>
        <v>737887.25508992374</v>
      </c>
      <c r="H640" s="58">
        <f t="shared" si="301"/>
        <v>91834.626360607421</v>
      </c>
      <c r="I640" s="58">
        <f t="shared" si="301"/>
        <v>0</v>
      </c>
      <c r="J640" s="58">
        <f t="shared" si="301"/>
        <v>6174.3626151602875</v>
      </c>
      <c r="K640" s="58">
        <f t="shared" si="301"/>
        <v>0</v>
      </c>
      <c r="L640" s="58">
        <f t="shared" si="301"/>
        <v>343.7274033182016</v>
      </c>
      <c r="M640" s="58">
        <f t="shared" si="301"/>
        <v>0</v>
      </c>
      <c r="N640" s="58">
        <f t="shared" si="301"/>
        <v>0</v>
      </c>
      <c r="O640" s="58">
        <f t="shared" si="301"/>
        <v>0</v>
      </c>
      <c r="P640" s="58">
        <f t="shared" si="301"/>
        <v>0</v>
      </c>
      <c r="Q640" s="58">
        <f t="shared" si="302"/>
        <v>0</v>
      </c>
      <c r="R640" s="58">
        <f t="shared" si="302"/>
        <v>0</v>
      </c>
      <c r="S640" s="58">
        <f t="shared" si="302"/>
        <v>20266.337441568732</v>
      </c>
      <c r="T640" s="58">
        <f t="shared" si="302"/>
        <v>36.070159607465598</v>
      </c>
      <c r="U640" s="58">
        <f t="shared" si="302"/>
        <v>215.99660282588223</v>
      </c>
      <c r="V640" s="58">
        <f t="shared" si="302"/>
        <v>0</v>
      </c>
      <c r="W640" s="58">
        <f t="shared" si="302"/>
        <v>0</v>
      </c>
      <c r="X640" s="42">
        <f t="shared" si="302"/>
        <v>0</v>
      </c>
      <c r="Y640" s="42">
        <f t="shared" si="302"/>
        <v>0</v>
      </c>
      <c r="Z640" s="42">
        <f t="shared" si="302"/>
        <v>0</v>
      </c>
      <c r="AA640" s="42">
        <f t="shared" si="303"/>
        <v>856758.37567301176</v>
      </c>
      <c r="AB640" s="37" t="str">
        <f t="shared" si="304"/>
        <v>ok</v>
      </c>
    </row>
    <row r="641" spans="1:28">
      <c r="A641" s="39" t="s">
        <v>398</v>
      </c>
      <c r="D641" s="39" t="s">
        <v>889</v>
      </c>
      <c r="F641" s="57">
        <f>SUM(F636:F640)</f>
        <v>5520406.1793379709</v>
      </c>
      <c r="G641" s="57">
        <f t="shared" ref="G641:W641" si="305">SUM(G636:G640)</f>
        <v>4065997.0196488062</v>
      </c>
      <c r="H641" s="57">
        <f t="shared" si="305"/>
        <v>650724.88421194174</v>
      </c>
      <c r="I641" s="57">
        <f t="shared" si="305"/>
        <v>22810.765967996449</v>
      </c>
      <c r="J641" s="57">
        <f t="shared" si="305"/>
        <v>354831.70367551694</v>
      </c>
      <c r="K641" s="57">
        <f t="shared" si="305"/>
        <v>209077.59968079338</v>
      </c>
      <c r="L641" s="57">
        <f t="shared" si="305"/>
        <v>82518.196821138277</v>
      </c>
      <c r="M641" s="57">
        <f t="shared" si="305"/>
        <v>0</v>
      </c>
      <c r="N641" s="57">
        <f t="shared" si="305"/>
        <v>0</v>
      </c>
      <c r="O641" s="57">
        <f>SUM(O636:O640)</f>
        <v>0</v>
      </c>
      <c r="P641" s="57">
        <f t="shared" si="305"/>
        <v>0</v>
      </c>
      <c r="Q641" s="57">
        <f t="shared" si="305"/>
        <v>29211.221593070331</v>
      </c>
      <c r="R641" s="57">
        <f t="shared" si="305"/>
        <v>6606.7340166374152</v>
      </c>
      <c r="S641" s="57">
        <f t="shared" si="305"/>
        <v>96815.603944229137</v>
      </c>
      <c r="T641" s="57">
        <f t="shared" si="305"/>
        <v>715.40765995995059</v>
      </c>
      <c r="U641" s="57">
        <f t="shared" si="305"/>
        <v>1097.0421178813058</v>
      </c>
      <c r="V641" s="57">
        <f t="shared" si="305"/>
        <v>0</v>
      </c>
      <c r="W641" s="57">
        <f t="shared" si="305"/>
        <v>0</v>
      </c>
      <c r="X641" s="41">
        <f>SUM(X636:X640)</f>
        <v>0</v>
      </c>
      <c r="Y641" s="41">
        <f>SUM(Y636:Y640)</f>
        <v>0</v>
      </c>
      <c r="Z641" s="41">
        <f>SUM(Z636:Z640)</f>
        <v>0</v>
      </c>
      <c r="AA641" s="43">
        <f t="shared" si="303"/>
        <v>5520406.1793379718</v>
      </c>
      <c r="AB641" s="37" t="str">
        <f t="shared" si="304"/>
        <v>ok</v>
      </c>
    </row>
    <row r="642" spans="1:28">
      <c r="F642" s="58"/>
    </row>
    <row r="643" spans="1:28">
      <c r="A643" s="44" t="s">
        <v>666</v>
      </c>
      <c r="F643" s="58"/>
    </row>
    <row r="644" spans="1:28">
      <c r="A644" s="45" t="s">
        <v>1196</v>
      </c>
      <c r="C644" s="39" t="s">
        <v>1181</v>
      </c>
      <c r="D644" s="39" t="s">
        <v>890</v>
      </c>
      <c r="E644" s="39" t="s">
        <v>711</v>
      </c>
      <c r="F644" s="57">
        <f>VLOOKUP(C644,'Functional Assignment'!$C$2:$AP$725,'Functional Assignment'!$X$2,)</f>
        <v>733022.51140946965</v>
      </c>
      <c r="G644" s="57">
        <f t="shared" ref="G644:P645" si="306">IF(VLOOKUP($E644,$D$6:$AN$1197,3,)=0,0,(VLOOKUP($E644,$D$6:$AN$1197,G$2,)/VLOOKUP($E644,$D$6:$AN$1197,3,))*$F644)</f>
        <v>507325.22629524913</v>
      </c>
      <c r="H644" s="57">
        <f t="shared" si="306"/>
        <v>97789.678382265774</v>
      </c>
      <c r="I644" s="57">
        <f t="shared" si="306"/>
        <v>0</v>
      </c>
      <c r="J644" s="57">
        <f t="shared" si="306"/>
        <v>97491.624322023679</v>
      </c>
      <c r="K644" s="57">
        <f t="shared" si="306"/>
        <v>0</v>
      </c>
      <c r="L644" s="57">
        <f t="shared" si="306"/>
        <v>26160.191674607853</v>
      </c>
      <c r="M644" s="57">
        <f t="shared" si="306"/>
        <v>0</v>
      </c>
      <c r="N644" s="57">
        <f t="shared" si="306"/>
        <v>0</v>
      </c>
      <c r="O644" s="57">
        <f t="shared" si="306"/>
        <v>0</v>
      </c>
      <c r="P644" s="57">
        <f t="shared" si="306"/>
        <v>0</v>
      </c>
      <c r="Q644" s="57">
        <f t="shared" ref="Q644:Z645" si="307">IF(VLOOKUP($E644,$D$6:$AN$1197,3,)=0,0,(VLOOKUP($E644,$D$6:$AN$1197,Q$2,)/VLOOKUP($E644,$D$6:$AN$1197,3,))*$F644)</f>
        <v>0</v>
      </c>
      <c r="R644" s="57">
        <f t="shared" si="307"/>
        <v>0</v>
      </c>
      <c r="S644" s="57">
        <f t="shared" si="307"/>
        <v>4045.6558585986613</v>
      </c>
      <c r="T644" s="57">
        <f t="shared" si="307"/>
        <v>150.30026587830881</v>
      </c>
      <c r="U644" s="57">
        <f t="shared" si="307"/>
        <v>59.834610846340873</v>
      </c>
      <c r="V644" s="57">
        <f t="shared" si="307"/>
        <v>0</v>
      </c>
      <c r="W644" s="57">
        <f t="shared" si="307"/>
        <v>0</v>
      </c>
      <c r="X644" s="41">
        <f t="shared" si="307"/>
        <v>0</v>
      </c>
      <c r="Y644" s="41">
        <f t="shared" si="307"/>
        <v>0</v>
      </c>
      <c r="Z644" s="41">
        <f t="shared" si="307"/>
        <v>0</v>
      </c>
      <c r="AA644" s="43">
        <f>SUM(G644:Z644)</f>
        <v>733022.51140946976</v>
      </c>
      <c r="AB644" s="37" t="str">
        <f>IF(ABS(F644-AA644)&lt;0.01,"ok","err")</f>
        <v>ok</v>
      </c>
    </row>
    <row r="645" spans="1:28">
      <c r="A645" s="45" t="s">
        <v>1199</v>
      </c>
      <c r="C645" s="39" t="s">
        <v>1181</v>
      </c>
      <c r="D645" s="39" t="s">
        <v>891</v>
      </c>
      <c r="E645" s="39" t="s">
        <v>732</v>
      </c>
      <c r="F645" s="58">
        <f>VLOOKUP(C645,'Functional Assignment'!$C$2:$AP$725,'Functional Assignment'!$Y$2,)</f>
        <v>582996.3600617504</v>
      </c>
      <c r="G645" s="58">
        <f t="shared" si="306"/>
        <v>502108.40777069383</v>
      </c>
      <c r="H645" s="58">
        <f t="shared" si="306"/>
        <v>62490.4925543426</v>
      </c>
      <c r="I645" s="58">
        <f t="shared" si="306"/>
        <v>0</v>
      </c>
      <c r="J645" s="58">
        <f t="shared" si="306"/>
        <v>4201.4540301542665</v>
      </c>
      <c r="K645" s="58">
        <f t="shared" si="306"/>
        <v>0</v>
      </c>
      <c r="L645" s="58">
        <f t="shared" si="306"/>
        <v>233.89537899827874</v>
      </c>
      <c r="M645" s="58">
        <f t="shared" si="306"/>
        <v>0</v>
      </c>
      <c r="N645" s="58">
        <f t="shared" si="306"/>
        <v>0</v>
      </c>
      <c r="O645" s="58">
        <f t="shared" si="306"/>
        <v>0</v>
      </c>
      <c r="P645" s="58">
        <f t="shared" si="306"/>
        <v>0</v>
      </c>
      <c r="Q645" s="58">
        <f t="shared" si="307"/>
        <v>0</v>
      </c>
      <c r="R645" s="58">
        <f t="shared" si="307"/>
        <v>0</v>
      </c>
      <c r="S645" s="58">
        <f t="shared" si="307"/>
        <v>13790.587049629379</v>
      </c>
      <c r="T645" s="58">
        <f t="shared" si="307"/>
        <v>24.544576808461354</v>
      </c>
      <c r="U645" s="58">
        <f t="shared" si="307"/>
        <v>146.97870112360974</v>
      </c>
      <c r="V645" s="58">
        <f t="shared" si="307"/>
        <v>0</v>
      </c>
      <c r="W645" s="58">
        <f t="shared" si="307"/>
        <v>0</v>
      </c>
      <c r="X645" s="42">
        <f t="shared" si="307"/>
        <v>0</v>
      </c>
      <c r="Y645" s="42">
        <f t="shared" si="307"/>
        <v>0</v>
      </c>
      <c r="Z645" s="42">
        <f t="shared" si="307"/>
        <v>0</v>
      </c>
      <c r="AA645" s="42">
        <f>SUM(G645:Z645)</f>
        <v>582996.3600617504</v>
      </c>
      <c r="AB645" s="37" t="str">
        <f>IF(ABS(F645-AA645)&lt;0.01,"ok","err")</f>
        <v>ok</v>
      </c>
    </row>
    <row r="646" spans="1:28">
      <c r="A646" s="39" t="s">
        <v>773</v>
      </c>
      <c r="D646" s="39" t="s">
        <v>892</v>
      </c>
      <c r="F646" s="57">
        <f>F644+F645</f>
        <v>1316018.8714712202</v>
      </c>
      <c r="G646" s="57">
        <f t="shared" ref="G646:W646" si="308">G644+G645</f>
        <v>1009433.634065943</v>
      </c>
      <c r="H646" s="57">
        <f t="shared" si="308"/>
        <v>160280.17093660837</v>
      </c>
      <c r="I646" s="57">
        <f t="shared" si="308"/>
        <v>0</v>
      </c>
      <c r="J646" s="57">
        <f t="shared" si="308"/>
        <v>101693.07835217795</v>
      </c>
      <c r="K646" s="57">
        <f t="shared" si="308"/>
        <v>0</v>
      </c>
      <c r="L646" s="57">
        <f t="shared" si="308"/>
        <v>26394.08705360613</v>
      </c>
      <c r="M646" s="57">
        <f t="shared" si="308"/>
        <v>0</v>
      </c>
      <c r="N646" s="57">
        <f t="shared" si="308"/>
        <v>0</v>
      </c>
      <c r="O646" s="57">
        <f>O644+O645</f>
        <v>0</v>
      </c>
      <c r="P646" s="57">
        <f t="shared" si="308"/>
        <v>0</v>
      </c>
      <c r="Q646" s="57">
        <f t="shared" si="308"/>
        <v>0</v>
      </c>
      <c r="R646" s="57">
        <f t="shared" si="308"/>
        <v>0</v>
      </c>
      <c r="S646" s="57">
        <f t="shared" si="308"/>
        <v>17836.24290822804</v>
      </c>
      <c r="T646" s="57">
        <f t="shared" si="308"/>
        <v>174.84484268677016</v>
      </c>
      <c r="U646" s="57">
        <f t="shared" si="308"/>
        <v>206.8133119699506</v>
      </c>
      <c r="V646" s="57">
        <f t="shared" si="308"/>
        <v>0</v>
      </c>
      <c r="W646" s="57">
        <f t="shared" si="308"/>
        <v>0</v>
      </c>
      <c r="X646" s="41">
        <f>X644+X645</f>
        <v>0</v>
      </c>
      <c r="Y646" s="41">
        <f>Y644+Y645</f>
        <v>0</v>
      </c>
      <c r="Z646" s="41">
        <f>Z644+Z645</f>
        <v>0</v>
      </c>
      <c r="AA646" s="43">
        <f>SUM(G646:Z646)</f>
        <v>1316018.8714712199</v>
      </c>
      <c r="AB646" s="37" t="str">
        <f>IF(ABS(F646-AA646)&lt;0.01,"ok","err")</f>
        <v>ok</v>
      </c>
    </row>
    <row r="647" spans="1:28">
      <c r="F647" s="58"/>
    </row>
    <row r="648" spans="1:28">
      <c r="A648" s="44" t="s">
        <v>371</v>
      </c>
      <c r="F648" s="58"/>
    </row>
    <row r="649" spans="1:28">
      <c r="A649" s="45" t="s">
        <v>1199</v>
      </c>
      <c r="C649" s="39" t="s">
        <v>1181</v>
      </c>
      <c r="D649" s="39" t="s">
        <v>893</v>
      </c>
      <c r="E649" s="39" t="s">
        <v>1201</v>
      </c>
      <c r="F649" s="57">
        <f>VLOOKUP(C649,'Functional Assignment'!$C$2:$AP$725,'Functional Assignment'!$Z$2,)</f>
        <v>266930.96764255385</v>
      </c>
      <c r="G649" s="57">
        <f t="shared" ref="G649:Z649" si="309">IF(VLOOKUP($E649,$D$6:$AN$1197,3,)=0,0,(VLOOKUP($E649,$D$6:$AN$1197,G$2,)/VLOOKUP($E649,$D$6:$AN$1197,3,))*$F649)</f>
        <v>220803.79373268576</v>
      </c>
      <c r="H649" s="57">
        <f t="shared" si="309"/>
        <v>36876.390799805748</v>
      </c>
      <c r="I649" s="57">
        <f t="shared" si="309"/>
        <v>0</v>
      </c>
      <c r="J649" s="57">
        <f t="shared" si="309"/>
        <v>7877.6278991143245</v>
      </c>
      <c r="K649" s="57">
        <f t="shared" si="309"/>
        <v>0</v>
      </c>
      <c r="L649" s="57">
        <f t="shared" si="309"/>
        <v>627.30011689794992</v>
      </c>
      <c r="M649" s="57">
        <f t="shared" si="309"/>
        <v>0</v>
      </c>
      <c r="N649" s="57">
        <f t="shared" si="309"/>
        <v>0</v>
      </c>
      <c r="O649" s="57">
        <f t="shared" si="309"/>
        <v>0</v>
      </c>
      <c r="P649" s="57">
        <f t="shared" si="309"/>
        <v>0</v>
      </c>
      <c r="Q649" s="57">
        <f t="shared" si="309"/>
        <v>0</v>
      </c>
      <c r="R649" s="57">
        <f t="shared" si="309"/>
        <v>0</v>
      </c>
      <c r="S649" s="57">
        <f t="shared" si="309"/>
        <v>0</v>
      </c>
      <c r="T649" s="57">
        <f t="shared" si="309"/>
        <v>108.33999267057486</v>
      </c>
      <c r="U649" s="57">
        <f t="shared" si="309"/>
        <v>637.51510137945206</v>
      </c>
      <c r="V649" s="57">
        <f t="shared" si="309"/>
        <v>0</v>
      </c>
      <c r="W649" s="57">
        <f t="shared" si="309"/>
        <v>0</v>
      </c>
      <c r="X649" s="41">
        <f t="shared" si="309"/>
        <v>0</v>
      </c>
      <c r="Y649" s="41">
        <f t="shared" si="309"/>
        <v>0</v>
      </c>
      <c r="Z649" s="41">
        <f t="shared" si="309"/>
        <v>0</v>
      </c>
      <c r="AA649" s="43">
        <f>SUM(G649:Z649)</f>
        <v>266930.96764255379</v>
      </c>
      <c r="AB649" s="37" t="str">
        <f>IF(ABS(F649-AA649)&lt;0.01,"ok","err")</f>
        <v>ok</v>
      </c>
    </row>
    <row r="650" spans="1:28">
      <c r="F650" s="58"/>
    </row>
    <row r="651" spans="1:28">
      <c r="A651" s="44" t="s">
        <v>370</v>
      </c>
      <c r="F651" s="58"/>
    </row>
    <row r="652" spans="1:28">
      <c r="A652" s="45" t="s">
        <v>1199</v>
      </c>
      <c r="C652" s="39" t="s">
        <v>1181</v>
      </c>
      <c r="D652" s="39" t="s">
        <v>894</v>
      </c>
      <c r="E652" s="39" t="s">
        <v>1202</v>
      </c>
      <c r="F652" s="57">
        <f>VLOOKUP(C652,'Functional Assignment'!$C$2:$AP$725,'Functional Assignment'!$AA$2,)</f>
        <v>359699.16850057972</v>
      </c>
      <c r="G652" s="57">
        <f t="shared" ref="G652:Z652" si="310">IF(VLOOKUP($E652,$D$6:$AN$1197,3,)=0,0,(VLOOKUP($E652,$D$6:$AN$1197,G$2,)/VLOOKUP($E652,$D$6:$AN$1197,3,))*$F652)</f>
        <v>251749.97025140098</v>
      </c>
      <c r="H652" s="57">
        <f t="shared" si="310"/>
        <v>74764.477492571576</v>
      </c>
      <c r="I652" s="57">
        <f t="shared" si="310"/>
        <v>3411.5034198950257</v>
      </c>
      <c r="J652" s="57">
        <f t="shared" si="310"/>
        <v>19588.55769149707</v>
      </c>
      <c r="K652" s="57">
        <f t="shared" si="310"/>
        <v>3839.1012876488335</v>
      </c>
      <c r="L652" s="57">
        <f t="shared" si="310"/>
        <v>1176.8732870924357</v>
      </c>
      <c r="M652" s="57">
        <f t="shared" si="310"/>
        <v>0</v>
      </c>
      <c r="N652" s="57">
        <f t="shared" si="310"/>
        <v>0</v>
      </c>
      <c r="O652" s="57">
        <f t="shared" si="310"/>
        <v>0</v>
      </c>
      <c r="P652" s="57">
        <f t="shared" si="310"/>
        <v>3392.9473381372077</v>
      </c>
      <c r="Q652" s="57">
        <f t="shared" si="310"/>
        <v>308.44975801247341</v>
      </c>
      <c r="R652" s="57">
        <f t="shared" si="310"/>
        <v>616.89951602494682</v>
      </c>
      <c r="S652" s="57">
        <f t="shared" si="310"/>
        <v>0</v>
      </c>
      <c r="T652" s="57">
        <f t="shared" si="310"/>
        <v>123.52410015596911</v>
      </c>
      <c r="U652" s="57">
        <f t="shared" si="310"/>
        <v>726.86435814321715</v>
      </c>
      <c r="V652" s="57">
        <f t="shared" si="310"/>
        <v>0</v>
      </c>
      <c r="W652" s="57">
        <f t="shared" si="310"/>
        <v>0</v>
      </c>
      <c r="X652" s="41">
        <f t="shared" si="310"/>
        <v>0</v>
      </c>
      <c r="Y652" s="41">
        <f t="shared" si="310"/>
        <v>0</v>
      </c>
      <c r="Z652" s="41">
        <f t="shared" si="310"/>
        <v>0</v>
      </c>
      <c r="AA652" s="43">
        <f>SUM(G652:Z652)</f>
        <v>359699.16850057972</v>
      </c>
      <c r="AB652" s="37" t="str">
        <f>IF(ABS(F652-AA652)&lt;0.01,"ok","err")</f>
        <v>ok</v>
      </c>
    </row>
    <row r="653" spans="1:28"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41"/>
      <c r="Y653" s="41"/>
      <c r="Z653" s="41"/>
      <c r="AA653" s="43"/>
    </row>
    <row r="654" spans="1:28">
      <c r="A654" s="44" t="s">
        <v>391</v>
      </c>
      <c r="F654" s="58"/>
    </row>
    <row r="655" spans="1:28">
      <c r="A655" s="45" t="s">
        <v>1199</v>
      </c>
      <c r="C655" s="39" t="s">
        <v>1181</v>
      </c>
      <c r="D655" s="39" t="s">
        <v>895</v>
      </c>
      <c r="E655" s="39" t="s">
        <v>1203</v>
      </c>
      <c r="F655" s="57">
        <f>VLOOKUP(C655,'Functional Assignment'!$C$2:$AP$725,'Functional Assignment'!$AB$2,)</f>
        <v>791158.64218513237</v>
      </c>
      <c r="G655" s="57">
        <f t="shared" ref="G655:Z655" si="311">IF(VLOOKUP($E655,$D$6:$AN$1197,3,)=0,0,(VLOOKUP($E655,$D$6:$AN$1197,G$2,)/VLOOKUP($E655,$D$6:$AN$1197,3,))*$F655)</f>
        <v>0</v>
      </c>
      <c r="H655" s="57">
        <f t="shared" si="311"/>
        <v>0</v>
      </c>
      <c r="I655" s="57">
        <f t="shared" si="311"/>
        <v>0</v>
      </c>
      <c r="J655" s="57">
        <f t="shared" si="311"/>
        <v>0</v>
      </c>
      <c r="K655" s="57">
        <f t="shared" si="311"/>
        <v>0</v>
      </c>
      <c r="L655" s="57">
        <f t="shared" si="311"/>
        <v>0</v>
      </c>
      <c r="M655" s="57">
        <f t="shared" si="311"/>
        <v>0</v>
      </c>
      <c r="N655" s="57">
        <f t="shared" si="311"/>
        <v>0</v>
      </c>
      <c r="O655" s="57">
        <f t="shared" si="311"/>
        <v>0</v>
      </c>
      <c r="P655" s="57">
        <f t="shared" si="311"/>
        <v>0</v>
      </c>
      <c r="Q655" s="57">
        <f t="shared" si="311"/>
        <v>0</v>
      </c>
      <c r="R655" s="57">
        <f t="shared" si="311"/>
        <v>0</v>
      </c>
      <c r="S655" s="57">
        <f t="shared" si="311"/>
        <v>791158.64218513237</v>
      </c>
      <c r="T655" s="57">
        <f t="shared" si="311"/>
        <v>0</v>
      </c>
      <c r="U655" s="57">
        <f t="shared" si="311"/>
        <v>0</v>
      </c>
      <c r="V655" s="57">
        <f t="shared" si="311"/>
        <v>0</v>
      </c>
      <c r="W655" s="57">
        <f t="shared" si="311"/>
        <v>0</v>
      </c>
      <c r="X655" s="41">
        <f t="shared" si="311"/>
        <v>0</v>
      </c>
      <c r="Y655" s="41">
        <f t="shared" si="311"/>
        <v>0</v>
      </c>
      <c r="Z655" s="41">
        <f t="shared" si="311"/>
        <v>0</v>
      </c>
      <c r="AA655" s="43">
        <f>SUM(G655:Z655)</f>
        <v>791158.64218513237</v>
      </c>
      <c r="AB655" s="37" t="str">
        <f>IF(ABS(F655-AA655)&lt;0.01,"ok","err")</f>
        <v>ok</v>
      </c>
    </row>
    <row r="656" spans="1:28"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41"/>
      <c r="Y656" s="41"/>
      <c r="Z656" s="41"/>
      <c r="AA656" s="43"/>
    </row>
    <row r="657" spans="1:28">
      <c r="A657" s="44" t="s">
        <v>1129</v>
      </c>
      <c r="F657" s="58"/>
    </row>
    <row r="658" spans="1:28">
      <c r="A658" s="45" t="s">
        <v>1199</v>
      </c>
      <c r="C658" s="39" t="s">
        <v>1181</v>
      </c>
      <c r="D658" s="39" t="s">
        <v>896</v>
      </c>
      <c r="E658" s="39" t="s">
        <v>1204</v>
      </c>
      <c r="F658" s="57">
        <f>VLOOKUP(C658,'Functional Assignment'!$C$2:$AP$725,'Functional Assignment'!$AC$2,)</f>
        <v>0</v>
      </c>
      <c r="G658" s="57">
        <f t="shared" ref="G658:Z658" si="312">IF(VLOOKUP($E658,$D$6:$AN$1197,3,)=0,0,(VLOOKUP($E658,$D$6:$AN$1197,G$2,)/VLOOKUP($E658,$D$6:$AN$1197,3,))*$F658)</f>
        <v>0</v>
      </c>
      <c r="H658" s="57">
        <f t="shared" si="312"/>
        <v>0</v>
      </c>
      <c r="I658" s="57">
        <f t="shared" si="312"/>
        <v>0</v>
      </c>
      <c r="J658" s="57">
        <f t="shared" si="312"/>
        <v>0</v>
      </c>
      <c r="K658" s="57">
        <f t="shared" si="312"/>
        <v>0</v>
      </c>
      <c r="L658" s="57">
        <f t="shared" si="312"/>
        <v>0</v>
      </c>
      <c r="M658" s="57">
        <f t="shared" si="312"/>
        <v>0</v>
      </c>
      <c r="N658" s="57">
        <f t="shared" si="312"/>
        <v>0</v>
      </c>
      <c r="O658" s="57">
        <f t="shared" si="312"/>
        <v>0</v>
      </c>
      <c r="P658" s="57">
        <f t="shared" si="312"/>
        <v>0</v>
      </c>
      <c r="Q658" s="57">
        <f t="shared" si="312"/>
        <v>0</v>
      </c>
      <c r="R658" s="57">
        <f t="shared" si="312"/>
        <v>0</v>
      </c>
      <c r="S658" s="57">
        <f t="shared" si="312"/>
        <v>0</v>
      </c>
      <c r="T658" s="57">
        <f t="shared" si="312"/>
        <v>0</v>
      </c>
      <c r="U658" s="57">
        <f t="shared" si="312"/>
        <v>0</v>
      </c>
      <c r="V658" s="57">
        <f t="shared" si="312"/>
        <v>0</v>
      </c>
      <c r="W658" s="57">
        <f t="shared" si="312"/>
        <v>0</v>
      </c>
      <c r="X658" s="41">
        <f t="shared" si="312"/>
        <v>0</v>
      </c>
      <c r="Y658" s="41">
        <f t="shared" si="312"/>
        <v>0</v>
      </c>
      <c r="Z658" s="41">
        <f t="shared" si="312"/>
        <v>0</v>
      </c>
      <c r="AA658" s="43">
        <f>SUM(G658:Z658)</f>
        <v>0</v>
      </c>
      <c r="AB658" s="37" t="str">
        <f>IF(ABS(F658-AA658)&lt;0.01,"ok","err")</f>
        <v>ok</v>
      </c>
    </row>
    <row r="659" spans="1:28"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41"/>
      <c r="Y659" s="41"/>
      <c r="Z659" s="41"/>
      <c r="AA659" s="43"/>
    </row>
    <row r="660" spans="1:28">
      <c r="A660" s="44" t="s">
        <v>368</v>
      </c>
      <c r="F660" s="58"/>
    </row>
    <row r="661" spans="1:28">
      <c r="A661" s="45" t="s">
        <v>1199</v>
      </c>
      <c r="C661" s="39" t="s">
        <v>1181</v>
      </c>
      <c r="D661" s="39" t="s">
        <v>897</v>
      </c>
      <c r="E661" s="39" t="s">
        <v>1204</v>
      </c>
      <c r="F661" s="57">
        <f>VLOOKUP(C661,'Functional Assignment'!$C$2:$AP$725,'Functional Assignment'!$AD$2,)</f>
        <v>0</v>
      </c>
      <c r="G661" s="57">
        <f t="shared" ref="G661:Z661" si="313">IF(VLOOKUP($E661,$D$6:$AN$1197,3,)=0,0,(VLOOKUP($E661,$D$6:$AN$1197,G$2,)/VLOOKUP($E661,$D$6:$AN$1197,3,))*$F661)</f>
        <v>0</v>
      </c>
      <c r="H661" s="57">
        <f t="shared" si="313"/>
        <v>0</v>
      </c>
      <c r="I661" s="57">
        <f t="shared" si="313"/>
        <v>0</v>
      </c>
      <c r="J661" s="57">
        <f t="shared" si="313"/>
        <v>0</v>
      </c>
      <c r="K661" s="57">
        <f t="shared" si="313"/>
        <v>0</v>
      </c>
      <c r="L661" s="57">
        <f t="shared" si="313"/>
        <v>0</v>
      </c>
      <c r="M661" s="57">
        <f t="shared" si="313"/>
        <v>0</v>
      </c>
      <c r="N661" s="57">
        <f t="shared" si="313"/>
        <v>0</v>
      </c>
      <c r="O661" s="57">
        <f t="shared" si="313"/>
        <v>0</v>
      </c>
      <c r="P661" s="57">
        <f t="shared" si="313"/>
        <v>0</v>
      </c>
      <c r="Q661" s="57">
        <f t="shared" si="313"/>
        <v>0</v>
      </c>
      <c r="R661" s="57">
        <f t="shared" si="313"/>
        <v>0</v>
      </c>
      <c r="S661" s="57">
        <f t="shared" si="313"/>
        <v>0</v>
      </c>
      <c r="T661" s="57">
        <f t="shared" si="313"/>
        <v>0</v>
      </c>
      <c r="U661" s="57">
        <f t="shared" si="313"/>
        <v>0</v>
      </c>
      <c r="V661" s="57">
        <f t="shared" si="313"/>
        <v>0</v>
      </c>
      <c r="W661" s="57">
        <f t="shared" si="313"/>
        <v>0</v>
      </c>
      <c r="X661" s="41">
        <f t="shared" si="313"/>
        <v>0</v>
      </c>
      <c r="Y661" s="41">
        <f t="shared" si="313"/>
        <v>0</v>
      </c>
      <c r="Z661" s="41">
        <f t="shared" si="313"/>
        <v>0</v>
      </c>
      <c r="AA661" s="43">
        <f>SUM(G661:Z661)</f>
        <v>0</v>
      </c>
      <c r="AB661" s="37" t="str">
        <f>IF(ABS(F661-AA661)&lt;0.01,"ok","err")</f>
        <v>ok</v>
      </c>
    </row>
    <row r="662" spans="1:28"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41"/>
      <c r="Y662" s="41"/>
      <c r="Z662" s="41"/>
      <c r="AA662" s="43"/>
    </row>
    <row r="663" spans="1:28">
      <c r="A663" s="44" t="s">
        <v>367</v>
      </c>
      <c r="F663" s="58"/>
    </row>
    <row r="664" spans="1:28">
      <c r="A664" s="45" t="s">
        <v>1199</v>
      </c>
      <c r="C664" s="39" t="s">
        <v>1181</v>
      </c>
      <c r="D664" s="39" t="s">
        <v>898</v>
      </c>
      <c r="E664" s="39" t="s">
        <v>1205</v>
      </c>
      <c r="F664" s="57">
        <f>VLOOKUP(C664,'Functional Assignment'!$C$2:$AP$725,'Functional Assignment'!$AE$2,)</f>
        <v>0</v>
      </c>
      <c r="G664" s="57">
        <f t="shared" ref="G664:Z664" si="314">IF(VLOOKUP($E664,$D$6:$AN$1197,3,)=0,0,(VLOOKUP($E664,$D$6:$AN$1197,G$2,)/VLOOKUP($E664,$D$6:$AN$1197,3,))*$F664)</f>
        <v>0</v>
      </c>
      <c r="H664" s="57">
        <f t="shared" si="314"/>
        <v>0</v>
      </c>
      <c r="I664" s="57">
        <f t="shared" si="314"/>
        <v>0</v>
      </c>
      <c r="J664" s="57">
        <f t="shared" si="314"/>
        <v>0</v>
      </c>
      <c r="K664" s="57">
        <f t="shared" si="314"/>
        <v>0</v>
      </c>
      <c r="L664" s="57">
        <f t="shared" si="314"/>
        <v>0</v>
      </c>
      <c r="M664" s="57">
        <f t="shared" si="314"/>
        <v>0</v>
      </c>
      <c r="N664" s="57">
        <f t="shared" si="314"/>
        <v>0</v>
      </c>
      <c r="O664" s="57">
        <f t="shared" si="314"/>
        <v>0</v>
      </c>
      <c r="P664" s="57">
        <f t="shared" si="314"/>
        <v>0</v>
      </c>
      <c r="Q664" s="57">
        <f t="shared" si="314"/>
        <v>0</v>
      </c>
      <c r="R664" s="57">
        <f t="shared" si="314"/>
        <v>0</v>
      </c>
      <c r="S664" s="57">
        <f t="shared" si="314"/>
        <v>0</v>
      </c>
      <c r="T664" s="57">
        <f t="shared" si="314"/>
        <v>0</v>
      </c>
      <c r="U664" s="57">
        <f t="shared" si="314"/>
        <v>0</v>
      </c>
      <c r="V664" s="57">
        <f t="shared" si="314"/>
        <v>0</v>
      </c>
      <c r="W664" s="57">
        <f t="shared" si="314"/>
        <v>0</v>
      </c>
      <c r="X664" s="41">
        <f t="shared" si="314"/>
        <v>0</v>
      </c>
      <c r="Y664" s="41">
        <f t="shared" si="314"/>
        <v>0</v>
      </c>
      <c r="Z664" s="41">
        <f t="shared" si="314"/>
        <v>0</v>
      </c>
      <c r="AA664" s="43">
        <f>SUM(G664:Z664)</f>
        <v>0</v>
      </c>
      <c r="AB664" s="37" t="str">
        <f>IF(ABS(F664-AA664)&lt;0.01,"ok","err")</f>
        <v>ok</v>
      </c>
    </row>
    <row r="665" spans="1:28"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41"/>
      <c r="Y665" s="41"/>
      <c r="Z665" s="41"/>
      <c r="AA665" s="43"/>
    </row>
    <row r="666" spans="1:28">
      <c r="A666" s="39" t="s">
        <v>1026</v>
      </c>
      <c r="D666" s="39" t="s">
        <v>899</v>
      </c>
      <c r="F666" s="57">
        <f>F621+F627+F630+F633+F641+F646+F649+F652+F655+F658+F661+F664</f>
        <v>34922372.929999985</v>
      </c>
      <c r="G666" s="57">
        <f t="shared" ref="G666:Z666" si="315">G621+G627+G630+G633+G641+G646+G649+G652+G655+G658+G661+G664</f>
        <v>16773109.076710684</v>
      </c>
      <c r="H666" s="57">
        <f t="shared" si="315"/>
        <v>4561055.1221019588</v>
      </c>
      <c r="I666" s="57">
        <f t="shared" si="315"/>
        <v>474301.43491385673</v>
      </c>
      <c r="J666" s="57">
        <f t="shared" si="315"/>
        <v>5467061.1647117203</v>
      </c>
      <c r="K666" s="57">
        <f t="shared" si="315"/>
        <v>3674102.9858968677</v>
      </c>
      <c r="L666" s="57">
        <f t="shared" si="315"/>
        <v>1359047.7518076538</v>
      </c>
      <c r="M666" s="57">
        <f t="shared" si="315"/>
        <v>0</v>
      </c>
      <c r="N666" s="57">
        <f t="shared" si="315"/>
        <v>0</v>
      </c>
      <c r="O666" s="57">
        <f>O621+O627+O630+O633+O641+O646+O649+O652+O655+O658+O661+O664</f>
        <v>0</v>
      </c>
      <c r="P666" s="57">
        <f t="shared" si="315"/>
        <v>975188.79024457908</v>
      </c>
      <c r="Q666" s="57">
        <f t="shared" si="315"/>
        <v>517685.05879723479</v>
      </c>
      <c r="R666" s="57">
        <f t="shared" si="315"/>
        <v>114441.87393004847</v>
      </c>
      <c r="S666" s="57">
        <f t="shared" si="315"/>
        <v>993775.25747413095</v>
      </c>
      <c r="T666" s="57">
        <f t="shared" si="315"/>
        <v>4430.7680392336097</v>
      </c>
      <c r="U666" s="57">
        <f t="shared" si="315"/>
        <v>8173.6453720168229</v>
      </c>
      <c r="V666" s="57">
        <f t="shared" si="315"/>
        <v>0</v>
      </c>
      <c r="W666" s="57">
        <f t="shared" si="315"/>
        <v>0</v>
      </c>
      <c r="X666" s="41">
        <f t="shared" si="315"/>
        <v>0</v>
      </c>
      <c r="Y666" s="41">
        <f t="shared" si="315"/>
        <v>0</v>
      </c>
      <c r="Z666" s="41">
        <f t="shared" si="315"/>
        <v>0</v>
      </c>
      <c r="AA666" s="43">
        <f>SUM(G666:Z666)</f>
        <v>34922372.929999985</v>
      </c>
      <c r="AB666" s="37" t="str">
        <f>IF(ABS(F666-AA666)&lt;0.01,"ok","err")</f>
        <v>ok</v>
      </c>
    </row>
    <row r="667" spans="1:28">
      <c r="A667" s="44" t="s">
        <v>989</v>
      </c>
    </row>
    <row r="668" spans="1:28">
      <c r="F668" s="59"/>
    </row>
    <row r="669" spans="1:28">
      <c r="A669" s="44" t="s">
        <v>1218</v>
      </c>
    </row>
    <row r="670" spans="1:28" s="39" customFormat="1">
      <c r="A670" s="45" t="s">
        <v>208</v>
      </c>
      <c r="D670" s="39" t="s">
        <v>1219</v>
      </c>
      <c r="E670" s="39" t="s">
        <v>130</v>
      </c>
      <c r="F670" s="57">
        <f>908373505.77-F680</f>
        <v>908666505.76999998</v>
      </c>
      <c r="G670" s="57">
        <f t="shared" ref="G670:P680" si="316">IF(VLOOKUP($E670,$D$6:$AN$1197,3,)=0,0,(VLOOKUP($E670,$D$6:$AN$1197,G$2,)/VLOOKUP($E670,$D$6:$AN$1197,3,))*$F670)</f>
        <v>364969257.4017607</v>
      </c>
      <c r="H670" s="57">
        <f t="shared" si="316"/>
        <v>136637414.18608224</v>
      </c>
      <c r="I670" s="57">
        <f t="shared" si="316"/>
        <v>17404835.793010276</v>
      </c>
      <c r="J670" s="57">
        <f t="shared" si="316"/>
        <v>178183329.65631917</v>
      </c>
      <c r="K670" s="57">
        <f t="shared" si="316"/>
        <v>112340937.83468169</v>
      </c>
      <c r="L670" s="57">
        <f t="shared" si="316"/>
        <v>37513760.64737428</v>
      </c>
      <c r="M670" s="57">
        <f t="shared" si="316"/>
        <v>0</v>
      </c>
      <c r="N670" s="57">
        <f t="shared" si="316"/>
        <v>0</v>
      </c>
      <c r="O670" s="57">
        <f t="shared" si="316"/>
        <v>0</v>
      </c>
      <c r="P670" s="57">
        <f t="shared" si="316"/>
        <v>29082432.333024383</v>
      </c>
      <c r="Q670" s="57">
        <f t="shared" ref="Q670:Z680" si="317">IF(VLOOKUP($E670,$D$6:$AN$1197,3,)=0,0,(VLOOKUP($E670,$D$6:$AN$1197,Q$2,)/VLOOKUP($E670,$D$6:$AN$1197,3,))*$F670)</f>
        <v>11996226.36867894</v>
      </c>
      <c r="R670" s="57">
        <f t="shared" si="317"/>
        <v>2852382.7681812849</v>
      </c>
      <c r="S670" s="57">
        <f t="shared" si="317"/>
        <v>17211691.720798388</v>
      </c>
      <c r="T670" s="57">
        <f t="shared" si="317"/>
        <v>217184.0441810601</v>
      </c>
      <c r="U670" s="57">
        <f t="shared" si="317"/>
        <v>257053.01590756178</v>
      </c>
      <c r="V670" s="57">
        <f t="shared" si="317"/>
        <v>0</v>
      </c>
      <c r="W670" s="57">
        <f t="shared" si="317"/>
        <v>0</v>
      </c>
      <c r="X670" s="57">
        <f t="shared" si="317"/>
        <v>0</v>
      </c>
      <c r="Y670" s="57">
        <f t="shared" si="317"/>
        <v>0</v>
      </c>
      <c r="Z670" s="57">
        <f t="shared" si="317"/>
        <v>0</v>
      </c>
      <c r="AA670" s="59">
        <f t="shared" ref="AA670:AA680" si="318">SUM(G670:Z670)</f>
        <v>908666505.76999998</v>
      </c>
      <c r="AB670" s="68" t="str">
        <f t="shared" ref="AB670:AB680" si="319">IF(ABS(F670-AA670)&lt;0.01,"ok","err")</f>
        <v>ok</v>
      </c>
    </row>
    <row r="671" spans="1:28" s="39" customFormat="1">
      <c r="A671" s="39" t="s">
        <v>912</v>
      </c>
      <c r="D671" s="39" t="s">
        <v>914</v>
      </c>
      <c r="E671" s="39" t="s">
        <v>1197</v>
      </c>
      <c r="F671" s="58">
        <v>78675999.329999998</v>
      </c>
      <c r="G671" s="58">
        <f t="shared" si="316"/>
        <v>28853942.465585265</v>
      </c>
      <c r="H671" s="58">
        <f t="shared" si="316"/>
        <v>9634540.3120389096</v>
      </c>
      <c r="I671" s="58">
        <f t="shared" si="316"/>
        <v>1571511.2634673819</v>
      </c>
      <c r="J671" s="58">
        <f t="shared" si="316"/>
        <v>15838927.305753274</v>
      </c>
      <c r="K671" s="58">
        <f t="shared" si="316"/>
        <v>12685825.508411225</v>
      </c>
      <c r="L671" s="58">
        <f t="shared" si="316"/>
        <v>4056353.8316485523</v>
      </c>
      <c r="M671" s="58">
        <f t="shared" si="316"/>
        <v>0</v>
      </c>
      <c r="N671" s="58">
        <f t="shared" si="316"/>
        <v>0</v>
      </c>
      <c r="O671" s="58">
        <f t="shared" si="316"/>
        <v>0</v>
      </c>
      <c r="P671" s="58">
        <f t="shared" si="316"/>
        <v>3443822.3211449645</v>
      </c>
      <c r="Q671" s="58">
        <f t="shared" si="317"/>
        <v>1445651.856469746</v>
      </c>
      <c r="R671" s="58">
        <f t="shared" si="317"/>
        <v>388503.39619656862</v>
      </c>
      <c r="S671" s="58">
        <f t="shared" si="317"/>
        <v>710682.88838825456</v>
      </c>
      <c r="T671" s="58">
        <f t="shared" si="317"/>
        <v>25189.152471414098</v>
      </c>
      <c r="U671" s="58">
        <f t="shared" si="317"/>
        <v>21049.028424454427</v>
      </c>
      <c r="V671" s="58">
        <f t="shared" si="317"/>
        <v>0</v>
      </c>
      <c r="W671" s="58">
        <f t="shared" si="317"/>
        <v>0</v>
      </c>
      <c r="X671" s="58">
        <f t="shared" si="317"/>
        <v>0</v>
      </c>
      <c r="Y671" s="58">
        <f t="shared" si="317"/>
        <v>0</v>
      </c>
      <c r="Z671" s="58">
        <f t="shared" si="317"/>
        <v>0</v>
      </c>
      <c r="AA671" s="58">
        <f t="shared" si="318"/>
        <v>78675999.330000028</v>
      </c>
      <c r="AB671" s="68" t="str">
        <f t="shared" si="319"/>
        <v>ok</v>
      </c>
    </row>
    <row r="672" spans="1:28" s="39" customFormat="1">
      <c r="A672" s="39" t="s">
        <v>913</v>
      </c>
      <c r="D672" s="39" t="s">
        <v>712</v>
      </c>
      <c r="E672" s="39" t="s">
        <v>919</v>
      </c>
      <c r="F672" s="58">
        <v>46874069.530000001</v>
      </c>
      <c r="G672" s="58">
        <f t="shared" si="316"/>
        <v>18135542.915934112</v>
      </c>
      <c r="H672" s="58">
        <f t="shared" si="316"/>
        <v>5995058.0139107686</v>
      </c>
      <c r="I672" s="58">
        <f t="shared" si="316"/>
        <v>880360.01923248335</v>
      </c>
      <c r="J672" s="58">
        <f t="shared" si="316"/>
        <v>9188146.2419840582</v>
      </c>
      <c r="K672" s="58">
        <f t="shared" si="316"/>
        <v>6982573.0155508611</v>
      </c>
      <c r="L672" s="58">
        <f t="shared" si="316"/>
        <v>2335272.187524301</v>
      </c>
      <c r="M672" s="58">
        <f t="shared" si="316"/>
        <v>0</v>
      </c>
      <c r="N672" s="58">
        <f t="shared" si="316"/>
        <v>0</v>
      </c>
      <c r="O672" s="58">
        <f t="shared" si="316"/>
        <v>0</v>
      </c>
      <c r="P672" s="58">
        <f t="shared" si="316"/>
        <v>1944552.8282930122</v>
      </c>
      <c r="Q672" s="58">
        <f t="shared" si="317"/>
        <v>859816.60446809232</v>
      </c>
      <c r="R672" s="58">
        <f t="shared" si="317"/>
        <v>214611.39830029733</v>
      </c>
      <c r="S672" s="58">
        <f t="shared" si="317"/>
        <v>315338.47167603404</v>
      </c>
      <c r="T672" s="58">
        <f t="shared" si="317"/>
        <v>11309.109555692725</v>
      </c>
      <c r="U672" s="58">
        <f t="shared" si="317"/>
        <v>11488.723570294647</v>
      </c>
      <c r="V672" s="58">
        <f t="shared" si="317"/>
        <v>0</v>
      </c>
      <c r="W672" s="58">
        <f t="shared" si="317"/>
        <v>0</v>
      </c>
      <c r="X672" s="58">
        <f t="shared" si="317"/>
        <v>0</v>
      </c>
      <c r="Y672" s="58">
        <f t="shared" si="317"/>
        <v>0</v>
      </c>
      <c r="Z672" s="58">
        <f t="shared" si="317"/>
        <v>0</v>
      </c>
      <c r="AA672" s="58">
        <f>SUM(G672:Z672)</f>
        <v>46874069.530000009</v>
      </c>
      <c r="AB672" s="68" t="str">
        <f t="shared" si="319"/>
        <v>ok</v>
      </c>
    </row>
    <row r="673" spans="1:29" s="39" customFormat="1">
      <c r="A673" s="45" t="s">
        <v>1276</v>
      </c>
      <c r="D673" s="39" t="s">
        <v>718</v>
      </c>
      <c r="E673" s="39" t="s">
        <v>1034</v>
      </c>
      <c r="F673" s="58">
        <v>0</v>
      </c>
      <c r="G673" s="58">
        <f t="shared" si="316"/>
        <v>0</v>
      </c>
      <c r="H673" s="58">
        <f t="shared" si="316"/>
        <v>0</v>
      </c>
      <c r="I673" s="58">
        <f t="shared" si="316"/>
        <v>0</v>
      </c>
      <c r="J673" s="58">
        <f t="shared" si="316"/>
        <v>0</v>
      </c>
      <c r="K673" s="58">
        <f t="shared" si="316"/>
        <v>0</v>
      </c>
      <c r="L673" s="58">
        <f t="shared" si="316"/>
        <v>0</v>
      </c>
      <c r="M673" s="58">
        <f t="shared" si="316"/>
        <v>0</v>
      </c>
      <c r="N673" s="58">
        <f t="shared" si="316"/>
        <v>0</v>
      </c>
      <c r="O673" s="58">
        <f t="shared" si="316"/>
        <v>0</v>
      </c>
      <c r="P673" s="58">
        <f t="shared" si="316"/>
        <v>0</v>
      </c>
      <c r="Q673" s="58">
        <f t="shared" si="317"/>
        <v>0</v>
      </c>
      <c r="R673" s="58">
        <f t="shared" si="317"/>
        <v>0</v>
      </c>
      <c r="S673" s="58">
        <f t="shared" si="317"/>
        <v>0</v>
      </c>
      <c r="T673" s="58">
        <f t="shared" si="317"/>
        <v>0</v>
      </c>
      <c r="U673" s="58">
        <f t="shared" si="317"/>
        <v>0</v>
      </c>
      <c r="V673" s="58">
        <f t="shared" si="317"/>
        <v>0</v>
      </c>
      <c r="W673" s="58">
        <f t="shared" si="317"/>
        <v>0</v>
      </c>
      <c r="X673" s="58">
        <f t="shared" si="317"/>
        <v>0</v>
      </c>
      <c r="Y673" s="58">
        <f t="shared" si="317"/>
        <v>0</v>
      </c>
      <c r="Z673" s="58">
        <f t="shared" si="317"/>
        <v>0</v>
      </c>
      <c r="AA673" s="58">
        <f t="shared" si="318"/>
        <v>0</v>
      </c>
      <c r="AB673" s="68" t="str">
        <f t="shared" si="319"/>
        <v>ok</v>
      </c>
    </row>
    <row r="674" spans="1:29" s="39" customFormat="1">
      <c r="A674" s="39" t="s">
        <v>1277</v>
      </c>
      <c r="E674" s="39" t="s">
        <v>1034</v>
      </c>
      <c r="F674" s="58">
        <v>2055719.7</v>
      </c>
      <c r="G674" s="58">
        <f t="shared" si="316"/>
        <v>753922.65054525365</v>
      </c>
      <c r="H674" s="58">
        <f t="shared" si="316"/>
        <v>251740.23194580927</v>
      </c>
      <c r="I674" s="58">
        <f t="shared" si="316"/>
        <v>41061.908213346716</v>
      </c>
      <c r="J674" s="58">
        <f t="shared" si="316"/>
        <v>413854.22703985026</v>
      </c>
      <c r="K674" s="58">
        <f t="shared" si="316"/>
        <v>331467.05005956575</v>
      </c>
      <c r="L674" s="58">
        <f t="shared" si="316"/>
        <v>105988.18639613729</v>
      </c>
      <c r="M674" s="58">
        <f t="shared" si="316"/>
        <v>0</v>
      </c>
      <c r="N674" s="58">
        <f t="shared" si="316"/>
        <v>0</v>
      </c>
      <c r="O674" s="58">
        <f t="shared" si="316"/>
        <v>0</v>
      </c>
      <c r="P674" s="58">
        <f t="shared" si="316"/>
        <v>89983.393273251102</v>
      </c>
      <c r="Q674" s="58">
        <f t="shared" si="317"/>
        <v>37773.336544747632</v>
      </c>
      <c r="R674" s="58">
        <f t="shared" si="317"/>
        <v>10151.178146823435</v>
      </c>
      <c r="S674" s="58">
        <f t="shared" si="317"/>
        <v>18569.383631019919</v>
      </c>
      <c r="T674" s="58">
        <f t="shared" si="317"/>
        <v>658.16560835274549</v>
      </c>
      <c r="U674" s="58">
        <f t="shared" si="317"/>
        <v>549.98859584248419</v>
      </c>
      <c r="V674" s="58">
        <f t="shared" si="317"/>
        <v>0</v>
      </c>
      <c r="W674" s="58">
        <f t="shared" si="317"/>
        <v>0</v>
      </c>
      <c r="X674" s="58">
        <f t="shared" si="317"/>
        <v>0</v>
      </c>
      <c r="Y674" s="58">
        <f t="shared" si="317"/>
        <v>0</v>
      </c>
      <c r="Z674" s="58">
        <f t="shared" si="317"/>
        <v>0</v>
      </c>
      <c r="AA674" s="58">
        <f t="shared" si="318"/>
        <v>2055719.7000000004</v>
      </c>
      <c r="AB674" s="68" t="str">
        <f t="shared" si="319"/>
        <v>ok</v>
      </c>
    </row>
    <row r="675" spans="1:29" s="39" customFormat="1">
      <c r="A675" s="39" t="s">
        <v>1278</v>
      </c>
      <c r="E675" s="39" t="s">
        <v>1034</v>
      </c>
      <c r="F675" s="58">
        <v>-4796798.57</v>
      </c>
      <c r="G675" s="58">
        <f t="shared" si="316"/>
        <v>-1759196.5928166581</v>
      </c>
      <c r="H675" s="58">
        <f t="shared" si="316"/>
        <v>-587408.48015861621</v>
      </c>
      <c r="I675" s="58">
        <f t="shared" si="316"/>
        <v>-95813.501519323268</v>
      </c>
      <c r="J675" s="58">
        <f t="shared" si="316"/>
        <v>-965683.87434007134</v>
      </c>
      <c r="K675" s="58">
        <f t="shared" si="316"/>
        <v>-773442.34806323226</v>
      </c>
      <c r="L675" s="58">
        <f t="shared" si="316"/>
        <v>-247311.91754492835</v>
      </c>
      <c r="M675" s="58">
        <f t="shared" si="316"/>
        <v>0</v>
      </c>
      <c r="N675" s="58">
        <f t="shared" si="316"/>
        <v>0</v>
      </c>
      <c r="O675" s="58">
        <f t="shared" si="316"/>
        <v>0</v>
      </c>
      <c r="P675" s="58">
        <f t="shared" si="316"/>
        <v>-209966.47168234002</v>
      </c>
      <c r="Q675" s="58">
        <f t="shared" si="317"/>
        <v>-88139.976827567589</v>
      </c>
      <c r="R675" s="58">
        <f t="shared" si="317"/>
        <v>-23686.671299836213</v>
      </c>
      <c r="S675" s="58">
        <f t="shared" si="317"/>
        <v>-43329.6391755441</v>
      </c>
      <c r="T675" s="58">
        <f t="shared" si="317"/>
        <v>-1535.7579386769655</v>
      </c>
      <c r="U675" s="58">
        <f t="shared" si="317"/>
        <v>-1283.338633206432</v>
      </c>
      <c r="V675" s="58">
        <f t="shared" si="317"/>
        <v>0</v>
      </c>
      <c r="W675" s="58">
        <f t="shared" si="317"/>
        <v>0</v>
      </c>
      <c r="X675" s="58">
        <f t="shared" si="317"/>
        <v>0</v>
      </c>
      <c r="Y675" s="58">
        <f t="shared" si="317"/>
        <v>0</v>
      </c>
      <c r="Z675" s="58">
        <f t="shared" si="317"/>
        <v>0</v>
      </c>
      <c r="AA675" s="58">
        <f t="shared" si="318"/>
        <v>-4796798.5700000012</v>
      </c>
      <c r="AB675" s="68" t="str">
        <f t="shared" si="319"/>
        <v>ok</v>
      </c>
    </row>
    <row r="676" spans="1:29" s="39" customFormat="1">
      <c r="A676" s="39" t="s">
        <v>713</v>
      </c>
      <c r="D676" s="39" t="s">
        <v>714</v>
      </c>
      <c r="E676" s="39" t="s">
        <v>785</v>
      </c>
      <c r="F676" s="58">
        <v>5456485.5300000003</v>
      </c>
      <c r="G676" s="58">
        <f t="shared" si="316"/>
        <v>4190878.91</v>
      </c>
      <c r="H676" s="58">
        <f t="shared" si="316"/>
        <v>944053.52000000014</v>
      </c>
      <c r="I676" s="58">
        <f t="shared" si="316"/>
        <v>10699.580000000002</v>
      </c>
      <c r="J676" s="58">
        <f t="shared" si="316"/>
        <v>193797.68999999994</v>
      </c>
      <c r="K676" s="58">
        <f t="shared" si="316"/>
        <v>71158.31</v>
      </c>
      <c r="L676" s="58">
        <f t="shared" si="316"/>
        <v>40121.149999999994</v>
      </c>
      <c r="M676" s="58">
        <f t="shared" si="316"/>
        <v>0</v>
      </c>
      <c r="N676" s="58">
        <f t="shared" si="316"/>
        <v>0</v>
      </c>
      <c r="O676" s="58">
        <f t="shared" si="316"/>
        <v>0</v>
      </c>
      <c r="P676" s="58">
        <f t="shared" si="316"/>
        <v>5776.369999999999</v>
      </c>
      <c r="Q676" s="58">
        <f t="shared" si="317"/>
        <v>0</v>
      </c>
      <c r="R676" s="58">
        <f t="shared" si="317"/>
        <v>0</v>
      </c>
      <c r="S676" s="58">
        <f t="shared" si="317"/>
        <v>0</v>
      </c>
      <c r="T676" s="58">
        <f t="shared" si="317"/>
        <v>0</v>
      </c>
      <c r="U676" s="58">
        <f t="shared" si="317"/>
        <v>0</v>
      </c>
      <c r="V676" s="58">
        <f t="shared" si="317"/>
        <v>0</v>
      </c>
      <c r="W676" s="58">
        <f t="shared" si="317"/>
        <v>0</v>
      </c>
      <c r="X676" s="58">
        <f t="shared" si="317"/>
        <v>0</v>
      </c>
      <c r="Y676" s="58">
        <f t="shared" si="317"/>
        <v>0</v>
      </c>
      <c r="Z676" s="58">
        <f t="shared" si="317"/>
        <v>0</v>
      </c>
      <c r="AA676" s="58">
        <f t="shared" si="318"/>
        <v>5456485.5300000012</v>
      </c>
      <c r="AB676" s="68" t="str">
        <f t="shared" si="319"/>
        <v>ok</v>
      </c>
    </row>
    <row r="677" spans="1:29" s="39" customFormat="1">
      <c r="A677" s="39" t="s">
        <v>715</v>
      </c>
      <c r="D677" s="39" t="s">
        <v>43</v>
      </c>
      <c r="E677" s="39" t="s">
        <v>197</v>
      </c>
      <c r="F677" s="58">
        <v>1623075.21</v>
      </c>
      <c r="G677" s="58">
        <f t="shared" si="316"/>
        <v>1371660.8599709999</v>
      </c>
      <c r="H677" s="58">
        <f t="shared" si="316"/>
        <v>251414.35002900002</v>
      </c>
      <c r="I677" s="58">
        <f t="shared" si="316"/>
        <v>0</v>
      </c>
      <c r="J677" s="58">
        <f t="shared" si="316"/>
        <v>0</v>
      </c>
      <c r="K677" s="58">
        <f t="shared" si="316"/>
        <v>0</v>
      </c>
      <c r="L677" s="58">
        <f t="shared" si="316"/>
        <v>0</v>
      </c>
      <c r="M677" s="58">
        <f t="shared" si="316"/>
        <v>0</v>
      </c>
      <c r="N677" s="58">
        <f t="shared" si="316"/>
        <v>0</v>
      </c>
      <c r="O677" s="58">
        <f t="shared" si="316"/>
        <v>0</v>
      </c>
      <c r="P677" s="58">
        <f t="shared" si="316"/>
        <v>0</v>
      </c>
      <c r="Q677" s="58">
        <f t="shared" si="317"/>
        <v>0</v>
      </c>
      <c r="R677" s="58">
        <f t="shared" si="317"/>
        <v>0</v>
      </c>
      <c r="S677" s="58">
        <f t="shared" si="317"/>
        <v>0</v>
      </c>
      <c r="T677" s="58">
        <f t="shared" si="317"/>
        <v>0</v>
      </c>
      <c r="U677" s="58">
        <f t="shared" si="317"/>
        <v>0</v>
      </c>
      <c r="V677" s="58">
        <f t="shared" si="317"/>
        <v>0</v>
      </c>
      <c r="W677" s="58">
        <f t="shared" si="317"/>
        <v>0</v>
      </c>
      <c r="X677" s="58">
        <f t="shared" si="317"/>
        <v>0</v>
      </c>
      <c r="Y677" s="58">
        <f t="shared" si="317"/>
        <v>0</v>
      </c>
      <c r="Z677" s="58">
        <f t="shared" si="317"/>
        <v>0</v>
      </c>
      <c r="AA677" s="58">
        <f t="shared" si="318"/>
        <v>1623075.21</v>
      </c>
      <c r="AB677" s="68" t="str">
        <f t="shared" si="319"/>
        <v>ok</v>
      </c>
      <c r="AC677" s="126"/>
    </row>
    <row r="678" spans="1:29" s="39" customFormat="1">
      <c r="A678" s="45" t="s">
        <v>716</v>
      </c>
      <c r="E678" s="39" t="s">
        <v>1210</v>
      </c>
      <c r="F678" s="58">
        <v>2958356.71</v>
      </c>
      <c r="G678" s="58">
        <f t="shared" si="316"/>
        <v>1434750.0850012416</v>
      </c>
      <c r="H678" s="58">
        <f t="shared" si="316"/>
        <v>384509.27205845207</v>
      </c>
      <c r="I678" s="58">
        <f t="shared" si="316"/>
        <v>39538.12442990522</v>
      </c>
      <c r="J678" s="58">
        <f t="shared" si="316"/>
        <v>455580.04804225877</v>
      </c>
      <c r="K678" s="58">
        <f t="shared" si="316"/>
        <v>307171.85850903048</v>
      </c>
      <c r="L678" s="58">
        <f t="shared" si="316"/>
        <v>113218.9454581063</v>
      </c>
      <c r="M678" s="58">
        <f t="shared" si="316"/>
        <v>0</v>
      </c>
      <c r="N678" s="58">
        <f t="shared" si="316"/>
        <v>0</v>
      </c>
      <c r="O678" s="58">
        <f t="shared" si="316"/>
        <v>0</v>
      </c>
      <c r="P678" s="58">
        <f t="shared" si="316"/>
        <v>80419.551110403976</v>
      </c>
      <c r="Q678" s="58">
        <f t="shared" si="317"/>
        <v>42896.286303549525</v>
      </c>
      <c r="R678" s="58">
        <f t="shared" si="317"/>
        <v>9571.3845727181706</v>
      </c>
      <c r="S678" s="58">
        <f t="shared" si="317"/>
        <v>89600.615498203639</v>
      </c>
      <c r="T678" s="58">
        <f t="shared" si="317"/>
        <v>395.30747545483899</v>
      </c>
      <c r="U678" s="58">
        <f t="shared" si="317"/>
        <v>705.23154067563985</v>
      </c>
      <c r="V678" s="58">
        <f t="shared" si="317"/>
        <v>0</v>
      </c>
      <c r="W678" s="58">
        <f t="shared" si="317"/>
        <v>0</v>
      </c>
      <c r="X678" s="58">
        <f t="shared" si="317"/>
        <v>0</v>
      </c>
      <c r="Y678" s="58">
        <f t="shared" si="317"/>
        <v>0</v>
      </c>
      <c r="Z678" s="58">
        <f t="shared" si="317"/>
        <v>0</v>
      </c>
      <c r="AA678" s="58">
        <f t="shared" si="318"/>
        <v>2958356.7100000009</v>
      </c>
      <c r="AB678" s="68" t="str">
        <f t="shared" si="319"/>
        <v>ok</v>
      </c>
    </row>
    <row r="679" spans="1:29" s="39" customFormat="1">
      <c r="A679" s="45" t="s">
        <v>717</v>
      </c>
      <c r="E679" s="39" t="s">
        <v>1210</v>
      </c>
      <c r="F679" s="58">
        <v>6683812.3899999997</v>
      </c>
      <c r="G679" s="58">
        <f t="shared" si="316"/>
        <v>3241529.4485176713</v>
      </c>
      <c r="H679" s="58">
        <f t="shared" si="316"/>
        <v>868721.41820049915</v>
      </c>
      <c r="I679" s="58">
        <f t="shared" si="316"/>
        <v>89328.44543346572</v>
      </c>
      <c r="J679" s="58">
        <f t="shared" si="316"/>
        <v>1029291.5521136206</v>
      </c>
      <c r="K679" s="58">
        <f t="shared" si="316"/>
        <v>693993.07623115694</v>
      </c>
      <c r="L679" s="58">
        <f t="shared" si="316"/>
        <v>255795.45153485739</v>
      </c>
      <c r="M679" s="58">
        <f t="shared" si="316"/>
        <v>0</v>
      </c>
      <c r="N679" s="58">
        <f t="shared" si="316"/>
        <v>0</v>
      </c>
      <c r="O679" s="58">
        <f t="shared" si="316"/>
        <v>0</v>
      </c>
      <c r="P679" s="58">
        <f t="shared" si="316"/>
        <v>181691.81231358551</v>
      </c>
      <c r="Q679" s="58">
        <f t="shared" si="317"/>
        <v>96915.537234403222</v>
      </c>
      <c r="R679" s="58">
        <f t="shared" si="317"/>
        <v>21624.619701992786</v>
      </c>
      <c r="S679" s="58">
        <f t="shared" si="317"/>
        <v>202434.58200769828</v>
      </c>
      <c r="T679" s="58">
        <f t="shared" si="317"/>
        <v>893.11778845786102</v>
      </c>
      <c r="U679" s="58">
        <f t="shared" si="317"/>
        <v>1593.3289225918368</v>
      </c>
      <c r="V679" s="58">
        <f t="shared" si="317"/>
        <v>0</v>
      </c>
      <c r="W679" s="58">
        <f t="shared" si="317"/>
        <v>0</v>
      </c>
      <c r="X679" s="58">
        <f t="shared" si="317"/>
        <v>0</v>
      </c>
      <c r="Y679" s="58">
        <f t="shared" si="317"/>
        <v>0</v>
      </c>
      <c r="Z679" s="58">
        <f t="shared" si="317"/>
        <v>0</v>
      </c>
      <c r="AA679" s="58">
        <f t="shared" si="318"/>
        <v>6683812.3900000006</v>
      </c>
      <c r="AB679" s="68" t="str">
        <f t="shared" si="319"/>
        <v>ok</v>
      </c>
    </row>
    <row r="680" spans="1:29" s="39" customFormat="1">
      <c r="A680" s="45" t="s">
        <v>719</v>
      </c>
      <c r="D680" s="39" t="s">
        <v>720</v>
      </c>
      <c r="E680" s="39" t="s">
        <v>130</v>
      </c>
      <c r="F680" s="104">
        <v>-293000</v>
      </c>
      <c r="G680" s="104">
        <f t="shared" si="316"/>
        <v>-117684.53193737872</v>
      </c>
      <c r="H680" s="104">
        <f t="shared" si="316"/>
        <v>-44058.807166658815</v>
      </c>
      <c r="I680" s="104">
        <f t="shared" si="316"/>
        <v>-5612.1985953808407</v>
      </c>
      <c r="J680" s="104">
        <f t="shared" si="316"/>
        <v>-57455.309794940586</v>
      </c>
      <c r="K680" s="104">
        <f t="shared" si="316"/>
        <v>-36224.395393190985</v>
      </c>
      <c r="L680" s="104">
        <f t="shared" si="316"/>
        <v>-12096.332152538722</v>
      </c>
      <c r="M680" s="104">
        <f t="shared" si="316"/>
        <v>0</v>
      </c>
      <c r="N680" s="104">
        <f t="shared" si="316"/>
        <v>0</v>
      </c>
      <c r="O680" s="104">
        <f t="shared" si="316"/>
        <v>0</v>
      </c>
      <c r="P680" s="104">
        <f t="shared" si="316"/>
        <v>-9377.6458353720845</v>
      </c>
      <c r="Q680" s="104">
        <f t="shared" si="317"/>
        <v>-3868.1895983878308</v>
      </c>
      <c r="R680" s="104">
        <f t="shared" si="317"/>
        <v>-919.75234673023101</v>
      </c>
      <c r="S680" s="104">
        <f t="shared" si="317"/>
        <v>-5549.919186160042</v>
      </c>
      <c r="T680" s="104">
        <f t="shared" si="317"/>
        <v>-70.031111019247547</v>
      </c>
      <c r="U680" s="104">
        <f t="shared" si="317"/>
        <v>-82.886882241898761</v>
      </c>
      <c r="V680" s="104">
        <f t="shared" si="317"/>
        <v>0</v>
      </c>
      <c r="W680" s="104">
        <f t="shared" si="317"/>
        <v>0</v>
      </c>
      <c r="X680" s="104">
        <f t="shared" si="317"/>
        <v>0</v>
      </c>
      <c r="Y680" s="104">
        <f t="shared" si="317"/>
        <v>0</v>
      </c>
      <c r="Z680" s="104">
        <f t="shared" si="317"/>
        <v>0</v>
      </c>
      <c r="AA680" s="104">
        <f t="shared" si="318"/>
        <v>-292999.99999999994</v>
      </c>
      <c r="AB680" s="105" t="str">
        <f t="shared" si="319"/>
        <v>ok</v>
      </c>
    </row>
    <row r="681" spans="1:29" s="39" customFormat="1">
      <c r="AA681" s="59"/>
    </row>
    <row r="682" spans="1:29" s="39" customFormat="1">
      <c r="A682" s="39" t="s">
        <v>1220</v>
      </c>
      <c r="D682" s="39" t="s">
        <v>1221</v>
      </c>
      <c r="F682" s="59">
        <f>SUM(F670:F681)</f>
        <v>1047904225.6</v>
      </c>
      <c r="G682" s="59">
        <f t="shared" ref="G682:Z682" si="320">SUM(G670:G681)</f>
        <v>421074603.61256123</v>
      </c>
      <c r="H682" s="59">
        <f t="shared" si="320"/>
        <v>154335984.01694039</v>
      </c>
      <c r="I682" s="59">
        <f t="shared" si="320"/>
        <v>19935909.433672149</v>
      </c>
      <c r="J682" s="59">
        <f t="shared" si="320"/>
        <v>204279787.53711724</v>
      </c>
      <c r="K682" s="59">
        <f t="shared" si="320"/>
        <v>132603459.90998712</v>
      </c>
      <c r="L682" s="59">
        <f t="shared" si="320"/>
        <v>44161102.150238767</v>
      </c>
      <c r="M682" s="59">
        <f t="shared" si="320"/>
        <v>0</v>
      </c>
      <c r="N682" s="59">
        <f t="shared" si="320"/>
        <v>0</v>
      </c>
      <c r="O682" s="59">
        <f>SUM(O670:O681)</f>
        <v>0</v>
      </c>
      <c r="P682" s="59">
        <f t="shared" si="320"/>
        <v>34609334.491641887</v>
      </c>
      <c r="Q682" s="59">
        <f t="shared" si="320"/>
        <v>14387271.823273527</v>
      </c>
      <c r="R682" s="59">
        <f t="shared" si="320"/>
        <v>3472238.3214531187</v>
      </c>
      <c r="S682" s="59">
        <f t="shared" si="320"/>
        <v>18499438.103637893</v>
      </c>
      <c r="T682" s="59">
        <f t="shared" si="320"/>
        <v>254023.10803073616</v>
      </c>
      <c r="U682" s="59">
        <f t="shared" si="320"/>
        <v>291073.09144597244</v>
      </c>
      <c r="V682" s="59">
        <f t="shared" si="320"/>
        <v>0</v>
      </c>
      <c r="W682" s="59">
        <f t="shared" si="320"/>
        <v>0</v>
      </c>
      <c r="X682" s="59">
        <f t="shared" si="320"/>
        <v>0</v>
      </c>
      <c r="Y682" s="59">
        <f t="shared" si="320"/>
        <v>0</v>
      </c>
      <c r="Z682" s="59">
        <f t="shared" si="320"/>
        <v>0</v>
      </c>
      <c r="AA682" s="59">
        <f>SUM(G682:Z682)</f>
        <v>1047904225.5999999</v>
      </c>
      <c r="AB682" s="68" t="str">
        <f>IF(ABS(F682-AA682)&lt;0.01,"ok","err")</f>
        <v>ok</v>
      </c>
    </row>
    <row r="683" spans="1:29" s="39" customFormat="1">
      <c r="C683" s="59"/>
      <c r="D683" s="59"/>
      <c r="E683" s="59"/>
      <c r="F683" s="59"/>
      <c r="G683" s="59"/>
      <c r="H683" s="59"/>
      <c r="I683" s="59"/>
    </row>
    <row r="684" spans="1:29" s="39" customFormat="1">
      <c r="A684" s="44" t="s">
        <v>1222</v>
      </c>
      <c r="F684" s="59"/>
      <c r="G684" s="59"/>
    </row>
    <row r="685" spans="1:29" s="39" customFormat="1">
      <c r="A685" s="45" t="s">
        <v>1223</v>
      </c>
      <c r="F685" s="59">
        <f t="shared" ref="F685:Z685" si="321">F225</f>
        <v>728886233.41999996</v>
      </c>
      <c r="G685" s="59">
        <f t="shared" si="321"/>
        <v>305307217.92472637</v>
      </c>
      <c r="H685" s="59">
        <f t="shared" si="321"/>
        <v>93902408.21785973</v>
      </c>
      <c r="I685" s="59">
        <f t="shared" si="321"/>
        <v>12711406.609503428</v>
      </c>
      <c r="J685" s="59">
        <f t="shared" si="321"/>
        <v>132081405.25457406</v>
      </c>
      <c r="K685" s="59">
        <f t="shared" si="321"/>
        <v>101149914.31181432</v>
      </c>
      <c r="L685" s="59">
        <f t="shared" si="321"/>
        <v>33505511.516874291</v>
      </c>
      <c r="M685" s="59">
        <f t="shared" si="321"/>
        <v>0</v>
      </c>
      <c r="N685" s="59">
        <f t="shared" si="321"/>
        <v>0</v>
      </c>
      <c r="O685" s="59">
        <f>O225</f>
        <v>0</v>
      </c>
      <c r="P685" s="59">
        <f t="shared" si="321"/>
        <v>27195885.448624581</v>
      </c>
      <c r="Q685" s="59">
        <f t="shared" si="321"/>
        <v>12077570.071295293</v>
      </c>
      <c r="R685" s="59">
        <f t="shared" si="321"/>
        <v>3118170.5959075131</v>
      </c>
      <c r="S685" s="59">
        <f t="shared" si="321"/>
        <v>7447585.5020030765</v>
      </c>
      <c r="T685" s="59">
        <f t="shared" si="321"/>
        <v>188006.2921055039</v>
      </c>
      <c r="U685" s="59">
        <f t="shared" si="321"/>
        <v>201151.67471183612</v>
      </c>
      <c r="V685" s="59">
        <f t="shared" si="321"/>
        <v>0</v>
      </c>
      <c r="W685" s="59">
        <f t="shared" si="321"/>
        <v>0</v>
      </c>
      <c r="X685" s="59">
        <f t="shared" si="321"/>
        <v>0</v>
      </c>
      <c r="Y685" s="59">
        <f t="shared" si="321"/>
        <v>0</v>
      </c>
      <c r="Z685" s="59">
        <f t="shared" si="321"/>
        <v>0</v>
      </c>
      <c r="AA685" s="59">
        <f t="shared" ref="AA685:AA691" si="322">SUM(G685:Z685)</f>
        <v>728886233.42000008</v>
      </c>
      <c r="AB685" s="68" t="str">
        <f t="shared" ref="AB685:AB696" si="323">IF(ABS(F685-AA685)&lt;0.01,"ok","err")</f>
        <v>ok</v>
      </c>
    </row>
    <row r="686" spans="1:29" s="39" customFormat="1">
      <c r="A686" s="45" t="s">
        <v>1442</v>
      </c>
      <c r="F686" s="58">
        <f>F335</f>
        <v>121970362.90470001</v>
      </c>
      <c r="G686" s="58">
        <f t="shared" ref="G686:P686" si="324">G335</f>
        <v>57061244.857888818</v>
      </c>
      <c r="H686" s="58">
        <f t="shared" si="324"/>
        <v>16073908.150163444</v>
      </c>
      <c r="I686" s="58">
        <f t="shared" si="324"/>
        <v>1738469.1876829516</v>
      </c>
      <c r="J686" s="58">
        <f t="shared" si="324"/>
        <v>19861565.604748726</v>
      </c>
      <c r="K686" s="58">
        <f t="shared" si="324"/>
        <v>13434929.144042499</v>
      </c>
      <c r="L686" s="58">
        <f t="shared" si="324"/>
        <v>4948009.9062614674</v>
      </c>
      <c r="M686" s="58">
        <f t="shared" si="324"/>
        <v>0</v>
      </c>
      <c r="N686" s="58">
        <f t="shared" si="324"/>
        <v>0</v>
      </c>
      <c r="O686" s="58">
        <f>O335</f>
        <v>0</v>
      </c>
      <c r="P686" s="58">
        <f t="shared" si="324"/>
        <v>3651488.3104545465</v>
      </c>
      <c r="Q686" s="58">
        <f>Q335</f>
        <v>1893564.8548977433</v>
      </c>
      <c r="R686" s="58">
        <f t="shared" ref="R686:Z686" si="325">R335</f>
        <v>417843.82407441281</v>
      </c>
      <c r="S686" s="58">
        <f t="shared" si="325"/>
        <v>2846150.819896251</v>
      </c>
      <c r="T686" s="58">
        <f t="shared" si="325"/>
        <v>15237.906819812815</v>
      </c>
      <c r="U686" s="58">
        <f t="shared" si="325"/>
        <v>27950.337769323643</v>
      </c>
      <c r="V686" s="58">
        <f t="shared" si="325"/>
        <v>0</v>
      </c>
      <c r="W686" s="58">
        <f t="shared" si="325"/>
        <v>0</v>
      </c>
      <c r="X686" s="58">
        <f t="shared" si="325"/>
        <v>0</v>
      </c>
      <c r="Y686" s="58">
        <f t="shared" si="325"/>
        <v>0</v>
      </c>
      <c r="Z686" s="58">
        <f t="shared" si="325"/>
        <v>0</v>
      </c>
      <c r="AA686" s="58">
        <f t="shared" si="322"/>
        <v>121970362.9047</v>
      </c>
      <c r="AB686" s="68" t="str">
        <f t="shared" si="323"/>
        <v>ok</v>
      </c>
    </row>
    <row r="687" spans="1:29" s="39" customFormat="1">
      <c r="A687" s="85" t="s">
        <v>297</v>
      </c>
      <c r="F687" s="58">
        <f>F391</f>
        <v>-3858162.4899999998</v>
      </c>
      <c r="G687" s="58">
        <f t="shared" ref="G687:Z687" si="326">G391</f>
        <v>-1623917.5905385963</v>
      </c>
      <c r="H687" s="58">
        <f t="shared" si="326"/>
        <v>-525580.78808930912</v>
      </c>
      <c r="I687" s="58">
        <f t="shared" si="326"/>
        <v>-64743.296570773055</v>
      </c>
      <c r="J687" s="58">
        <f t="shared" si="326"/>
        <v>-719597.74509817176</v>
      </c>
      <c r="K687" s="58">
        <f t="shared" si="326"/>
        <v>-496724.1315180735</v>
      </c>
      <c r="L687" s="58">
        <f t="shared" si="326"/>
        <v>-180489.25763131847</v>
      </c>
      <c r="M687" s="58">
        <f t="shared" si="326"/>
        <v>0</v>
      </c>
      <c r="N687" s="58">
        <f t="shared" si="326"/>
        <v>0</v>
      </c>
      <c r="O687" s="58">
        <f>O391</f>
        <v>0</v>
      </c>
      <c r="P687" s="58">
        <f t="shared" si="326"/>
        <v>-144733.63659718577</v>
      </c>
      <c r="Q687" s="58">
        <f t="shared" si="326"/>
        <v>-70074.685919132928</v>
      </c>
      <c r="R687" s="58">
        <f t="shared" si="326"/>
        <v>-15377.054329954299</v>
      </c>
      <c r="S687" s="58">
        <f t="shared" si="326"/>
        <v>-15657.472904311726</v>
      </c>
      <c r="T687" s="58">
        <f t="shared" si="326"/>
        <v>-453.7840772854309</v>
      </c>
      <c r="U687" s="58">
        <f t="shared" si="326"/>
        <v>-813.04672588736389</v>
      </c>
      <c r="V687" s="58">
        <f t="shared" si="326"/>
        <v>0</v>
      </c>
      <c r="W687" s="58">
        <f t="shared" si="326"/>
        <v>0</v>
      </c>
      <c r="X687" s="58">
        <f t="shared" si="326"/>
        <v>0</v>
      </c>
      <c r="Y687" s="58">
        <f t="shared" si="326"/>
        <v>0</v>
      </c>
      <c r="Z687" s="58">
        <f t="shared" si="326"/>
        <v>0</v>
      </c>
      <c r="AA687" s="58">
        <f>SUM(G687:Z687)</f>
        <v>-3858162.49</v>
      </c>
      <c r="AB687" s="68" t="str">
        <f t="shared" si="323"/>
        <v>ok</v>
      </c>
    </row>
    <row r="688" spans="1:29" s="39" customFormat="1">
      <c r="A688" s="45" t="s">
        <v>866</v>
      </c>
      <c r="F688" s="58">
        <f>F446</f>
        <v>1651509.7999999998</v>
      </c>
      <c r="G688" s="58">
        <f t="shared" ref="G688:Z688" si="327">G446</f>
        <v>698452.09355028602</v>
      </c>
      <c r="H688" s="58">
        <f t="shared" si="327"/>
        <v>224663.46391621223</v>
      </c>
      <c r="I688" s="58">
        <f t="shared" si="327"/>
        <v>27534.689039482153</v>
      </c>
      <c r="J688" s="58">
        <f t="shared" si="327"/>
        <v>306351.00610266381</v>
      </c>
      <c r="K688" s="58">
        <f t="shared" si="327"/>
        <v>211308.25945985728</v>
      </c>
      <c r="L688" s="58">
        <f t="shared" si="327"/>
        <v>76819.301869082061</v>
      </c>
      <c r="M688" s="58">
        <f t="shared" si="327"/>
        <v>0</v>
      </c>
      <c r="N688" s="58">
        <f t="shared" si="327"/>
        <v>0</v>
      </c>
      <c r="O688" s="58">
        <f>O446</f>
        <v>0</v>
      </c>
      <c r="P688" s="58">
        <f t="shared" si="327"/>
        <v>61417.381431490459</v>
      </c>
      <c r="Q688" s="58">
        <f t="shared" si="327"/>
        <v>29809.011039821791</v>
      </c>
      <c r="R688" s="58">
        <f t="shared" si="327"/>
        <v>6542.5816874179081</v>
      </c>
      <c r="S688" s="58">
        <f t="shared" si="327"/>
        <v>8067.9139680640419</v>
      </c>
      <c r="T688" s="58">
        <f t="shared" si="327"/>
        <v>194.76322030287625</v>
      </c>
      <c r="U688" s="58">
        <f t="shared" si="327"/>
        <v>349.33471531944878</v>
      </c>
      <c r="V688" s="58">
        <f t="shared" si="327"/>
        <v>0</v>
      </c>
      <c r="W688" s="58">
        <f t="shared" si="327"/>
        <v>0</v>
      </c>
      <c r="X688" s="58">
        <f t="shared" si="327"/>
        <v>0</v>
      </c>
      <c r="Y688" s="58">
        <f t="shared" si="327"/>
        <v>0</v>
      </c>
      <c r="Z688" s="58">
        <f t="shared" si="327"/>
        <v>0</v>
      </c>
      <c r="AA688" s="58">
        <f>SUM(G688:Z688)</f>
        <v>1651509.8000000003</v>
      </c>
      <c r="AB688" s="68" t="str">
        <f t="shared" si="323"/>
        <v>ok</v>
      </c>
    </row>
    <row r="689" spans="1:28" s="39" customFormat="1">
      <c r="A689" s="39" t="s">
        <v>1274</v>
      </c>
      <c r="E689" s="39" t="s">
        <v>552</v>
      </c>
      <c r="F689" s="58">
        <v>0</v>
      </c>
      <c r="G689" s="58">
        <f t="shared" ref="G689:P690" si="328">IF(VLOOKUP($E689,$D$6:$AN$1197,3,)=0,0,(VLOOKUP($E689,$D$6:$AN$1197,G$2,)/VLOOKUP($E689,$D$6:$AN$1197,3,))*$F689)</f>
        <v>0</v>
      </c>
      <c r="H689" s="58">
        <f t="shared" si="328"/>
        <v>0</v>
      </c>
      <c r="I689" s="58">
        <f t="shared" si="328"/>
        <v>0</v>
      </c>
      <c r="J689" s="58">
        <f t="shared" si="328"/>
        <v>0</v>
      </c>
      <c r="K689" s="58">
        <f t="shared" si="328"/>
        <v>0</v>
      </c>
      <c r="L689" s="58">
        <f t="shared" si="328"/>
        <v>0</v>
      </c>
      <c r="M689" s="58">
        <f t="shared" si="328"/>
        <v>0</v>
      </c>
      <c r="N689" s="58">
        <f t="shared" si="328"/>
        <v>0</v>
      </c>
      <c r="O689" s="58">
        <f t="shared" si="328"/>
        <v>0</v>
      </c>
      <c r="P689" s="58">
        <f t="shared" si="328"/>
        <v>0</v>
      </c>
      <c r="Q689" s="58">
        <f t="shared" ref="Q689:Z690" si="329">IF(VLOOKUP($E689,$D$6:$AN$1197,3,)=0,0,(VLOOKUP($E689,$D$6:$AN$1197,Q$2,)/VLOOKUP($E689,$D$6:$AN$1197,3,))*$F689)</f>
        <v>0</v>
      </c>
      <c r="R689" s="58">
        <f t="shared" si="329"/>
        <v>0</v>
      </c>
      <c r="S689" s="58">
        <f t="shared" si="329"/>
        <v>0</v>
      </c>
      <c r="T689" s="58">
        <f t="shared" si="329"/>
        <v>0</v>
      </c>
      <c r="U689" s="58">
        <f t="shared" si="329"/>
        <v>0</v>
      </c>
      <c r="V689" s="58">
        <f t="shared" si="329"/>
        <v>0</v>
      </c>
      <c r="W689" s="58">
        <f t="shared" si="329"/>
        <v>0</v>
      </c>
      <c r="X689" s="58">
        <f t="shared" si="329"/>
        <v>0</v>
      </c>
      <c r="Y689" s="58">
        <f t="shared" si="329"/>
        <v>0</v>
      </c>
      <c r="Z689" s="58">
        <f t="shared" si="329"/>
        <v>0</v>
      </c>
      <c r="AA689" s="58">
        <f>SUM(G689:Z689)</f>
        <v>0</v>
      </c>
      <c r="AB689" s="68" t="str">
        <f t="shared" si="323"/>
        <v>ok</v>
      </c>
    </row>
    <row r="690" spans="1:28" s="39" customFormat="1">
      <c r="A690" s="39" t="s">
        <v>1275</v>
      </c>
      <c r="E690" s="39" t="s">
        <v>552</v>
      </c>
      <c r="F690" s="58">
        <v>5925054.5099999998</v>
      </c>
      <c r="G690" s="58">
        <f t="shared" si="328"/>
        <v>2771910.9637774178</v>
      </c>
      <c r="H690" s="58">
        <f t="shared" si="328"/>
        <v>780835.43994097377</v>
      </c>
      <c r="I690" s="58">
        <f t="shared" si="328"/>
        <v>84451.045775973398</v>
      </c>
      <c r="J690" s="58">
        <f t="shared" si="328"/>
        <v>964831.58744084206</v>
      </c>
      <c r="K690" s="58">
        <f t="shared" si="328"/>
        <v>652639.58900110831</v>
      </c>
      <c r="L690" s="58">
        <f t="shared" si="328"/>
        <v>240363.54170337121</v>
      </c>
      <c r="M690" s="58">
        <f t="shared" si="328"/>
        <v>0</v>
      </c>
      <c r="N690" s="58">
        <f t="shared" si="328"/>
        <v>0</v>
      </c>
      <c r="O690" s="58">
        <f t="shared" si="328"/>
        <v>0</v>
      </c>
      <c r="P690" s="58">
        <f t="shared" si="328"/>
        <v>177381.34713082251</v>
      </c>
      <c r="Q690" s="58">
        <f t="shared" si="329"/>
        <v>91985.255403852192</v>
      </c>
      <c r="R690" s="58">
        <f t="shared" si="329"/>
        <v>20297.942675157403</v>
      </c>
      <c r="S690" s="58">
        <f t="shared" si="329"/>
        <v>138259.80631657739</v>
      </c>
      <c r="T690" s="58">
        <f t="shared" si="329"/>
        <v>740.22431659267136</v>
      </c>
      <c r="U690" s="58">
        <f t="shared" si="329"/>
        <v>1357.7665173100249</v>
      </c>
      <c r="V690" s="58">
        <f t="shared" si="329"/>
        <v>0</v>
      </c>
      <c r="W690" s="58">
        <f t="shared" si="329"/>
        <v>0</v>
      </c>
      <c r="X690" s="58">
        <f t="shared" si="329"/>
        <v>0</v>
      </c>
      <c r="Y690" s="58">
        <f t="shared" si="329"/>
        <v>0</v>
      </c>
      <c r="Z690" s="58">
        <f t="shared" si="329"/>
        <v>0</v>
      </c>
      <c r="AA690" s="58">
        <f>SUM(G690:Z690)</f>
        <v>5925054.5099999988</v>
      </c>
      <c r="AB690" s="68" t="str">
        <f t="shared" si="323"/>
        <v>ok</v>
      </c>
    </row>
    <row r="691" spans="1:28" s="39" customFormat="1">
      <c r="A691" s="45" t="s">
        <v>787</v>
      </c>
      <c r="E691" s="39" t="s">
        <v>1207</v>
      </c>
      <c r="F691" s="58">
        <f>F501</f>
        <v>21920600.789999995</v>
      </c>
      <c r="G691" s="58">
        <f t="shared" ref="G691:P691" si="330">G501</f>
        <v>10528397.621051934</v>
      </c>
      <c r="H691" s="58">
        <f t="shared" si="330"/>
        <v>2862951.7448080746</v>
      </c>
      <c r="I691" s="58">
        <f t="shared" si="330"/>
        <v>297716.66517939628</v>
      </c>
      <c r="J691" s="58">
        <f t="shared" si="330"/>
        <v>3431647.2573720417</v>
      </c>
      <c r="K691" s="58">
        <f t="shared" si="330"/>
        <v>2306216.2750689187</v>
      </c>
      <c r="L691" s="58">
        <f t="shared" si="330"/>
        <v>853067.55304507271</v>
      </c>
      <c r="M691" s="58">
        <f t="shared" si="330"/>
        <v>0</v>
      </c>
      <c r="N691" s="58">
        <f t="shared" si="330"/>
        <v>0</v>
      </c>
      <c r="O691" s="58">
        <f>O501</f>
        <v>0</v>
      </c>
      <c r="P691" s="58">
        <f t="shared" si="330"/>
        <v>612121.18113173335</v>
      </c>
      <c r="Q691" s="58">
        <f>Q501</f>
        <v>324948.3513502432</v>
      </c>
      <c r="R691" s="58">
        <f t="shared" ref="R691:Z691" si="331">R501</f>
        <v>71834.598327797547</v>
      </c>
      <c r="S691" s="58">
        <f t="shared" si="331"/>
        <v>623787.81469790265</v>
      </c>
      <c r="T691" s="58">
        <f t="shared" si="331"/>
        <v>2781.1711871874518</v>
      </c>
      <c r="U691" s="58">
        <f t="shared" si="331"/>
        <v>5130.5567796939467</v>
      </c>
      <c r="V691" s="58">
        <f t="shared" si="331"/>
        <v>0</v>
      </c>
      <c r="W691" s="58">
        <f t="shared" si="331"/>
        <v>0</v>
      </c>
      <c r="X691" s="58">
        <f t="shared" si="331"/>
        <v>0</v>
      </c>
      <c r="Y691" s="58">
        <f t="shared" si="331"/>
        <v>0</v>
      </c>
      <c r="Z691" s="58">
        <f t="shared" si="331"/>
        <v>0</v>
      </c>
      <c r="AA691" s="58">
        <f t="shared" si="322"/>
        <v>21920600.789999995</v>
      </c>
      <c r="AB691" s="68" t="str">
        <f t="shared" si="323"/>
        <v>ok</v>
      </c>
    </row>
    <row r="692" spans="1:28" s="39" customFormat="1">
      <c r="A692" s="45" t="s">
        <v>788</v>
      </c>
      <c r="F692" s="58">
        <f>F556</f>
        <v>-2661472.4799999991</v>
      </c>
      <c r="G692" s="58">
        <f t="shared" ref="G692:Z692" si="332">G556</f>
        <v>-1278297.1048726987</v>
      </c>
      <c r="H692" s="58">
        <f t="shared" si="332"/>
        <v>-347603.03120207833</v>
      </c>
      <c r="I692" s="58">
        <f t="shared" si="332"/>
        <v>-36147.034417679286</v>
      </c>
      <c r="J692" s="58">
        <f t="shared" si="332"/>
        <v>-416650.74894889165</v>
      </c>
      <c r="K692" s="58">
        <f t="shared" si="332"/>
        <v>-280007.43263497198</v>
      </c>
      <c r="L692" s="58">
        <f t="shared" si="332"/>
        <v>-103574.52506712983</v>
      </c>
      <c r="M692" s="58">
        <f t="shared" si="332"/>
        <v>0</v>
      </c>
      <c r="N692" s="58">
        <f t="shared" si="332"/>
        <v>0</v>
      </c>
      <c r="O692" s="58">
        <f>O556</f>
        <v>0</v>
      </c>
      <c r="P692" s="58">
        <f t="shared" si="332"/>
        <v>-74320.211093411534</v>
      </c>
      <c r="Q692" s="58">
        <f t="shared" si="332"/>
        <v>-39453.348146122749</v>
      </c>
      <c r="R692" s="58">
        <f t="shared" si="332"/>
        <v>-8721.7411782118979</v>
      </c>
      <c r="S692" s="58">
        <f t="shared" si="332"/>
        <v>-75736.706219072905</v>
      </c>
      <c r="T692" s="58">
        <f t="shared" si="332"/>
        <v>-337.6737092098802</v>
      </c>
      <c r="U692" s="58">
        <f t="shared" si="332"/>
        <v>-622.92251052088352</v>
      </c>
      <c r="V692" s="58">
        <f t="shared" si="332"/>
        <v>0</v>
      </c>
      <c r="W692" s="58">
        <f t="shared" si="332"/>
        <v>0</v>
      </c>
      <c r="X692" s="58">
        <f t="shared" si="332"/>
        <v>0</v>
      </c>
      <c r="Y692" s="58">
        <f t="shared" si="332"/>
        <v>0</v>
      </c>
      <c r="Z692" s="58">
        <f t="shared" si="332"/>
        <v>0</v>
      </c>
      <c r="AA692" s="58">
        <f>SUM(G692:Z692)</f>
        <v>-2661472.4799999995</v>
      </c>
      <c r="AB692" s="68" t="str">
        <f t="shared" si="323"/>
        <v>ok</v>
      </c>
    </row>
    <row r="693" spans="1:28" s="39" customFormat="1">
      <c r="A693" s="45" t="s">
        <v>726</v>
      </c>
      <c r="F693" s="58">
        <f>F611</f>
        <v>-693.9699999999998</v>
      </c>
      <c r="G693" s="58">
        <f t="shared" ref="G693:Z693" si="333">G611</f>
        <v>-333.31167184133596</v>
      </c>
      <c r="H693" s="58">
        <f t="shared" si="333"/>
        <v>-90.636321576132289</v>
      </c>
      <c r="I693" s="58">
        <f t="shared" si="333"/>
        <v>-9.4252176805663943</v>
      </c>
      <c r="J693" s="58">
        <f t="shared" si="333"/>
        <v>-108.64028180673216</v>
      </c>
      <c r="K693" s="58">
        <f t="shared" si="333"/>
        <v>-73.010996538912721</v>
      </c>
      <c r="L693" s="58">
        <f t="shared" si="333"/>
        <v>-27.006709143517462</v>
      </c>
      <c r="M693" s="58">
        <f t="shared" si="333"/>
        <v>0</v>
      </c>
      <c r="N693" s="58">
        <f t="shared" si="333"/>
        <v>0</v>
      </c>
      <c r="O693" s="58">
        <f>O611</f>
        <v>0</v>
      </c>
      <c r="P693" s="58">
        <f t="shared" si="333"/>
        <v>-19.378745142048132</v>
      </c>
      <c r="Q693" s="58">
        <f t="shared" si="333"/>
        <v>-10.287327867829317</v>
      </c>
      <c r="R693" s="58">
        <f t="shared" si="333"/>
        <v>-2.2741646854991009</v>
      </c>
      <c r="S693" s="58">
        <f t="shared" si="333"/>
        <v>-19.748091483121414</v>
      </c>
      <c r="T693" s="58">
        <f t="shared" si="333"/>
        <v>-8.8047284253858077E-2</v>
      </c>
      <c r="U693" s="58">
        <f t="shared" si="333"/>
        <v>-0.16242495005102492</v>
      </c>
      <c r="V693" s="58">
        <f t="shared" si="333"/>
        <v>0</v>
      </c>
      <c r="W693" s="58">
        <f t="shared" si="333"/>
        <v>0</v>
      </c>
      <c r="X693" s="58">
        <f t="shared" si="333"/>
        <v>0</v>
      </c>
      <c r="Y693" s="58">
        <f t="shared" si="333"/>
        <v>0</v>
      </c>
      <c r="Z693" s="58">
        <f t="shared" si="333"/>
        <v>0</v>
      </c>
      <c r="AA693" s="58">
        <f>SUM(G693:Z693)</f>
        <v>-693.9699999999998</v>
      </c>
      <c r="AB693" s="68" t="str">
        <f t="shared" si="323"/>
        <v>ok</v>
      </c>
    </row>
    <row r="694" spans="1:28" s="39" customFormat="1" ht="15.75" customHeight="1">
      <c r="A694" s="45" t="s">
        <v>222</v>
      </c>
      <c r="E694" s="39" t="s">
        <v>903</v>
      </c>
      <c r="F694" s="58">
        <f>20340460.88+8126933.26+24735262.26-1377352.59</f>
        <v>51825303.810000002</v>
      </c>
      <c r="G694" s="58">
        <f t="shared" ref="G694:Z694" si="334">IF(VLOOKUP($E694,$D$6:$AN$1197,3,)=0,0,(VLOOKUP($E694,$D$6:$AN$1197,G$2,)/VLOOKUP($E694,$D$6:$AN$1197,3,))*$F694)</f>
        <v>11289115.931724504</v>
      </c>
      <c r="H694" s="58">
        <f t="shared" si="334"/>
        <v>13643753.583758017</v>
      </c>
      <c r="I694" s="58">
        <f t="shared" si="334"/>
        <v>1744816.2825115975</v>
      </c>
      <c r="J694" s="58">
        <f t="shared" si="334"/>
        <v>16048818.426923078</v>
      </c>
      <c r="K694" s="58">
        <f t="shared" si="334"/>
        <v>4476229.1465938548</v>
      </c>
      <c r="L694" s="58">
        <f t="shared" si="334"/>
        <v>1270615.710316269</v>
      </c>
      <c r="M694" s="58">
        <f t="shared" si="334"/>
        <v>0</v>
      </c>
      <c r="N694" s="58">
        <f t="shared" si="334"/>
        <v>0</v>
      </c>
      <c r="O694" s="58">
        <f t="shared" si="334"/>
        <v>0</v>
      </c>
      <c r="P694" s="58">
        <f t="shared" si="334"/>
        <v>1151689.199022234</v>
      </c>
      <c r="Q694" s="58">
        <f t="shared" si="334"/>
        <v>-171424.0824259095</v>
      </c>
      <c r="R694" s="58">
        <f t="shared" si="334"/>
        <v>-95700.895319330928</v>
      </c>
      <c r="S694" s="58">
        <f t="shared" si="334"/>
        <v>2433274.957097034</v>
      </c>
      <c r="T694" s="58">
        <f t="shared" si="334"/>
        <v>16169.53109179147</v>
      </c>
      <c r="U694" s="58">
        <f t="shared" si="334"/>
        <v>17946.018706826926</v>
      </c>
      <c r="V694" s="58">
        <f t="shared" si="334"/>
        <v>0</v>
      </c>
      <c r="W694" s="58">
        <f t="shared" si="334"/>
        <v>0</v>
      </c>
      <c r="X694" s="58">
        <f t="shared" si="334"/>
        <v>0</v>
      </c>
      <c r="Y694" s="58">
        <f t="shared" si="334"/>
        <v>0</v>
      </c>
      <c r="Z694" s="58">
        <f t="shared" si="334"/>
        <v>0</v>
      </c>
      <c r="AA694" s="58">
        <f>SUM(G694:Z694)</f>
        <v>51825303.80999998</v>
      </c>
      <c r="AB694" s="68" t="str">
        <f t="shared" si="323"/>
        <v>ok</v>
      </c>
    </row>
    <row r="695" spans="1:28" s="39" customFormat="1">
      <c r="A695" s="45" t="s">
        <v>868</v>
      </c>
      <c r="F695" s="58">
        <f>SUM(G695:U695)</f>
        <v>-1178734</v>
      </c>
      <c r="G695" s="58">
        <f>G1055</f>
        <v>0</v>
      </c>
      <c r="H695" s="58">
        <f t="shared" ref="H695:U695" si="335">H1055</f>
        <v>0</v>
      </c>
      <c r="I695" s="58">
        <f t="shared" si="335"/>
        <v>0</v>
      </c>
      <c r="J695" s="58">
        <f t="shared" si="335"/>
        <v>0</v>
      </c>
      <c r="K695" s="58">
        <f t="shared" si="335"/>
        <v>-200398</v>
      </c>
      <c r="L695" s="58">
        <f t="shared" si="335"/>
        <v>0</v>
      </c>
      <c r="M695" s="58">
        <f t="shared" si="335"/>
        <v>0</v>
      </c>
      <c r="N695" s="58">
        <f t="shared" si="335"/>
        <v>0</v>
      </c>
      <c r="O695" s="58">
        <f t="shared" si="335"/>
        <v>0</v>
      </c>
      <c r="P695" s="58">
        <f t="shared" si="335"/>
        <v>-978336</v>
      </c>
      <c r="Q695" s="58">
        <f t="shared" si="335"/>
        <v>0</v>
      </c>
      <c r="R695" s="58">
        <f t="shared" si="335"/>
        <v>0</v>
      </c>
      <c r="S695" s="58">
        <f t="shared" si="335"/>
        <v>0</v>
      </c>
      <c r="T695" s="58">
        <f t="shared" si="335"/>
        <v>0</v>
      </c>
      <c r="U695" s="58">
        <f t="shared" si="335"/>
        <v>0</v>
      </c>
      <c r="V695" s="58"/>
      <c r="W695" s="58"/>
      <c r="X695" s="58"/>
      <c r="Y695" s="58"/>
      <c r="Z695" s="58"/>
      <c r="AA695" s="58">
        <f>SUM(G695:Z695)</f>
        <v>-1178734</v>
      </c>
      <c r="AB695" s="68" t="str">
        <f t="shared" si="323"/>
        <v>ok</v>
      </c>
    </row>
    <row r="696" spans="1:28" s="39" customFormat="1">
      <c r="A696" s="45" t="s">
        <v>869</v>
      </c>
      <c r="E696" s="39" t="s">
        <v>736</v>
      </c>
      <c r="F696" s="104">
        <f>-F695</f>
        <v>1178734</v>
      </c>
      <c r="G696" s="104">
        <f t="shared" ref="G696:Z696" si="336">IF(VLOOKUP($E696,$D$6:$AN$1197,3,)=0,0,(VLOOKUP($E696,$D$6:$AN$1197,G$2,)/VLOOKUP($E696,$D$6:$AN$1197,3,))*$F696)</f>
        <v>526091.85596441664</v>
      </c>
      <c r="H696" s="104">
        <f t="shared" si="336"/>
        <v>170621.5308301771</v>
      </c>
      <c r="I696" s="104">
        <f t="shared" si="336"/>
        <v>18182.699083067888</v>
      </c>
      <c r="J696" s="104">
        <f t="shared" si="336"/>
        <v>212985.86096360869</v>
      </c>
      <c r="K696" s="104">
        <f t="shared" si="336"/>
        <v>133094.36445824913</v>
      </c>
      <c r="L696" s="104">
        <f t="shared" si="336"/>
        <v>50831.982793697265</v>
      </c>
      <c r="M696" s="104">
        <f t="shared" si="336"/>
        <v>0</v>
      </c>
      <c r="N696" s="104">
        <f t="shared" si="336"/>
        <v>0</v>
      </c>
      <c r="O696" s="104">
        <f t="shared" si="336"/>
        <v>0</v>
      </c>
      <c r="P696" s="104">
        <f t="shared" si="336"/>
        <v>41031.772553797826</v>
      </c>
      <c r="Q696" s="104">
        <f t="shared" si="336"/>
        <v>21512.865916649982</v>
      </c>
      <c r="R696" s="104">
        <f t="shared" si="336"/>
        <v>4160.2240043907368</v>
      </c>
      <c r="S696" s="104">
        <f t="shared" si="336"/>
        <v>0</v>
      </c>
      <c r="T696" s="104">
        <f t="shared" si="336"/>
        <v>9.1236060874718667</v>
      </c>
      <c r="U696" s="104">
        <f t="shared" si="336"/>
        <v>211.71982585711055</v>
      </c>
      <c r="V696" s="104">
        <f t="shared" si="336"/>
        <v>0</v>
      </c>
      <c r="W696" s="104">
        <f t="shared" si="336"/>
        <v>0</v>
      </c>
      <c r="X696" s="104">
        <f t="shared" si="336"/>
        <v>0</v>
      </c>
      <c r="Y696" s="104">
        <f t="shared" si="336"/>
        <v>0</v>
      </c>
      <c r="Z696" s="104">
        <f t="shared" si="336"/>
        <v>0</v>
      </c>
      <c r="AA696" s="104">
        <f>SUM(G696:Z696)</f>
        <v>1178733.9999999998</v>
      </c>
      <c r="AB696" s="105" t="str">
        <f t="shared" si="323"/>
        <v>ok</v>
      </c>
    </row>
    <row r="697" spans="1:28" s="39" customFormat="1">
      <c r="A697" s="45"/>
      <c r="AA697" s="59"/>
      <c r="AB697" s="68"/>
    </row>
    <row r="698" spans="1:28" s="39" customFormat="1">
      <c r="A698" s="39" t="s">
        <v>1225</v>
      </c>
      <c r="D698" s="39" t="s">
        <v>1185</v>
      </c>
      <c r="F698" s="59">
        <f>SUM(F685:F696)</f>
        <v>925658736.29469991</v>
      </c>
      <c r="G698" s="59">
        <f>SUM(G685:G697)</f>
        <v>385279883.24160051</v>
      </c>
      <c r="H698" s="59">
        <f t="shared" ref="H698:Z698" si="337">SUM(H685:H697)</f>
        <v>126785867.67566366</v>
      </c>
      <c r="I698" s="59">
        <f t="shared" si="337"/>
        <v>16521677.422569763</v>
      </c>
      <c r="J698" s="59">
        <f t="shared" si="337"/>
        <v>171771247.86379614</v>
      </c>
      <c r="K698" s="59">
        <f t="shared" si="337"/>
        <v>121387128.51528923</v>
      </c>
      <c r="L698" s="59">
        <f t="shared" si="337"/>
        <v>40661128.72345566</v>
      </c>
      <c r="M698" s="59">
        <f t="shared" si="337"/>
        <v>0</v>
      </c>
      <c r="N698" s="59">
        <f t="shared" si="337"/>
        <v>0</v>
      </c>
      <c r="O698" s="59">
        <f>SUM(O685:O697)</f>
        <v>0</v>
      </c>
      <c r="P698" s="59">
        <f t="shared" si="337"/>
        <v>31693605.413913466</v>
      </c>
      <c r="Q698" s="59">
        <f t="shared" si="337"/>
        <v>14158428.006084574</v>
      </c>
      <c r="R698" s="59">
        <f t="shared" si="337"/>
        <v>3519047.8016845067</v>
      </c>
      <c r="S698" s="59">
        <f t="shared" si="337"/>
        <v>13405712.886764038</v>
      </c>
      <c r="T698" s="59">
        <f t="shared" si="337"/>
        <v>222347.46651349906</v>
      </c>
      <c r="U698" s="59">
        <f t="shared" si="337"/>
        <v>252661.27736480895</v>
      </c>
      <c r="V698" s="59">
        <f t="shared" si="337"/>
        <v>0</v>
      </c>
      <c r="W698" s="59">
        <f t="shared" si="337"/>
        <v>0</v>
      </c>
      <c r="X698" s="59">
        <f t="shared" si="337"/>
        <v>0</v>
      </c>
      <c r="Y698" s="59">
        <f t="shared" si="337"/>
        <v>0</v>
      </c>
      <c r="Z698" s="59">
        <f t="shared" si="337"/>
        <v>0</v>
      </c>
      <c r="AA698" s="59">
        <f>SUM(G698:Z698)</f>
        <v>925658736.29469991</v>
      </c>
      <c r="AB698" s="68" t="str">
        <f>IF(ABS(F698-AA698)&lt;0.01,"ok","err")</f>
        <v>ok</v>
      </c>
    </row>
    <row r="699" spans="1:28" s="39" customFormat="1">
      <c r="A699" s="45"/>
    </row>
    <row r="700" spans="1:28" s="39" customFormat="1">
      <c r="A700" s="39" t="s">
        <v>745</v>
      </c>
      <c r="D700" s="39" t="s">
        <v>1173</v>
      </c>
      <c r="F700" s="59">
        <f t="shared" ref="F700:Z700" si="338">F682-F698</f>
        <v>122245489.30530012</v>
      </c>
      <c r="G700" s="59">
        <f t="shared" si="338"/>
        <v>35794720.370960712</v>
      </c>
      <c r="H700" s="59">
        <f t="shared" si="338"/>
        <v>27550116.34127672</v>
      </c>
      <c r="I700" s="59">
        <f t="shared" si="338"/>
        <v>3414232.0111023858</v>
      </c>
      <c r="J700" s="59">
        <f t="shared" si="338"/>
        <v>32508539.673321098</v>
      </c>
      <c r="K700" s="59">
        <f t="shared" si="338"/>
        <v>11216331.39469789</v>
      </c>
      <c r="L700" s="59">
        <f t="shared" si="338"/>
        <v>3499973.4267831072</v>
      </c>
      <c r="M700" s="59">
        <f t="shared" si="338"/>
        <v>0</v>
      </c>
      <c r="N700" s="59">
        <f t="shared" si="338"/>
        <v>0</v>
      </c>
      <c r="O700" s="59">
        <f>O682-O698</f>
        <v>0</v>
      </c>
      <c r="P700" s="59">
        <f t="shared" si="338"/>
        <v>2915729.0777284205</v>
      </c>
      <c r="Q700" s="59">
        <f t="shared" si="338"/>
        <v>228843.81718895212</v>
      </c>
      <c r="R700" s="59">
        <f t="shared" si="338"/>
        <v>-46809.480231388006</v>
      </c>
      <c r="S700" s="59">
        <f t="shared" si="338"/>
        <v>5093725.2168738544</v>
      </c>
      <c r="T700" s="59">
        <f t="shared" si="338"/>
        <v>31675.641517237091</v>
      </c>
      <c r="U700" s="59">
        <f t="shared" si="338"/>
        <v>38411.814081163495</v>
      </c>
      <c r="V700" s="59">
        <f t="shared" si="338"/>
        <v>0</v>
      </c>
      <c r="W700" s="59">
        <f t="shared" si="338"/>
        <v>0</v>
      </c>
      <c r="X700" s="59">
        <f t="shared" si="338"/>
        <v>0</v>
      </c>
      <c r="Y700" s="59">
        <f t="shared" si="338"/>
        <v>0</v>
      </c>
      <c r="Z700" s="59">
        <f t="shared" si="338"/>
        <v>0</v>
      </c>
      <c r="AA700" s="59">
        <f>SUM(G700:Z700)</f>
        <v>122245489.30530015</v>
      </c>
      <c r="AB700" s="68" t="str">
        <f>IF(ABS(F700-AA700)&lt;0.01,"ok","err")</f>
        <v>ok</v>
      </c>
    </row>
    <row r="701" spans="1:28" s="39" customFormat="1"/>
    <row r="702" spans="1:28" s="39" customFormat="1">
      <c r="A702" s="39" t="s">
        <v>1208</v>
      </c>
      <c r="F702" s="59">
        <f t="shared" ref="F702:P702" si="339">F170</f>
        <v>1920997668.0954001</v>
      </c>
      <c r="G702" s="59">
        <f t="shared" si="339"/>
        <v>931649506.04860032</v>
      </c>
      <c r="H702" s="59">
        <f t="shared" si="339"/>
        <v>249679632.1040495</v>
      </c>
      <c r="I702" s="59">
        <f t="shared" si="339"/>
        <v>25673930.589226916</v>
      </c>
      <c r="J702" s="59">
        <f t="shared" si="339"/>
        <v>295829169.94481355</v>
      </c>
      <c r="K702" s="59">
        <f t="shared" si="339"/>
        <v>199460877.01519188</v>
      </c>
      <c r="L702" s="59">
        <f t="shared" si="339"/>
        <v>73518291.243939444</v>
      </c>
      <c r="M702" s="59">
        <f t="shared" si="339"/>
        <v>0</v>
      </c>
      <c r="N702" s="59">
        <f t="shared" si="339"/>
        <v>0</v>
      </c>
      <c r="O702" s="59">
        <f>O170</f>
        <v>0</v>
      </c>
      <c r="P702" s="59">
        <f t="shared" si="339"/>
        <v>52220129.381343223</v>
      </c>
      <c r="Q702" s="59">
        <f>Q170</f>
        <v>27854540.21840094</v>
      </c>
      <c r="R702" s="59">
        <f t="shared" ref="R702:Z702" si="340">R170</f>
        <v>6215142.1370129138</v>
      </c>
      <c r="S702" s="59">
        <f t="shared" si="340"/>
        <v>58181818.592106752</v>
      </c>
      <c r="T702" s="59">
        <f t="shared" si="340"/>
        <v>256691.40437409433</v>
      </c>
      <c r="U702" s="59">
        <f t="shared" si="340"/>
        <v>457939.41634078015</v>
      </c>
      <c r="V702" s="59">
        <f t="shared" si="340"/>
        <v>0</v>
      </c>
      <c r="W702" s="59">
        <f t="shared" si="340"/>
        <v>0</v>
      </c>
      <c r="X702" s="59">
        <f t="shared" si="340"/>
        <v>0</v>
      </c>
      <c r="Y702" s="59">
        <f t="shared" si="340"/>
        <v>0</v>
      </c>
      <c r="Z702" s="59">
        <f t="shared" si="340"/>
        <v>0</v>
      </c>
      <c r="AA702" s="59">
        <f>SUM(G702:Z702)</f>
        <v>1920997668.0954003</v>
      </c>
      <c r="AB702" s="68" t="str">
        <f>IF(ABS(F702-AA702)&lt;0.01,"ok","err")</f>
        <v>ok</v>
      </c>
    </row>
    <row r="703" spans="1:28" s="39" customFormat="1"/>
    <row r="704" spans="1:28" s="44" customFormat="1">
      <c r="A704" s="96"/>
      <c r="B704" s="96"/>
      <c r="C704" s="96"/>
      <c r="D704" s="96"/>
      <c r="E704" s="96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1"/>
    </row>
    <row r="705" spans="1:28" s="39" customFormat="1">
      <c r="A705" s="47"/>
      <c r="B705" s="47"/>
      <c r="C705" s="47"/>
      <c r="D705" s="47"/>
      <c r="E705" s="47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68"/>
      <c r="V705" s="47"/>
      <c r="W705" s="47"/>
      <c r="X705" s="47"/>
      <c r="Y705" s="47"/>
      <c r="Z705" s="47"/>
      <c r="AA705" s="47"/>
      <c r="AB705" s="47"/>
    </row>
    <row r="706" spans="1:28" s="39" customFormat="1">
      <c r="A706" s="47"/>
      <c r="B706" s="47"/>
      <c r="C706" s="47"/>
      <c r="D706" s="47"/>
      <c r="E706" s="47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47"/>
    </row>
    <row r="707" spans="1:28" s="39" customFormat="1"/>
    <row r="708" spans="1:28" s="39" customFormat="1"/>
    <row r="709" spans="1:28" s="39" customFormat="1">
      <c r="A709" s="44" t="s">
        <v>904</v>
      </c>
    </row>
    <row r="710" spans="1:28" s="39" customFormat="1"/>
    <row r="711" spans="1:28" s="39" customFormat="1">
      <c r="A711" s="39" t="s">
        <v>901</v>
      </c>
      <c r="F711" s="59">
        <f>F682</f>
        <v>1047904225.6</v>
      </c>
      <c r="G711" s="59">
        <f t="shared" ref="G711:Z711" si="341">G682</f>
        <v>421074603.61256123</v>
      </c>
      <c r="H711" s="59">
        <f t="shared" si="341"/>
        <v>154335984.01694039</v>
      </c>
      <c r="I711" s="59">
        <f t="shared" si="341"/>
        <v>19935909.433672149</v>
      </c>
      <c r="J711" s="59">
        <f t="shared" si="341"/>
        <v>204279787.53711724</v>
      </c>
      <c r="K711" s="59">
        <f t="shared" si="341"/>
        <v>132603459.90998712</v>
      </c>
      <c r="L711" s="59">
        <f t="shared" si="341"/>
        <v>44161102.150238767</v>
      </c>
      <c r="M711" s="59">
        <f t="shared" si="341"/>
        <v>0</v>
      </c>
      <c r="N711" s="59">
        <f t="shared" si="341"/>
        <v>0</v>
      </c>
      <c r="O711" s="59">
        <f>O682</f>
        <v>0</v>
      </c>
      <c r="P711" s="59">
        <f t="shared" si="341"/>
        <v>34609334.491641887</v>
      </c>
      <c r="Q711" s="59">
        <f t="shared" si="341"/>
        <v>14387271.823273527</v>
      </c>
      <c r="R711" s="59">
        <f t="shared" si="341"/>
        <v>3472238.3214531187</v>
      </c>
      <c r="S711" s="59">
        <f t="shared" si="341"/>
        <v>18499438.103637893</v>
      </c>
      <c r="T711" s="59">
        <f t="shared" si="341"/>
        <v>254023.10803073616</v>
      </c>
      <c r="U711" s="59">
        <f t="shared" si="341"/>
        <v>291073.09144597244</v>
      </c>
      <c r="V711" s="59">
        <f t="shared" si="341"/>
        <v>0</v>
      </c>
      <c r="W711" s="59">
        <f t="shared" si="341"/>
        <v>0</v>
      </c>
      <c r="X711" s="59">
        <f t="shared" si="341"/>
        <v>0</v>
      </c>
      <c r="Y711" s="59">
        <f t="shared" si="341"/>
        <v>0</v>
      </c>
      <c r="Z711" s="59">
        <f t="shared" si="341"/>
        <v>0</v>
      </c>
      <c r="AA711" s="59">
        <f>SUM(G711:Z711)</f>
        <v>1047904225.5999999</v>
      </c>
      <c r="AB711" s="68" t="str">
        <f>IF(ABS(F711-AA711)&lt;0.01,"ok","err")</f>
        <v>ok</v>
      </c>
    </row>
    <row r="712" spans="1:28" s="39" customFormat="1"/>
    <row r="713" spans="1:28" s="39" customFormat="1">
      <c r="A713" s="39" t="s">
        <v>1222</v>
      </c>
      <c r="F713" s="59">
        <f>F685+F686+F687+F688+F691+F692+F693+F695+F696+F690+F689</f>
        <v>873833432.48469985</v>
      </c>
      <c r="G713" s="59">
        <f t="shared" ref="G713:U713" si="342">G685+G686+G687+G688+G691+G692+G693+G695+G696+G690+G689</f>
        <v>373990767.30987602</v>
      </c>
      <c r="H713" s="59">
        <f t="shared" si="342"/>
        <v>113142114.09190565</v>
      </c>
      <c r="I713" s="59">
        <f t="shared" si="342"/>
        <v>14776861.140058165</v>
      </c>
      <c r="J713" s="59">
        <f t="shared" si="342"/>
        <v>155722429.43687308</v>
      </c>
      <c r="K713" s="59">
        <f t="shared" si="342"/>
        <v>116910899.36869538</v>
      </c>
      <c r="L713" s="59">
        <f t="shared" si="342"/>
        <v>39390513.013139389</v>
      </c>
      <c r="M713" s="59">
        <f t="shared" si="342"/>
        <v>0</v>
      </c>
      <c r="N713" s="59">
        <f t="shared" si="342"/>
        <v>0</v>
      </c>
      <c r="O713" s="59">
        <f>O685+O686+O687+O688+O691+O692+O693+O695+O696+O690+O689</f>
        <v>0</v>
      </c>
      <c r="P713" s="59">
        <f t="shared" si="342"/>
        <v>30541916.214891233</v>
      </c>
      <c r="Q713" s="59">
        <f t="shared" si="342"/>
        <v>14329852.088510482</v>
      </c>
      <c r="R713" s="59">
        <f t="shared" si="342"/>
        <v>3614748.6970038377</v>
      </c>
      <c r="S713" s="59">
        <f t="shared" si="342"/>
        <v>10972437.929667003</v>
      </c>
      <c r="T713" s="59">
        <f t="shared" si="342"/>
        <v>206177.9354217076</v>
      </c>
      <c r="U713" s="59">
        <f t="shared" si="342"/>
        <v>234715.25865798202</v>
      </c>
      <c r="V713" s="59">
        <f>V685+V686+V688+V691+V692+V693+V695+V696+V690+V689</f>
        <v>0</v>
      </c>
      <c r="W713" s="59">
        <f>W685+W686+W688+W691+W692+W693+W695+W696+W690+W689</f>
        <v>0</v>
      </c>
      <c r="X713" s="59">
        <f>X685+X686+X688+X691+X692+X693+X695+X696+X690+X689</f>
        <v>0</v>
      </c>
      <c r="Y713" s="59">
        <f>Y685+Y686+Y688+Y691+Y692+Y693+Y695+Y696+Y690+Y689</f>
        <v>0</v>
      </c>
      <c r="Z713" s="59">
        <f>Z685+Z686+Z688+Z691+Z692+Z693+Z695+Z696+Z690+Z689</f>
        <v>0</v>
      </c>
      <c r="AA713" s="59">
        <f>SUM(G713:Z713)</f>
        <v>873833432.48469985</v>
      </c>
      <c r="AB713" s="68" t="str">
        <f>IF(ABS(F713-AA713)&lt;0.01,"ok","err")</f>
        <v>ok</v>
      </c>
    </row>
    <row r="714" spans="1:28" s="39" customFormat="1"/>
    <row r="715" spans="1:28" s="39" customFormat="1">
      <c r="A715" s="39" t="s">
        <v>902</v>
      </c>
      <c r="D715" s="39" t="s">
        <v>907</v>
      </c>
      <c r="F715" s="93">
        <f>F666</f>
        <v>34922372.929999985</v>
      </c>
      <c r="G715" s="93">
        <f t="shared" ref="G715:Z715" si="343">G666</f>
        <v>16773109.076710684</v>
      </c>
      <c r="H715" s="93">
        <f t="shared" si="343"/>
        <v>4561055.1221019588</v>
      </c>
      <c r="I715" s="93">
        <f t="shared" si="343"/>
        <v>474301.43491385673</v>
      </c>
      <c r="J715" s="93">
        <f t="shared" si="343"/>
        <v>5467061.1647117203</v>
      </c>
      <c r="K715" s="93">
        <f t="shared" si="343"/>
        <v>3674102.9858968677</v>
      </c>
      <c r="L715" s="93">
        <f t="shared" si="343"/>
        <v>1359047.7518076538</v>
      </c>
      <c r="M715" s="93">
        <f t="shared" si="343"/>
        <v>0</v>
      </c>
      <c r="N715" s="93">
        <f t="shared" si="343"/>
        <v>0</v>
      </c>
      <c r="O715" s="93">
        <f>O666</f>
        <v>0</v>
      </c>
      <c r="P715" s="93">
        <f t="shared" si="343"/>
        <v>975188.79024457908</v>
      </c>
      <c r="Q715" s="93">
        <f t="shared" si="343"/>
        <v>517685.05879723479</v>
      </c>
      <c r="R715" s="93">
        <f t="shared" si="343"/>
        <v>114441.87393004847</v>
      </c>
      <c r="S715" s="93">
        <f t="shared" si="343"/>
        <v>993775.25747413095</v>
      </c>
      <c r="T715" s="93">
        <f t="shared" si="343"/>
        <v>4430.7680392336097</v>
      </c>
      <c r="U715" s="93">
        <f t="shared" si="343"/>
        <v>8173.6453720168229</v>
      </c>
      <c r="V715" s="93">
        <f t="shared" si="343"/>
        <v>0</v>
      </c>
      <c r="W715" s="93">
        <f t="shared" si="343"/>
        <v>0</v>
      </c>
      <c r="X715" s="93">
        <f t="shared" si="343"/>
        <v>0</v>
      </c>
      <c r="Y715" s="93">
        <f t="shared" si="343"/>
        <v>0</v>
      </c>
      <c r="Z715" s="93">
        <f t="shared" si="343"/>
        <v>0</v>
      </c>
      <c r="AA715" s="93">
        <f>SUM(G715:Z715)</f>
        <v>34922372.929999985</v>
      </c>
      <c r="AB715" s="68" t="str">
        <f>IF(ABS(F715-AA715)&lt;0.01,"ok","err")</f>
        <v>ok</v>
      </c>
    </row>
    <row r="716" spans="1:28" s="39" customFormat="1"/>
    <row r="717" spans="1:28" s="39" customFormat="1">
      <c r="A717" s="39" t="s">
        <v>900</v>
      </c>
      <c r="D717" s="39" t="s">
        <v>903</v>
      </c>
      <c r="F717" s="59">
        <f>F711-F713-F715</f>
        <v>139148420.1853002</v>
      </c>
      <c r="G717" s="59">
        <f t="shared" ref="G717:Z717" si="344">G711-G713-G715</f>
        <v>30310727.225974515</v>
      </c>
      <c r="H717" s="59">
        <f t="shared" si="344"/>
        <v>36632814.802932769</v>
      </c>
      <c r="I717" s="59">
        <f t="shared" si="344"/>
        <v>4684746.8587001264</v>
      </c>
      <c r="J717" s="59">
        <f t="shared" si="344"/>
        <v>43090296.935532443</v>
      </c>
      <c r="K717" s="59">
        <f t="shared" si="344"/>
        <v>12018457.555394877</v>
      </c>
      <c r="L717" s="59">
        <f t="shared" si="344"/>
        <v>3411541.385291724</v>
      </c>
      <c r="M717" s="59">
        <f t="shared" si="344"/>
        <v>0</v>
      </c>
      <c r="N717" s="59">
        <f t="shared" si="344"/>
        <v>0</v>
      </c>
      <c r="O717" s="59">
        <f>O711-O713-O715</f>
        <v>0</v>
      </c>
      <c r="P717" s="59">
        <f t="shared" si="344"/>
        <v>3092229.4865060747</v>
      </c>
      <c r="Q717" s="59">
        <f t="shared" si="344"/>
        <v>-460265.32403418992</v>
      </c>
      <c r="R717" s="59">
        <f t="shared" si="344"/>
        <v>-256952.24948076747</v>
      </c>
      <c r="S717" s="59">
        <f t="shared" si="344"/>
        <v>6533224.9164967583</v>
      </c>
      <c r="T717" s="59">
        <f t="shared" si="344"/>
        <v>43414.40456979494</v>
      </c>
      <c r="U717" s="59">
        <f t="shared" si="344"/>
        <v>48184.187415973603</v>
      </c>
      <c r="V717" s="59">
        <f t="shared" si="344"/>
        <v>0</v>
      </c>
      <c r="W717" s="59">
        <f t="shared" si="344"/>
        <v>0</v>
      </c>
      <c r="X717" s="59">
        <f t="shared" si="344"/>
        <v>0</v>
      </c>
      <c r="Y717" s="59">
        <f t="shared" si="344"/>
        <v>0</v>
      </c>
      <c r="Z717" s="59">
        <f t="shared" si="344"/>
        <v>0</v>
      </c>
      <c r="AA717" s="59">
        <f>SUM(G717:Z717)</f>
        <v>139148420.18530011</v>
      </c>
      <c r="AB717" s="68" t="str">
        <f>IF(ABS(F717-AA717)&lt;0.01,"ok","err")</f>
        <v>ok</v>
      </c>
    </row>
    <row r="718" spans="1:28" s="39" customFormat="1"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68"/>
    </row>
    <row r="719" spans="1:28" s="39" customFormat="1"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68"/>
    </row>
    <row r="720" spans="1:28" s="39" customFormat="1"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68"/>
    </row>
    <row r="721" spans="1:28" s="39" customFormat="1"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68"/>
    </row>
    <row r="722" spans="1:28" s="39" customFormat="1"/>
    <row r="725" spans="1:28">
      <c r="A725" s="44" t="s">
        <v>224</v>
      </c>
    </row>
    <row r="726" spans="1:28">
      <c r="F726" s="59"/>
    </row>
    <row r="727" spans="1:28">
      <c r="A727" s="44" t="s">
        <v>1218</v>
      </c>
    </row>
    <row r="728" spans="1:28" s="39" customFormat="1"/>
    <row r="729" spans="1:28" s="39" customFormat="1">
      <c r="A729" s="39" t="s">
        <v>135</v>
      </c>
      <c r="F729" s="59">
        <f t="shared" ref="F729:P729" si="345">F682</f>
        <v>1047904225.6</v>
      </c>
      <c r="G729" s="59">
        <f t="shared" si="345"/>
        <v>421074603.61256123</v>
      </c>
      <c r="H729" s="59">
        <f t="shared" si="345"/>
        <v>154335984.01694039</v>
      </c>
      <c r="I729" s="59">
        <f t="shared" si="345"/>
        <v>19935909.433672149</v>
      </c>
      <c r="J729" s="59">
        <f t="shared" si="345"/>
        <v>204279787.53711724</v>
      </c>
      <c r="K729" s="59">
        <f t="shared" si="345"/>
        <v>132603459.90998712</v>
      </c>
      <c r="L729" s="59">
        <f t="shared" si="345"/>
        <v>44161102.150238767</v>
      </c>
      <c r="M729" s="59">
        <f t="shared" si="345"/>
        <v>0</v>
      </c>
      <c r="N729" s="59">
        <f t="shared" si="345"/>
        <v>0</v>
      </c>
      <c r="O729" s="59">
        <f>O682</f>
        <v>0</v>
      </c>
      <c r="P729" s="59">
        <f t="shared" si="345"/>
        <v>34609334.491641887</v>
      </c>
      <c r="Q729" s="59">
        <f>Q682</f>
        <v>14387271.823273527</v>
      </c>
      <c r="R729" s="59">
        <f t="shared" ref="R729:Z729" si="346">R682</f>
        <v>3472238.3214531187</v>
      </c>
      <c r="S729" s="59">
        <f t="shared" si="346"/>
        <v>18499438.103637893</v>
      </c>
      <c r="T729" s="59">
        <f t="shared" si="346"/>
        <v>254023.10803073616</v>
      </c>
      <c r="U729" s="59">
        <f t="shared" si="346"/>
        <v>291073.09144597244</v>
      </c>
      <c r="V729" s="59">
        <f t="shared" si="346"/>
        <v>0</v>
      </c>
      <c r="W729" s="59">
        <f t="shared" si="346"/>
        <v>0</v>
      </c>
      <c r="X729" s="59">
        <f t="shared" si="346"/>
        <v>0</v>
      </c>
      <c r="Y729" s="59">
        <f t="shared" si="346"/>
        <v>0</v>
      </c>
      <c r="Z729" s="59">
        <f t="shared" si="346"/>
        <v>0</v>
      </c>
      <c r="AA729" s="59">
        <f>SUM(G729:Z729)</f>
        <v>1047904225.5999999</v>
      </c>
      <c r="AB729" s="68" t="str">
        <f>IF(ABS(F729-AA729)&lt;0.01,"ok","err")</f>
        <v>ok</v>
      </c>
    </row>
    <row r="730" spans="1:28" s="39" customFormat="1"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68"/>
    </row>
    <row r="731" spans="1:28" s="39" customFormat="1">
      <c r="A731" s="39" t="s">
        <v>136</v>
      </c>
      <c r="F731" s="59"/>
      <c r="G731" s="59"/>
      <c r="H731" s="59"/>
      <c r="I731" s="59"/>
      <c r="J731" s="59"/>
      <c r="K731" s="59"/>
      <c r="L731" s="59"/>
      <c r="M731" s="59"/>
      <c r="N731" s="59"/>
      <c r="O731" s="169"/>
      <c r="P731" s="16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68"/>
    </row>
    <row r="732" spans="1:28" s="39" customFormat="1">
      <c r="B732" s="39" t="s">
        <v>1396</v>
      </c>
      <c r="E732" s="39" t="s">
        <v>130</v>
      </c>
      <c r="F732" s="57">
        <v>293000</v>
      </c>
      <c r="G732" s="57">
        <f t="shared" ref="G732:P741" si="347">IF(VLOOKUP($E732,$D$6:$AN$1197,3,)=0,0,(VLOOKUP($E732,$D$6:$AN$1197,G$2,)/VLOOKUP($E732,$D$6:$AN$1197,3,))*$F732)</f>
        <v>117684.53193737872</v>
      </c>
      <c r="H732" s="57">
        <f t="shared" si="347"/>
        <v>44058.807166658815</v>
      </c>
      <c r="I732" s="57">
        <f t="shared" si="347"/>
        <v>5612.1985953808407</v>
      </c>
      <c r="J732" s="57">
        <f t="shared" si="347"/>
        <v>57455.309794940586</v>
      </c>
      <c r="K732" s="57">
        <f t="shared" si="347"/>
        <v>36224.395393190985</v>
      </c>
      <c r="L732" s="57">
        <f t="shared" si="347"/>
        <v>12096.332152538722</v>
      </c>
      <c r="M732" s="57">
        <f t="shared" si="347"/>
        <v>0</v>
      </c>
      <c r="N732" s="57">
        <f t="shared" si="347"/>
        <v>0</v>
      </c>
      <c r="O732" s="57">
        <f t="shared" si="347"/>
        <v>0</v>
      </c>
      <c r="P732" s="57">
        <f t="shared" si="347"/>
        <v>9377.6458353720845</v>
      </c>
      <c r="Q732" s="57">
        <f t="shared" ref="Q732:Z741" si="348">IF(VLOOKUP($E732,$D$6:$AN$1197,3,)=0,0,(VLOOKUP($E732,$D$6:$AN$1197,Q$2,)/VLOOKUP($E732,$D$6:$AN$1197,3,))*$F732)</f>
        <v>3868.1895983878308</v>
      </c>
      <c r="R732" s="57">
        <f t="shared" si="348"/>
        <v>919.75234673023101</v>
      </c>
      <c r="S732" s="57">
        <f t="shared" si="348"/>
        <v>5549.919186160042</v>
      </c>
      <c r="T732" s="57">
        <f t="shared" si="348"/>
        <v>70.031111019247547</v>
      </c>
      <c r="U732" s="57">
        <f t="shared" si="348"/>
        <v>82.886882241898761</v>
      </c>
      <c r="V732" s="57">
        <f t="shared" si="348"/>
        <v>0</v>
      </c>
      <c r="W732" s="57">
        <f t="shared" si="348"/>
        <v>0</v>
      </c>
      <c r="X732" s="57">
        <f t="shared" si="348"/>
        <v>0</v>
      </c>
      <c r="Y732" s="57">
        <f t="shared" si="348"/>
        <v>0</v>
      </c>
      <c r="Z732" s="57">
        <f t="shared" si="348"/>
        <v>0</v>
      </c>
      <c r="AA732" s="59">
        <f t="shared" ref="AA732:AA743" si="349">SUM(G732:Z732)</f>
        <v>292999.99999999994</v>
      </c>
      <c r="AB732" s="68" t="str">
        <f t="shared" ref="AB732:AB748" si="350">IF(ABS(F732-AA732)&lt;0.01,"ok","err")</f>
        <v>ok</v>
      </c>
    </row>
    <row r="733" spans="1:28" s="39" customFormat="1">
      <c r="B733" s="39" t="s">
        <v>1459</v>
      </c>
      <c r="E733" s="39" t="s">
        <v>130</v>
      </c>
      <c r="F733" s="58">
        <v>-1663941</v>
      </c>
      <c r="G733" s="58">
        <f t="shared" si="347"/>
        <v>-668328.04695021803</v>
      </c>
      <c r="H733" s="58">
        <f t="shared" si="347"/>
        <v>-250209.06367132231</v>
      </c>
      <c r="I733" s="58">
        <f t="shared" si="347"/>
        <v>-31871.560897599291</v>
      </c>
      <c r="J733" s="58">
        <f t="shared" si="347"/>
        <v>-326287.52776622266</v>
      </c>
      <c r="K733" s="58">
        <f t="shared" si="347"/>
        <v>-205717.59964143889</v>
      </c>
      <c r="L733" s="58">
        <f t="shared" si="347"/>
        <v>-68694.82258780695</v>
      </c>
      <c r="M733" s="58">
        <f t="shared" si="347"/>
        <v>0</v>
      </c>
      <c r="N733" s="58">
        <f t="shared" si="347"/>
        <v>0</v>
      </c>
      <c r="O733" s="58">
        <f t="shared" si="347"/>
        <v>0</v>
      </c>
      <c r="P733" s="58">
        <f t="shared" si="347"/>
        <v>-53255.45866537495</v>
      </c>
      <c r="Q733" s="58">
        <f t="shared" si="348"/>
        <v>-21967.369517170802</v>
      </c>
      <c r="R733" s="58">
        <f t="shared" si="348"/>
        <v>-5223.2547425619359</v>
      </c>
      <c r="S733" s="58">
        <f t="shared" si="348"/>
        <v>-31517.877407980639</v>
      </c>
      <c r="T733" s="58">
        <f t="shared" si="348"/>
        <v>-397.70524539412213</v>
      </c>
      <c r="U733" s="58">
        <f t="shared" si="348"/>
        <v>-470.71290690944454</v>
      </c>
      <c r="V733" s="58">
        <f t="shared" si="348"/>
        <v>0</v>
      </c>
      <c r="W733" s="58">
        <f t="shared" si="348"/>
        <v>0</v>
      </c>
      <c r="X733" s="58">
        <f t="shared" si="348"/>
        <v>0</v>
      </c>
      <c r="Y733" s="58">
        <f t="shared" si="348"/>
        <v>0</v>
      </c>
      <c r="Z733" s="58">
        <f t="shared" si="348"/>
        <v>0</v>
      </c>
      <c r="AA733" s="58">
        <f>SUM(G733:Z733)</f>
        <v>-1663940.9999999998</v>
      </c>
      <c r="AB733" s="68" t="str">
        <f t="shared" si="350"/>
        <v>ok</v>
      </c>
    </row>
    <row r="734" spans="1:28" s="39" customFormat="1">
      <c r="B734" s="39" t="s">
        <v>721</v>
      </c>
      <c r="E734" s="39" t="s">
        <v>1034</v>
      </c>
      <c r="F734" s="58">
        <v>-35115292</v>
      </c>
      <c r="G734" s="58">
        <f t="shared" si="347"/>
        <v>-12878318.974766133</v>
      </c>
      <c r="H734" s="58">
        <f t="shared" si="347"/>
        <v>-4300163.9537359206</v>
      </c>
      <c r="I734" s="58">
        <f t="shared" si="347"/>
        <v>-701409.29086240125</v>
      </c>
      <c r="J734" s="58">
        <f t="shared" si="347"/>
        <v>-7069354.848298938</v>
      </c>
      <c r="K734" s="58">
        <f t="shared" si="347"/>
        <v>-5662037.6071797479</v>
      </c>
      <c r="L734" s="58">
        <f t="shared" si="347"/>
        <v>-1810463.8068365005</v>
      </c>
      <c r="M734" s="58">
        <f t="shared" si="347"/>
        <v>0</v>
      </c>
      <c r="N734" s="58">
        <f t="shared" si="347"/>
        <v>0</v>
      </c>
      <c r="O734" s="58">
        <f t="shared" si="347"/>
        <v>0</v>
      </c>
      <c r="P734" s="58">
        <f t="shared" si="347"/>
        <v>-1537073.9162255672</v>
      </c>
      <c r="Q734" s="58">
        <f t="shared" si="348"/>
        <v>-645234.72853963706</v>
      </c>
      <c r="R734" s="58">
        <f t="shared" si="348"/>
        <v>-173399.89725725926</v>
      </c>
      <c r="S734" s="58">
        <f t="shared" si="348"/>
        <v>-317197.5870364451</v>
      </c>
      <c r="T734" s="58">
        <f t="shared" si="348"/>
        <v>-11242.621025456097</v>
      </c>
      <c r="U734" s="58">
        <f t="shared" si="348"/>
        <v>-9394.7682359996925</v>
      </c>
      <c r="V734" s="58">
        <f t="shared" si="348"/>
        <v>0</v>
      </c>
      <c r="W734" s="58">
        <f t="shared" si="348"/>
        <v>0</v>
      </c>
      <c r="X734" s="58">
        <f t="shared" si="348"/>
        <v>0</v>
      </c>
      <c r="Y734" s="58">
        <f t="shared" si="348"/>
        <v>0</v>
      </c>
      <c r="Z734" s="58">
        <f t="shared" si="348"/>
        <v>0</v>
      </c>
      <c r="AA734" s="58">
        <f t="shared" si="349"/>
        <v>-35115292.000000007</v>
      </c>
      <c r="AB734" s="68" t="str">
        <f t="shared" si="350"/>
        <v>ok</v>
      </c>
    </row>
    <row r="735" spans="1:28" s="39" customFormat="1">
      <c r="B735" s="39" t="s">
        <v>1398</v>
      </c>
      <c r="D735" s="39" t="s">
        <v>946</v>
      </c>
      <c r="E735" s="39" t="s">
        <v>1368</v>
      </c>
      <c r="F735" s="58">
        <v>-3930286</v>
      </c>
      <c r="G735" s="58">
        <f t="shared" si="347"/>
        <v>-1508372.2866321676</v>
      </c>
      <c r="H735" s="58">
        <f t="shared" si="347"/>
        <v>-482004.98454714223</v>
      </c>
      <c r="I735" s="58">
        <f t="shared" si="347"/>
        <v>-86513.43543773322</v>
      </c>
      <c r="J735" s="58">
        <f t="shared" si="347"/>
        <v>-772591.61724294664</v>
      </c>
      <c r="K735" s="58">
        <f t="shared" si="347"/>
        <v>-612633.21391877183</v>
      </c>
      <c r="L735" s="58">
        <f t="shared" si="347"/>
        <v>-173800.5150472263</v>
      </c>
      <c r="M735" s="58">
        <f t="shared" si="347"/>
        <v>0</v>
      </c>
      <c r="N735" s="58">
        <f t="shared" si="347"/>
        <v>0</v>
      </c>
      <c r="O735" s="58">
        <f t="shared" si="347"/>
        <v>0</v>
      </c>
      <c r="P735" s="58">
        <f t="shared" si="347"/>
        <v>-172995.56461223151</v>
      </c>
      <c r="Q735" s="58">
        <f t="shared" si="348"/>
        <v>-72372.965539306417</v>
      </c>
      <c r="R735" s="58">
        <f t="shared" si="348"/>
        <v>-19278.966104849162</v>
      </c>
      <c r="S735" s="58">
        <f t="shared" si="348"/>
        <v>-27808.974161721082</v>
      </c>
      <c r="T735" s="58">
        <f t="shared" si="348"/>
        <v>-959.11006456069777</v>
      </c>
      <c r="U735" s="58">
        <f t="shared" si="348"/>
        <v>-954.36669134328588</v>
      </c>
      <c r="V735" s="58">
        <f t="shared" si="348"/>
        <v>0</v>
      </c>
      <c r="W735" s="58">
        <f t="shared" si="348"/>
        <v>0</v>
      </c>
      <c r="X735" s="58">
        <f t="shared" si="348"/>
        <v>0</v>
      </c>
      <c r="Y735" s="58">
        <f t="shared" si="348"/>
        <v>0</v>
      </c>
      <c r="Z735" s="58">
        <f t="shared" si="348"/>
        <v>0</v>
      </c>
      <c r="AA735" s="58">
        <f t="shared" si="349"/>
        <v>-3930286</v>
      </c>
      <c r="AB735" s="68" t="str">
        <f t="shared" si="350"/>
        <v>ok</v>
      </c>
    </row>
    <row r="736" spans="1:28" s="39" customFormat="1">
      <c r="B736" s="39" t="s">
        <v>1457</v>
      </c>
      <c r="E736" s="39" t="s">
        <v>1368</v>
      </c>
      <c r="F736" s="58">
        <v>-2123450</v>
      </c>
      <c r="G736" s="58">
        <f t="shared" si="347"/>
        <v>-814941.49078440515</v>
      </c>
      <c r="H736" s="58">
        <f t="shared" si="347"/>
        <v>-260417.04965914163</v>
      </c>
      <c r="I736" s="58">
        <f t="shared" si="347"/>
        <v>-46741.370597522575</v>
      </c>
      <c r="J736" s="58">
        <f t="shared" si="347"/>
        <v>-417414.83180474275</v>
      </c>
      <c r="K736" s="58">
        <f t="shared" si="347"/>
        <v>-330992.70589870965</v>
      </c>
      <c r="L736" s="58">
        <f t="shared" si="347"/>
        <v>-93900.724699686674</v>
      </c>
      <c r="M736" s="58">
        <f t="shared" si="347"/>
        <v>0</v>
      </c>
      <c r="N736" s="58">
        <f t="shared" si="347"/>
        <v>0</v>
      </c>
      <c r="O736" s="58">
        <f t="shared" si="347"/>
        <v>0</v>
      </c>
      <c r="P736" s="58">
        <f t="shared" si="347"/>
        <v>-93465.827086334932</v>
      </c>
      <c r="Q736" s="58">
        <f t="shared" si="348"/>
        <v>-39101.575222373183</v>
      </c>
      <c r="R736" s="58">
        <f t="shared" si="348"/>
        <v>-10416.015672992233</v>
      </c>
      <c r="S736" s="58">
        <f t="shared" si="348"/>
        <v>-15024.597747773732</v>
      </c>
      <c r="T736" s="58">
        <f t="shared" si="348"/>
        <v>-518.18678503076205</v>
      </c>
      <c r="U736" s="58">
        <f t="shared" si="348"/>
        <v>-515.62404128679202</v>
      </c>
      <c r="V736" s="58">
        <f t="shared" si="348"/>
        <v>0</v>
      </c>
      <c r="W736" s="58">
        <f t="shared" si="348"/>
        <v>0</v>
      </c>
      <c r="X736" s="58">
        <f t="shared" si="348"/>
        <v>0</v>
      </c>
      <c r="Y736" s="58">
        <f t="shared" si="348"/>
        <v>0</v>
      </c>
      <c r="Z736" s="58">
        <f t="shared" si="348"/>
        <v>0</v>
      </c>
      <c r="AA736" s="58">
        <f>SUM(G736:Z736)</f>
        <v>-2123450</v>
      </c>
      <c r="AB736" s="68" t="str">
        <f>IF(ABS(F736-AA736)&lt;0.01,"ok","err")</f>
        <v>ok</v>
      </c>
    </row>
    <row r="737" spans="1:28" s="39" customFormat="1">
      <c r="B737" s="39" t="s">
        <v>1399</v>
      </c>
      <c r="E737" s="39" t="s">
        <v>727</v>
      </c>
      <c r="F737" s="58">
        <v>-4889807</v>
      </c>
      <c r="G737" s="58">
        <f t="shared" si="347"/>
        <v>-1953120.1567075811</v>
      </c>
      <c r="H737" s="58">
        <f t="shared" si="347"/>
        <v>-736830.21466986008</v>
      </c>
      <c r="I737" s="58">
        <f t="shared" si="347"/>
        <v>-97781.746500745096</v>
      </c>
      <c r="J737" s="58">
        <f t="shared" si="347"/>
        <v>-964846.14161642245</v>
      </c>
      <c r="K737" s="58">
        <f t="shared" si="347"/>
        <v>-601426.64167914062</v>
      </c>
      <c r="L737" s="58">
        <f t="shared" si="347"/>
        <v>-196228.37452957203</v>
      </c>
      <c r="M737" s="58">
        <f t="shared" si="347"/>
        <v>0</v>
      </c>
      <c r="N737" s="58">
        <f t="shared" si="347"/>
        <v>0</v>
      </c>
      <c r="O737" s="58">
        <f t="shared" si="347"/>
        <v>0</v>
      </c>
      <c r="P737" s="58">
        <f t="shared" si="347"/>
        <v>-160347.67076196702</v>
      </c>
      <c r="Q737" s="58">
        <f t="shared" si="348"/>
        <v>-70564.947909645722</v>
      </c>
      <c r="R737" s="58">
        <f t="shared" si="348"/>
        <v>-15401.044202751906</v>
      </c>
      <c r="S737" s="58">
        <f t="shared" si="348"/>
        <v>-90867.142171185449</v>
      </c>
      <c r="T737" s="58">
        <f t="shared" si="348"/>
        <v>-1057.4315077611625</v>
      </c>
      <c r="U737" s="58">
        <f t="shared" si="348"/>
        <v>-1335.4877433673462</v>
      </c>
      <c r="V737" s="58">
        <f t="shared" si="348"/>
        <v>0</v>
      </c>
      <c r="W737" s="58">
        <f t="shared" si="348"/>
        <v>0</v>
      </c>
      <c r="X737" s="58">
        <f t="shared" si="348"/>
        <v>0</v>
      </c>
      <c r="Y737" s="58">
        <f t="shared" si="348"/>
        <v>0</v>
      </c>
      <c r="Z737" s="58">
        <f t="shared" si="348"/>
        <v>0</v>
      </c>
      <c r="AA737" s="58">
        <f t="shared" si="349"/>
        <v>-4889807</v>
      </c>
      <c r="AB737" s="68" t="str">
        <f t="shared" si="350"/>
        <v>ok</v>
      </c>
    </row>
    <row r="738" spans="1:28" s="39" customFormat="1">
      <c r="B738" s="39" t="s">
        <v>905</v>
      </c>
      <c r="D738" s="39" t="s">
        <v>947</v>
      </c>
      <c r="E738" s="39" t="s">
        <v>1369</v>
      </c>
      <c r="F738" s="58">
        <v>0</v>
      </c>
      <c r="G738" s="58">
        <f t="shared" si="347"/>
        <v>0</v>
      </c>
      <c r="H738" s="58">
        <f t="shared" si="347"/>
        <v>0</v>
      </c>
      <c r="I738" s="58">
        <f t="shared" si="347"/>
        <v>0</v>
      </c>
      <c r="J738" s="58">
        <f t="shared" si="347"/>
        <v>0</v>
      </c>
      <c r="K738" s="58">
        <f t="shared" si="347"/>
        <v>0</v>
      </c>
      <c r="L738" s="58">
        <f t="shared" si="347"/>
        <v>0</v>
      </c>
      <c r="M738" s="58">
        <f t="shared" si="347"/>
        <v>0</v>
      </c>
      <c r="N738" s="58">
        <f t="shared" si="347"/>
        <v>0</v>
      </c>
      <c r="O738" s="58">
        <f t="shared" si="347"/>
        <v>0</v>
      </c>
      <c r="P738" s="58">
        <f t="shared" si="347"/>
        <v>0</v>
      </c>
      <c r="Q738" s="58">
        <f t="shared" si="348"/>
        <v>0</v>
      </c>
      <c r="R738" s="58">
        <f t="shared" si="348"/>
        <v>0</v>
      </c>
      <c r="S738" s="58">
        <f t="shared" si="348"/>
        <v>0</v>
      </c>
      <c r="T738" s="58">
        <f t="shared" si="348"/>
        <v>0</v>
      </c>
      <c r="U738" s="58">
        <f t="shared" si="348"/>
        <v>0</v>
      </c>
      <c r="V738" s="58">
        <f t="shared" si="348"/>
        <v>0</v>
      </c>
      <c r="W738" s="58">
        <f t="shared" si="348"/>
        <v>0</v>
      </c>
      <c r="X738" s="58">
        <f t="shared" si="348"/>
        <v>0</v>
      </c>
      <c r="Y738" s="58">
        <f t="shared" si="348"/>
        <v>0</v>
      </c>
      <c r="Z738" s="58">
        <f t="shared" si="348"/>
        <v>0</v>
      </c>
      <c r="AA738" s="58">
        <f t="shared" si="349"/>
        <v>0</v>
      </c>
      <c r="AB738" s="68" t="str">
        <f t="shared" si="350"/>
        <v>ok</v>
      </c>
    </row>
    <row r="739" spans="1:28" s="39" customFormat="1">
      <c r="B739" s="39" t="s">
        <v>1400</v>
      </c>
      <c r="E739" s="39" t="s">
        <v>919</v>
      </c>
      <c r="F739" s="58">
        <v>-539866</v>
      </c>
      <c r="G739" s="58">
        <f t="shared" si="347"/>
        <v>-208873.75706919309</v>
      </c>
      <c r="H739" s="58">
        <f t="shared" si="347"/>
        <v>-69047.301038509831</v>
      </c>
      <c r="I739" s="58">
        <f t="shared" si="347"/>
        <v>-10139.432033712816</v>
      </c>
      <c r="J739" s="58">
        <f t="shared" si="347"/>
        <v>-105823.27945518508</v>
      </c>
      <c r="K739" s="58">
        <f t="shared" si="347"/>
        <v>-80420.876646964796</v>
      </c>
      <c r="L739" s="58">
        <f t="shared" si="347"/>
        <v>-26896.193725682562</v>
      </c>
      <c r="M739" s="58">
        <f t="shared" si="347"/>
        <v>0</v>
      </c>
      <c r="N739" s="58">
        <f t="shared" si="347"/>
        <v>0</v>
      </c>
      <c r="O739" s="58">
        <f t="shared" si="347"/>
        <v>0</v>
      </c>
      <c r="P739" s="58">
        <f t="shared" si="347"/>
        <v>-22396.134317447119</v>
      </c>
      <c r="Q739" s="58">
        <f t="shared" si="348"/>
        <v>-9902.8259257644859</v>
      </c>
      <c r="R739" s="58">
        <f t="shared" si="348"/>
        <v>-2471.7588704483092</v>
      </c>
      <c r="S739" s="58">
        <f t="shared" si="348"/>
        <v>-3631.8698388433654</v>
      </c>
      <c r="T739" s="58">
        <f t="shared" si="348"/>
        <v>-130.25119859682917</v>
      </c>
      <c r="U739" s="58">
        <f t="shared" si="348"/>
        <v>-132.31987965182103</v>
      </c>
      <c r="V739" s="58">
        <f t="shared" si="348"/>
        <v>0</v>
      </c>
      <c r="W739" s="58">
        <f t="shared" si="348"/>
        <v>0</v>
      </c>
      <c r="X739" s="58">
        <f t="shared" si="348"/>
        <v>0</v>
      </c>
      <c r="Y739" s="58">
        <f t="shared" si="348"/>
        <v>0</v>
      </c>
      <c r="Z739" s="58">
        <f t="shared" si="348"/>
        <v>0</v>
      </c>
      <c r="AA739" s="58">
        <f t="shared" si="349"/>
        <v>-539866</v>
      </c>
      <c r="AB739" s="68" t="str">
        <f t="shared" si="350"/>
        <v>ok</v>
      </c>
    </row>
    <row r="740" spans="1:28" s="39" customFormat="1">
      <c r="B740" s="39" t="s">
        <v>1458</v>
      </c>
      <c r="E740" s="39" t="s">
        <v>919</v>
      </c>
      <c r="F740" s="58">
        <v>-6108465</v>
      </c>
      <c r="G740" s="58">
        <f t="shared" si="347"/>
        <v>-2363360.6014745669</v>
      </c>
      <c r="H740" s="58">
        <f t="shared" si="347"/>
        <v>-781255.01835307456</v>
      </c>
      <c r="I740" s="58">
        <f t="shared" si="347"/>
        <v>-114725.44242055168</v>
      </c>
      <c r="J740" s="58">
        <f t="shared" si="347"/>
        <v>-1197367.1220955146</v>
      </c>
      <c r="K740" s="58">
        <f t="shared" si="347"/>
        <v>-909944.52376571565</v>
      </c>
      <c r="L740" s="58">
        <f t="shared" si="347"/>
        <v>-304324.51387298241</v>
      </c>
      <c r="M740" s="58">
        <f t="shared" si="347"/>
        <v>0</v>
      </c>
      <c r="N740" s="58">
        <f t="shared" si="347"/>
        <v>0</v>
      </c>
      <c r="O740" s="58">
        <f t="shared" si="347"/>
        <v>0</v>
      </c>
      <c r="P740" s="58">
        <f t="shared" si="347"/>
        <v>-253407.33184424395</v>
      </c>
      <c r="Q740" s="58">
        <f t="shared" si="348"/>
        <v>-112048.29637099753</v>
      </c>
      <c r="R740" s="58">
        <f t="shared" si="348"/>
        <v>-27967.407742982574</v>
      </c>
      <c r="S740" s="58">
        <f t="shared" si="348"/>
        <v>-41093.80808409927</v>
      </c>
      <c r="T740" s="58">
        <f t="shared" si="348"/>
        <v>-1473.763652159573</v>
      </c>
      <c r="U740" s="58">
        <f t="shared" si="348"/>
        <v>-1497.1703231123295</v>
      </c>
      <c r="V740" s="58">
        <f t="shared" si="348"/>
        <v>0</v>
      </c>
      <c r="W740" s="58">
        <f t="shared" si="348"/>
        <v>0</v>
      </c>
      <c r="X740" s="58">
        <f t="shared" si="348"/>
        <v>0</v>
      </c>
      <c r="Y740" s="58">
        <f t="shared" si="348"/>
        <v>0</v>
      </c>
      <c r="Z740" s="58">
        <f t="shared" si="348"/>
        <v>0</v>
      </c>
      <c r="AA740" s="58">
        <f>SUM(G740:Z740)</f>
        <v>-6108465</v>
      </c>
      <c r="AB740" s="68" t="str">
        <f>IF(ABS(F740-AA740)&lt;0.01,"ok","err")</f>
        <v>ok</v>
      </c>
    </row>
    <row r="741" spans="1:28" s="39" customFormat="1">
      <c r="B741" s="39" t="s">
        <v>1397</v>
      </c>
      <c r="E741" s="39" t="s">
        <v>1034</v>
      </c>
      <c r="F741" s="58">
        <v>2741079</v>
      </c>
      <c r="G741" s="58">
        <f t="shared" si="347"/>
        <v>1005273.9899481108</v>
      </c>
      <c r="H741" s="58">
        <f t="shared" si="347"/>
        <v>335668.26413240429</v>
      </c>
      <c r="I741" s="58">
        <f t="shared" si="347"/>
        <v>54751.595902657449</v>
      </c>
      <c r="J741" s="58">
        <f t="shared" si="347"/>
        <v>551829.67347161472</v>
      </c>
      <c r="K741" s="58">
        <f t="shared" si="347"/>
        <v>441975.31896504393</v>
      </c>
      <c r="L741" s="58">
        <f t="shared" si="347"/>
        <v>141323.73785129248</v>
      </c>
      <c r="M741" s="58">
        <f t="shared" si="347"/>
        <v>0</v>
      </c>
      <c r="N741" s="58">
        <f t="shared" si="347"/>
        <v>0</v>
      </c>
      <c r="O741" s="58">
        <f t="shared" si="347"/>
        <v>0</v>
      </c>
      <c r="P741" s="58">
        <f t="shared" si="347"/>
        <v>119983.08409947614</v>
      </c>
      <c r="Q741" s="58">
        <f t="shared" si="348"/>
        <v>50366.642671537513</v>
      </c>
      <c r="R741" s="58">
        <f t="shared" si="348"/>
        <v>13535.493794954942</v>
      </c>
      <c r="S741" s="58">
        <f t="shared" si="348"/>
        <v>24760.256718818451</v>
      </c>
      <c r="T741" s="58">
        <f t="shared" si="348"/>
        <v>877.59237194542402</v>
      </c>
      <c r="U741" s="58">
        <f t="shared" si="348"/>
        <v>733.35007214423285</v>
      </c>
      <c r="V741" s="58">
        <f t="shared" si="348"/>
        <v>0</v>
      </c>
      <c r="W741" s="58">
        <f t="shared" si="348"/>
        <v>0</v>
      </c>
      <c r="X741" s="58">
        <f t="shared" si="348"/>
        <v>0</v>
      </c>
      <c r="Y741" s="58">
        <f t="shared" si="348"/>
        <v>0</v>
      </c>
      <c r="Z741" s="58">
        <f t="shared" si="348"/>
        <v>0</v>
      </c>
      <c r="AA741" s="58">
        <f t="shared" si="349"/>
        <v>2741079</v>
      </c>
      <c r="AB741" s="68" t="str">
        <f t="shared" si="350"/>
        <v>ok</v>
      </c>
    </row>
    <row r="742" spans="1:28" s="39" customFormat="1">
      <c r="B742" s="39" t="s">
        <v>944</v>
      </c>
      <c r="E742" s="39" t="s">
        <v>945</v>
      </c>
      <c r="F742" s="58">
        <v>-14412912</v>
      </c>
      <c r="G742" s="58">
        <f t="shared" ref="G742:P748" si="351">IF(VLOOKUP($E742,$D$6:$AN$1197,3,)=0,0,(VLOOKUP($E742,$D$6:$AN$1197,G$2,)/VLOOKUP($E742,$D$6:$AN$1197,3,))*$F742)</f>
        <v>-9990909.5289991163</v>
      </c>
      <c r="H742" s="58">
        <f t="shared" si="351"/>
        <v>-2375008.3376343464</v>
      </c>
      <c r="I742" s="58">
        <f t="shared" si="351"/>
        <v>-134389.65698458001</v>
      </c>
      <c r="J742" s="58">
        <f t="shared" si="351"/>
        <v>-1367715.4308452755</v>
      </c>
      <c r="K742" s="58">
        <f t="shared" si="351"/>
        <v>-254612.10285825847</v>
      </c>
      <c r="L742" s="58">
        <f t="shared" si="351"/>
        <v>-290276.94267842348</v>
      </c>
      <c r="M742" s="58">
        <f t="shared" si="351"/>
        <v>0</v>
      </c>
      <c r="N742" s="58">
        <f t="shared" si="351"/>
        <v>0</v>
      </c>
      <c r="O742" s="58">
        <f t="shared" si="351"/>
        <v>0</v>
      </c>
      <c r="P742" s="58">
        <f t="shared" si="351"/>
        <v>0</v>
      </c>
      <c r="Q742" s="58">
        <f t="shared" ref="Q742:Z748" si="352">IF(VLOOKUP($E742,$D$6:$AN$1197,3,)=0,0,(VLOOKUP($E742,$D$6:$AN$1197,Q$2,)/VLOOKUP($E742,$D$6:$AN$1197,3,))*$F742)</f>
        <v>0</v>
      </c>
      <c r="R742" s="58">
        <f t="shared" si="352"/>
        <v>0</v>
      </c>
      <c r="S742" s="58">
        <f t="shared" si="352"/>
        <v>0</v>
      </c>
      <c r="T742" s="58">
        <f t="shared" si="352"/>
        <v>0</v>
      </c>
      <c r="U742" s="58">
        <f t="shared" si="352"/>
        <v>0</v>
      </c>
      <c r="V742" s="58">
        <f t="shared" si="352"/>
        <v>0</v>
      </c>
      <c r="W742" s="58">
        <f t="shared" si="352"/>
        <v>0</v>
      </c>
      <c r="X742" s="58">
        <f t="shared" si="352"/>
        <v>0</v>
      </c>
      <c r="Y742" s="58">
        <f t="shared" si="352"/>
        <v>0</v>
      </c>
      <c r="Z742" s="58">
        <f t="shared" si="352"/>
        <v>0</v>
      </c>
      <c r="AA742" s="58">
        <f t="shared" si="349"/>
        <v>-14412912.000000002</v>
      </c>
      <c r="AB742" s="68" t="str">
        <f t="shared" si="350"/>
        <v>ok</v>
      </c>
    </row>
    <row r="743" spans="1:28" s="39" customFormat="1">
      <c r="B743" s="39" t="s">
        <v>1401</v>
      </c>
      <c r="E743" s="39" t="s">
        <v>943</v>
      </c>
      <c r="F743" s="58">
        <v>1202528</v>
      </c>
      <c r="G743" s="58">
        <f t="shared" si="351"/>
        <v>868168.10554141586</v>
      </c>
      <c r="H743" s="58">
        <f t="shared" si="351"/>
        <v>109143.66591383296</v>
      </c>
      <c r="I743" s="58">
        <f t="shared" si="351"/>
        <v>209.29503232134192</v>
      </c>
      <c r="J743" s="58">
        <f t="shared" si="351"/>
        <v>7138.1917494067084</v>
      </c>
      <c r="K743" s="58">
        <f t="shared" si="351"/>
        <v>231.45568280242517</v>
      </c>
      <c r="L743" s="58">
        <f t="shared" si="351"/>
        <v>386.58023617000799</v>
      </c>
      <c r="M743" s="58">
        <f t="shared" si="351"/>
        <v>0</v>
      </c>
      <c r="N743" s="58">
        <f t="shared" si="351"/>
        <v>0</v>
      </c>
      <c r="O743" s="58">
        <f t="shared" si="351"/>
        <v>0</v>
      </c>
      <c r="P743" s="58">
        <f t="shared" si="351"/>
        <v>27.08523947687954</v>
      </c>
      <c r="Q743" s="58">
        <f t="shared" si="352"/>
        <v>2.46229449789814</v>
      </c>
      <c r="R743" s="58">
        <f t="shared" si="352"/>
        <v>4.9245889957962801</v>
      </c>
      <c r="S743" s="58">
        <f t="shared" si="352"/>
        <v>214283.64097408354</v>
      </c>
      <c r="T743" s="58">
        <f t="shared" si="352"/>
        <v>425.97694813637827</v>
      </c>
      <c r="U743" s="58">
        <f t="shared" si="352"/>
        <v>2506.6157988603068</v>
      </c>
      <c r="V743" s="58">
        <f t="shared" si="352"/>
        <v>0</v>
      </c>
      <c r="W743" s="58">
        <f t="shared" si="352"/>
        <v>0</v>
      </c>
      <c r="X743" s="58">
        <f t="shared" si="352"/>
        <v>0</v>
      </c>
      <c r="Y743" s="58">
        <f t="shared" si="352"/>
        <v>0</v>
      </c>
      <c r="Z743" s="58">
        <f t="shared" si="352"/>
        <v>0</v>
      </c>
      <c r="AA743" s="58">
        <f t="shared" si="349"/>
        <v>1202528.0000000002</v>
      </c>
      <c r="AB743" s="68" t="str">
        <f t="shared" si="350"/>
        <v>ok</v>
      </c>
    </row>
    <row r="744" spans="1:28" s="39" customFormat="1">
      <c r="B744" s="127" t="s">
        <v>1402</v>
      </c>
      <c r="E744" s="39" t="s">
        <v>1279</v>
      </c>
      <c r="F744" s="58">
        <v>-101432</v>
      </c>
      <c r="G744" s="58">
        <f t="shared" si="351"/>
        <v>-87579</v>
      </c>
      <c r="H744" s="58">
        <f t="shared" si="351"/>
        <v>-2148925</v>
      </c>
      <c r="I744" s="58">
        <f t="shared" si="351"/>
        <v>-301015</v>
      </c>
      <c r="J744" s="58">
        <f t="shared" si="351"/>
        <v>-1256382</v>
      </c>
      <c r="K744" s="58">
        <f t="shared" si="351"/>
        <v>453445</v>
      </c>
      <c r="L744" s="58">
        <f t="shared" si="351"/>
        <v>3016796</v>
      </c>
      <c r="M744" s="58">
        <f t="shared" si="351"/>
        <v>0</v>
      </c>
      <c r="N744" s="58">
        <f t="shared" si="351"/>
        <v>0</v>
      </c>
      <c r="O744" s="58">
        <f t="shared" si="351"/>
        <v>0</v>
      </c>
      <c r="P744" s="58">
        <f t="shared" si="351"/>
        <v>0</v>
      </c>
      <c r="Q744" s="58">
        <f t="shared" si="352"/>
        <v>0</v>
      </c>
      <c r="R744" s="58">
        <f t="shared" si="352"/>
        <v>221863</v>
      </c>
      <c r="S744" s="58">
        <f t="shared" si="352"/>
        <v>0</v>
      </c>
      <c r="T744" s="58">
        <f t="shared" si="352"/>
        <v>365</v>
      </c>
      <c r="U744" s="58">
        <f t="shared" si="352"/>
        <v>0</v>
      </c>
      <c r="V744" s="58">
        <f t="shared" si="352"/>
        <v>0</v>
      </c>
      <c r="W744" s="58">
        <f t="shared" si="352"/>
        <v>0</v>
      </c>
      <c r="X744" s="58">
        <f t="shared" si="352"/>
        <v>0</v>
      </c>
      <c r="Y744" s="58">
        <f t="shared" si="352"/>
        <v>0</v>
      </c>
      <c r="Z744" s="58">
        <f t="shared" si="352"/>
        <v>0</v>
      </c>
      <c r="AA744" s="58">
        <f>SUM(G744:Z744)</f>
        <v>-101432</v>
      </c>
      <c r="AB744" s="68" t="str">
        <f t="shared" si="350"/>
        <v>ok</v>
      </c>
    </row>
    <row r="745" spans="1:28" s="39" customFormat="1" hidden="1">
      <c r="B745" s="85" t="s">
        <v>1280</v>
      </c>
      <c r="E745" s="39" t="s">
        <v>130</v>
      </c>
      <c r="F745" s="58">
        <v>0</v>
      </c>
      <c r="G745" s="58">
        <f t="shared" si="351"/>
        <v>0</v>
      </c>
      <c r="H745" s="58">
        <f t="shared" si="351"/>
        <v>0</v>
      </c>
      <c r="I745" s="58">
        <f t="shared" si="351"/>
        <v>0</v>
      </c>
      <c r="J745" s="58">
        <f t="shared" si="351"/>
        <v>0</v>
      </c>
      <c r="K745" s="58">
        <f t="shared" si="351"/>
        <v>0</v>
      </c>
      <c r="L745" s="58">
        <f t="shared" si="351"/>
        <v>0</v>
      </c>
      <c r="M745" s="58">
        <f t="shared" si="351"/>
        <v>0</v>
      </c>
      <c r="N745" s="58">
        <f t="shared" si="351"/>
        <v>0</v>
      </c>
      <c r="O745" s="58">
        <f t="shared" si="351"/>
        <v>0</v>
      </c>
      <c r="P745" s="58">
        <f t="shared" si="351"/>
        <v>0</v>
      </c>
      <c r="Q745" s="58">
        <f t="shared" si="352"/>
        <v>0</v>
      </c>
      <c r="R745" s="58">
        <f t="shared" si="352"/>
        <v>0</v>
      </c>
      <c r="S745" s="58">
        <f t="shared" si="352"/>
        <v>0</v>
      </c>
      <c r="T745" s="58">
        <f t="shared" si="352"/>
        <v>0</v>
      </c>
      <c r="U745" s="58">
        <f t="shared" si="352"/>
        <v>0</v>
      </c>
      <c r="V745" s="58">
        <f t="shared" si="352"/>
        <v>0</v>
      </c>
      <c r="W745" s="58">
        <f t="shared" si="352"/>
        <v>0</v>
      </c>
      <c r="X745" s="58">
        <f t="shared" si="352"/>
        <v>0</v>
      </c>
      <c r="Y745" s="58">
        <f t="shared" si="352"/>
        <v>0</v>
      </c>
      <c r="Z745" s="58">
        <f t="shared" si="352"/>
        <v>0</v>
      </c>
      <c r="AA745" s="58">
        <f>SUM(G745:Z745)</f>
        <v>0</v>
      </c>
      <c r="AB745" s="68" t="str">
        <f t="shared" si="350"/>
        <v>ok</v>
      </c>
    </row>
    <row r="746" spans="1:28" s="39" customFormat="1">
      <c r="B746" s="39" t="s">
        <v>1461</v>
      </c>
      <c r="E746" s="39" t="s">
        <v>130</v>
      </c>
      <c r="F746" s="58">
        <v>10864</v>
      </c>
      <c r="G746" s="58">
        <f t="shared" si="351"/>
        <v>4363.5657166132505</v>
      </c>
      <c r="H746" s="58">
        <f t="shared" si="351"/>
        <v>1633.6344063432812</v>
      </c>
      <c r="I746" s="58">
        <f t="shared" si="351"/>
        <v>208.09189604169779</v>
      </c>
      <c r="J746" s="58">
        <f t="shared" si="351"/>
        <v>2130.3566061851006</v>
      </c>
      <c r="K746" s="58">
        <f t="shared" si="351"/>
        <v>1343.1461827700575</v>
      </c>
      <c r="L746" s="58">
        <f t="shared" si="351"/>
        <v>448.513831075702</v>
      </c>
      <c r="M746" s="58">
        <f t="shared" si="351"/>
        <v>0</v>
      </c>
      <c r="N746" s="58">
        <f t="shared" si="351"/>
        <v>0</v>
      </c>
      <c r="O746" s="58">
        <f t="shared" si="351"/>
        <v>0</v>
      </c>
      <c r="P746" s="58">
        <f t="shared" si="351"/>
        <v>347.70902510403522</v>
      </c>
      <c r="Q746" s="58">
        <f t="shared" si="352"/>
        <v>143.42666142281703</v>
      </c>
      <c r="R746" s="58">
        <f t="shared" si="352"/>
        <v>34.103035818693613</v>
      </c>
      <c r="S746" s="58">
        <f t="shared" si="352"/>
        <v>205.78266907318329</v>
      </c>
      <c r="T746" s="58">
        <f t="shared" si="352"/>
        <v>2.5966484304201551</v>
      </c>
      <c r="U746" s="58">
        <f t="shared" si="352"/>
        <v>3.0733211217610514</v>
      </c>
      <c r="V746" s="58">
        <f t="shared" si="352"/>
        <v>0</v>
      </c>
      <c r="W746" s="58">
        <f t="shared" si="352"/>
        <v>0</v>
      </c>
      <c r="X746" s="58">
        <f t="shared" si="352"/>
        <v>0</v>
      </c>
      <c r="Y746" s="58">
        <f t="shared" si="352"/>
        <v>0</v>
      </c>
      <c r="Z746" s="58">
        <f t="shared" si="352"/>
        <v>0</v>
      </c>
      <c r="AA746" s="58">
        <f>SUM(G746:Z746)</f>
        <v>10864</v>
      </c>
      <c r="AB746" s="68" t="str">
        <f t="shared" si="350"/>
        <v>ok</v>
      </c>
    </row>
    <row r="747" spans="1:28" s="39" customFormat="1" hidden="1">
      <c r="B747" s="193" t="s">
        <v>1282</v>
      </c>
      <c r="E747" s="39" t="s">
        <v>1198</v>
      </c>
      <c r="F747" s="192">
        <v>0</v>
      </c>
      <c r="G747" s="58">
        <f t="shared" si="351"/>
        <v>0</v>
      </c>
      <c r="H747" s="58">
        <f t="shared" si="351"/>
        <v>0</v>
      </c>
      <c r="I747" s="58">
        <f t="shared" si="351"/>
        <v>0</v>
      </c>
      <c r="J747" s="58">
        <f t="shared" si="351"/>
        <v>0</v>
      </c>
      <c r="K747" s="58">
        <f t="shared" si="351"/>
        <v>0</v>
      </c>
      <c r="L747" s="58">
        <f t="shared" si="351"/>
        <v>0</v>
      </c>
      <c r="M747" s="58">
        <f t="shared" si="351"/>
        <v>0</v>
      </c>
      <c r="N747" s="58">
        <f t="shared" si="351"/>
        <v>0</v>
      </c>
      <c r="O747" s="58">
        <f t="shared" si="351"/>
        <v>0</v>
      </c>
      <c r="P747" s="58">
        <f t="shared" si="351"/>
        <v>0</v>
      </c>
      <c r="Q747" s="58">
        <f t="shared" si="352"/>
        <v>0</v>
      </c>
      <c r="R747" s="58">
        <f t="shared" si="352"/>
        <v>0</v>
      </c>
      <c r="S747" s="58">
        <f t="shared" si="352"/>
        <v>0</v>
      </c>
      <c r="T747" s="58">
        <f t="shared" si="352"/>
        <v>0</v>
      </c>
      <c r="U747" s="58">
        <f t="shared" si="352"/>
        <v>0</v>
      </c>
      <c r="V747" s="58">
        <f t="shared" si="352"/>
        <v>0</v>
      </c>
      <c r="W747" s="58">
        <f t="shared" si="352"/>
        <v>0</v>
      </c>
      <c r="X747" s="58">
        <f t="shared" si="352"/>
        <v>0</v>
      </c>
      <c r="Y747" s="58">
        <f t="shared" si="352"/>
        <v>0</v>
      </c>
      <c r="Z747" s="58">
        <f t="shared" si="352"/>
        <v>0</v>
      </c>
      <c r="AA747" s="58">
        <f>SUM(G747:Z747)</f>
        <v>0</v>
      </c>
      <c r="AB747" s="68" t="str">
        <f t="shared" si="350"/>
        <v>ok</v>
      </c>
    </row>
    <row r="748" spans="1:28" s="39" customFormat="1" hidden="1">
      <c r="B748" s="194" t="s">
        <v>1024</v>
      </c>
      <c r="E748" s="39" t="s">
        <v>991</v>
      </c>
      <c r="F748" s="192">
        <v>0</v>
      </c>
      <c r="G748" s="58">
        <f t="shared" si="351"/>
        <v>0</v>
      </c>
      <c r="H748" s="58">
        <f t="shared" si="351"/>
        <v>0</v>
      </c>
      <c r="I748" s="58">
        <f t="shared" si="351"/>
        <v>0</v>
      </c>
      <c r="J748" s="58">
        <f t="shared" si="351"/>
        <v>0</v>
      </c>
      <c r="K748" s="58">
        <f t="shared" si="351"/>
        <v>0</v>
      </c>
      <c r="L748" s="58">
        <f t="shared" si="351"/>
        <v>0</v>
      </c>
      <c r="M748" s="58">
        <f t="shared" si="351"/>
        <v>0</v>
      </c>
      <c r="N748" s="58">
        <f t="shared" si="351"/>
        <v>0</v>
      </c>
      <c r="O748" s="58">
        <f t="shared" si="351"/>
        <v>0</v>
      </c>
      <c r="P748" s="58">
        <f t="shared" si="351"/>
        <v>0</v>
      </c>
      <c r="Q748" s="58">
        <f t="shared" si="352"/>
        <v>0</v>
      </c>
      <c r="R748" s="58">
        <f t="shared" si="352"/>
        <v>0</v>
      </c>
      <c r="S748" s="58">
        <f t="shared" si="352"/>
        <v>0</v>
      </c>
      <c r="T748" s="58">
        <f t="shared" si="352"/>
        <v>0</v>
      </c>
      <c r="U748" s="58">
        <f t="shared" si="352"/>
        <v>0</v>
      </c>
      <c r="V748" s="58">
        <f t="shared" si="352"/>
        <v>0</v>
      </c>
      <c r="W748" s="58">
        <f t="shared" si="352"/>
        <v>0</v>
      </c>
      <c r="X748" s="58">
        <f t="shared" si="352"/>
        <v>0</v>
      </c>
      <c r="Y748" s="58">
        <f t="shared" si="352"/>
        <v>0</v>
      </c>
      <c r="Z748" s="58">
        <f t="shared" si="352"/>
        <v>0</v>
      </c>
      <c r="AA748" s="58">
        <f>SUM(G748:Z748)</f>
        <v>0</v>
      </c>
      <c r="AB748" s="68" t="str">
        <f t="shared" si="350"/>
        <v>ok</v>
      </c>
    </row>
    <row r="749" spans="1:28" s="39" customFormat="1">
      <c r="E749" s="86"/>
      <c r="F749" s="59"/>
      <c r="G749" s="59"/>
    </row>
    <row r="750" spans="1:28" s="39" customFormat="1">
      <c r="A750" s="39" t="s">
        <v>137</v>
      </c>
      <c r="E750" s="86"/>
      <c r="F750" s="59">
        <f t="shared" ref="F750:Z750" si="353">SUM(F729:F748)</f>
        <v>983266245.60000002</v>
      </c>
      <c r="G750" s="59">
        <f t="shared" si="353"/>
        <v>392596289.96232134</v>
      </c>
      <c r="H750" s="59">
        <f t="shared" si="353"/>
        <v>143422627.46525034</v>
      </c>
      <c r="I750" s="59">
        <f t="shared" si="353"/>
        <v>18472103.679363709</v>
      </c>
      <c r="J750" s="59">
        <f t="shared" si="353"/>
        <v>191420558.2696141</v>
      </c>
      <c r="K750" s="59">
        <f t="shared" si="353"/>
        <v>124878893.95462218</v>
      </c>
      <c r="L750" s="59">
        <f t="shared" si="353"/>
        <v>44367567.420331962</v>
      </c>
      <c r="M750" s="59">
        <f t="shared" si="353"/>
        <v>0</v>
      </c>
      <c r="N750" s="59">
        <f t="shared" si="353"/>
        <v>0</v>
      </c>
      <c r="O750" s="59">
        <f t="shared" si="353"/>
        <v>0</v>
      </c>
      <c r="P750" s="59">
        <f t="shared" si="353"/>
        <v>32446128.112328146</v>
      </c>
      <c r="Q750" s="59">
        <f t="shared" si="353"/>
        <v>13470459.835474478</v>
      </c>
      <c r="R750" s="59">
        <f t="shared" si="353"/>
        <v>3454437.2506257729</v>
      </c>
      <c r="S750" s="59">
        <f t="shared" si="353"/>
        <v>18217095.846737977</v>
      </c>
      <c r="T750" s="59">
        <f t="shared" si="353"/>
        <v>239985.23563130843</v>
      </c>
      <c r="U750" s="59">
        <f t="shared" si="353"/>
        <v>280098.56769866985</v>
      </c>
      <c r="V750" s="59">
        <f t="shared" si="353"/>
        <v>0</v>
      </c>
      <c r="W750" s="59">
        <f t="shared" si="353"/>
        <v>0</v>
      </c>
      <c r="X750" s="59">
        <f t="shared" si="353"/>
        <v>0</v>
      </c>
      <c r="Y750" s="59">
        <f t="shared" si="353"/>
        <v>0</v>
      </c>
      <c r="Z750" s="59">
        <f t="shared" si="353"/>
        <v>0</v>
      </c>
      <c r="AA750" s="59">
        <f>SUM(G750:Z750)</f>
        <v>983266245.60000002</v>
      </c>
      <c r="AB750" s="68" t="str">
        <f>IF(ABS(F750-AA750)&lt;0.01,"ok","err")</f>
        <v>ok</v>
      </c>
    </row>
    <row r="751" spans="1:28" s="39" customFormat="1" ht="16.5" customHeight="1">
      <c r="E751" s="59"/>
    </row>
    <row r="752" spans="1:28" s="39" customFormat="1">
      <c r="E752" s="86"/>
      <c r="F752" s="86"/>
    </row>
    <row r="753" spans="1:28" s="39" customFormat="1">
      <c r="A753" s="44" t="s">
        <v>224</v>
      </c>
      <c r="E753" s="86"/>
      <c r="F753" s="86"/>
      <c r="G753" s="86"/>
    </row>
    <row r="754" spans="1:28" s="39" customFormat="1">
      <c r="E754" s="86"/>
      <c r="F754" s="86"/>
    </row>
    <row r="755" spans="1:28" s="39" customFormat="1">
      <c r="A755" s="44" t="s">
        <v>1222</v>
      </c>
      <c r="F755" s="59"/>
    </row>
    <row r="756" spans="1:28" s="39" customFormat="1"/>
    <row r="757" spans="1:28">
      <c r="A757" s="45" t="s">
        <v>1223</v>
      </c>
      <c r="F757" s="59">
        <f t="shared" ref="F757:AA757" si="354">F225</f>
        <v>728886233.41999996</v>
      </c>
      <c r="G757" s="59">
        <f t="shared" si="354"/>
        <v>305307217.92472637</v>
      </c>
      <c r="H757" s="59">
        <f t="shared" si="354"/>
        <v>93902408.21785973</v>
      </c>
      <c r="I757" s="59">
        <f t="shared" si="354"/>
        <v>12711406.609503428</v>
      </c>
      <c r="J757" s="59">
        <f t="shared" si="354"/>
        <v>132081405.25457406</v>
      </c>
      <c r="K757" s="59">
        <f t="shared" si="354"/>
        <v>101149914.31181432</v>
      </c>
      <c r="L757" s="59">
        <f t="shared" si="354"/>
        <v>33505511.516874291</v>
      </c>
      <c r="M757" s="59">
        <f t="shared" si="354"/>
        <v>0</v>
      </c>
      <c r="N757" s="59">
        <f t="shared" si="354"/>
        <v>0</v>
      </c>
      <c r="O757" s="59">
        <f t="shared" si="354"/>
        <v>0</v>
      </c>
      <c r="P757" s="59">
        <f t="shared" si="354"/>
        <v>27195885.448624581</v>
      </c>
      <c r="Q757" s="59">
        <f t="shared" si="354"/>
        <v>12077570.071295293</v>
      </c>
      <c r="R757" s="59">
        <f t="shared" si="354"/>
        <v>3118170.5959075131</v>
      </c>
      <c r="S757" s="59">
        <f t="shared" si="354"/>
        <v>7447585.5020030765</v>
      </c>
      <c r="T757" s="59">
        <f t="shared" si="354"/>
        <v>188006.2921055039</v>
      </c>
      <c r="U757" s="59">
        <f t="shared" si="354"/>
        <v>201151.67471183612</v>
      </c>
      <c r="V757" s="59">
        <f t="shared" si="354"/>
        <v>0</v>
      </c>
      <c r="W757" s="59">
        <f t="shared" si="354"/>
        <v>0</v>
      </c>
      <c r="X757" s="43">
        <f t="shared" si="354"/>
        <v>0</v>
      </c>
      <c r="Y757" s="43">
        <f t="shared" si="354"/>
        <v>0</v>
      </c>
      <c r="Z757" s="43">
        <f t="shared" si="354"/>
        <v>0</v>
      </c>
      <c r="AA757" s="43">
        <f t="shared" si="354"/>
        <v>728886233.42000008</v>
      </c>
      <c r="AB757" s="37" t="str">
        <f t="shared" ref="AB757:AB768" si="355">IF(ABS(F757-AA757)&lt;0.01,"ok","err")</f>
        <v>ok</v>
      </c>
    </row>
    <row r="758" spans="1:28">
      <c r="A758" s="45" t="s">
        <v>1224</v>
      </c>
      <c r="F758" s="58">
        <f t="shared" ref="F758:AA758" si="356">F335</f>
        <v>121970362.90470001</v>
      </c>
      <c r="G758" s="58">
        <f t="shared" si="356"/>
        <v>57061244.857888818</v>
      </c>
      <c r="H758" s="58">
        <f t="shared" si="356"/>
        <v>16073908.150163444</v>
      </c>
      <c r="I758" s="58">
        <f t="shared" si="356"/>
        <v>1738469.1876829516</v>
      </c>
      <c r="J758" s="58">
        <f t="shared" si="356"/>
        <v>19861565.604748726</v>
      </c>
      <c r="K758" s="58">
        <f t="shared" si="356"/>
        <v>13434929.144042499</v>
      </c>
      <c r="L758" s="58">
        <f t="shared" si="356"/>
        <v>4948009.9062614674</v>
      </c>
      <c r="M758" s="58">
        <f t="shared" si="356"/>
        <v>0</v>
      </c>
      <c r="N758" s="58">
        <f t="shared" si="356"/>
        <v>0</v>
      </c>
      <c r="O758" s="58">
        <f t="shared" si="356"/>
        <v>0</v>
      </c>
      <c r="P758" s="58">
        <f t="shared" si="356"/>
        <v>3651488.3104545465</v>
      </c>
      <c r="Q758" s="58">
        <f t="shared" si="356"/>
        <v>1893564.8548977433</v>
      </c>
      <c r="R758" s="58">
        <f t="shared" si="356"/>
        <v>417843.82407441281</v>
      </c>
      <c r="S758" s="58">
        <f t="shared" si="356"/>
        <v>2846150.819896251</v>
      </c>
      <c r="T758" s="58">
        <f t="shared" si="356"/>
        <v>15237.906819812815</v>
      </c>
      <c r="U758" s="58">
        <f t="shared" si="356"/>
        <v>27950.337769323643</v>
      </c>
      <c r="V758" s="58">
        <f t="shared" si="356"/>
        <v>0</v>
      </c>
      <c r="W758" s="58">
        <f t="shared" si="356"/>
        <v>0</v>
      </c>
      <c r="X758" s="42">
        <f t="shared" si="356"/>
        <v>0</v>
      </c>
      <c r="Y758" s="42">
        <f t="shared" si="356"/>
        <v>0</v>
      </c>
      <c r="Z758" s="42">
        <f t="shared" si="356"/>
        <v>0</v>
      </c>
      <c r="AA758" s="42">
        <f t="shared" si="356"/>
        <v>121970362.9047</v>
      </c>
      <c r="AB758" s="37" t="str">
        <f t="shared" si="355"/>
        <v>ok</v>
      </c>
    </row>
    <row r="759" spans="1:28">
      <c r="A759" s="85" t="s">
        <v>297</v>
      </c>
      <c r="F759" s="58">
        <f t="shared" ref="F759:Z759" si="357">F687</f>
        <v>-3858162.4899999998</v>
      </c>
      <c r="G759" s="58">
        <f t="shared" si="357"/>
        <v>-1623917.5905385963</v>
      </c>
      <c r="H759" s="58">
        <f t="shared" si="357"/>
        <v>-525580.78808930912</v>
      </c>
      <c r="I759" s="58">
        <f t="shared" si="357"/>
        <v>-64743.296570773055</v>
      </c>
      <c r="J759" s="58">
        <f t="shared" si="357"/>
        <v>-719597.74509817176</v>
      </c>
      <c r="K759" s="58">
        <f t="shared" si="357"/>
        <v>-496724.1315180735</v>
      </c>
      <c r="L759" s="58">
        <f t="shared" si="357"/>
        <v>-180489.25763131847</v>
      </c>
      <c r="M759" s="58">
        <f t="shared" si="357"/>
        <v>0</v>
      </c>
      <c r="N759" s="58">
        <f t="shared" si="357"/>
        <v>0</v>
      </c>
      <c r="O759" s="58">
        <f t="shared" si="357"/>
        <v>0</v>
      </c>
      <c r="P759" s="58">
        <f t="shared" si="357"/>
        <v>-144733.63659718577</v>
      </c>
      <c r="Q759" s="58">
        <f t="shared" si="357"/>
        <v>-70074.685919132928</v>
      </c>
      <c r="R759" s="58">
        <f t="shared" si="357"/>
        <v>-15377.054329954299</v>
      </c>
      <c r="S759" s="58">
        <f t="shared" si="357"/>
        <v>-15657.472904311726</v>
      </c>
      <c r="T759" s="58">
        <f t="shared" si="357"/>
        <v>-453.7840772854309</v>
      </c>
      <c r="U759" s="58">
        <f t="shared" si="357"/>
        <v>-813.04672588736389</v>
      </c>
      <c r="V759" s="58">
        <f t="shared" si="357"/>
        <v>0</v>
      </c>
      <c r="W759" s="58">
        <f t="shared" si="357"/>
        <v>0</v>
      </c>
      <c r="X759" s="42">
        <f t="shared" si="357"/>
        <v>0</v>
      </c>
      <c r="Y759" s="42">
        <f t="shared" si="357"/>
        <v>0</v>
      </c>
      <c r="Z759" s="42">
        <f t="shared" si="357"/>
        <v>0</v>
      </c>
      <c r="AA759" s="42">
        <f t="shared" ref="AA759:AA764" si="358">SUM(G759:Z759)</f>
        <v>-3858162.49</v>
      </c>
      <c r="AB759" s="37" t="str">
        <f t="shared" si="355"/>
        <v>ok</v>
      </c>
    </row>
    <row r="760" spans="1:28">
      <c r="A760" s="45" t="s">
        <v>866</v>
      </c>
      <c r="F760" s="58">
        <f t="shared" ref="F760:Z760" si="359">F688</f>
        <v>1651509.7999999998</v>
      </c>
      <c r="G760" s="58">
        <f t="shared" si="359"/>
        <v>698452.09355028602</v>
      </c>
      <c r="H760" s="58">
        <f t="shared" si="359"/>
        <v>224663.46391621223</v>
      </c>
      <c r="I760" s="58">
        <f t="shared" si="359"/>
        <v>27534.689039482153</v>
      </c>
      <c r="J760" s="58">
        <f t="shared" si="359"/>
        <v>306351.00610266381</v>
      </c>
      <c r="K760" s="58">
        <f t="shared" si="359"/>
        <v>211308.25945985728</v>
      </c>
      <c r="L760" s="58">
        <f t="shared" si="359"/>
        <v>76819.301869082061</v>
      </c>
      <c r="M760" s="58">
        <f t="shared" si="359"/>
        <v>0</v>
      </c>
      <c r="N760" s="58">
        <f t="shared" si="359"/>
        <v>0</v>
      </c>
      <c r="O760" s="58">
        <f t="shared" si="359"/>
        <v>0</v>
      </c>
      <c r="P760" s="58">
        <f t="shared" si="359"/>
        <v>61417.381431490459</v>
      </c>
      <c r="Q760" s="58">
        <f t="shared" si="359"/>
        <v>29809.011039821791</v>
      </c>
      <c r="R760" s="58">
        <f t="shared" si="359"/>
        <v>6542.5816874179081</v>
      </c>
      <c r="S760" s="58">
        <f t="shared" si="359"/>
        <v>8067.9139680640419</v>
      </c>
      <c r="T760" s="58">
        <f t="shared" si="359"/>
        <v>194.76322030287625</v>
      </c>
      <c r="U760" s="58">
        <f t="shared" si="359"/>
        <v>349.33471531944878</v>
      </c>
      <c r="V760" s="58">
        <f t="shared" si="359"/>
        <v>0</v>
      </c>
      <c r="W760" s="58">
        <f t="shared" si="359"/>
        <v>0</v>
      </c>
      <c r="X760" s="42">
        <f t="shared" si="359"/>
        <v>0</v>
      </c>
      <c r="Y760" s="42">
        <f t="shared" si="359"/>
        <v>0</v>
      </c>
      <c r="Z760" s="42">
        <f t="shared" si="359"/>
        <v>0</v>
      </c>
      <c r="AA760" s="42">
        <f t="shared" si="358"/>
        <v>1651509.8000000003</v>
      </c>
      <c r="AB760" s="37" t="str">
        <f t="shared" si="355"/>
        <v>ok</v>
      </c>
    </row>
    <row r="761" spans="1:28">
      <c r="A761" s="39" t="s">
        <v>1274</v>
      </c>
      <c r="F761" s="58">
        <f t="shared" ref="F761:Z761" si="360">F689</f>
        <v>0</v>
      </c>
      <c r="G761" s="58">
        <f t="shared" si="360"/>
        <v>0</v>
      </c>
      <c r="H761" s="58">
        <f t="shared" si="360"/>
        <v>0</v>
      </c>
      <c r="I761" s="58">
        <f t="shared" si="360"/>
        <v>0</v>
      </c>
      <c r="J761" s="58">
        <f t="shared" si="360"/>
        <v>0</v>
      </c>
      <c r="K761" s="58">
        <f t="shared" si="360"/>
        <v>0</v>
      </c>
      <c r="L761" s="58">
        <f t="shared" si="360"/>
        <v>0</v>
      </c>
      <c r="M761" s="58">
        <f t="shared" si="360"/>
        <v>0</v>
      </c>
      <c r="N761" s="58">
        <f t="shared" si="360"/>
        <v>0</v>
      </c>
      <c r="O761" s="58">
        <f t="shared" si="360"/>
        <v>0</v>
      </c>
      <c r="P761" s="58">
        <f t="shared" si="360"/>
        <v>0</v>
      </c>
      <c r="Q761" s="58">
        <f t="shared" si="360"/>
        <v>0</v>
      </c>
      <c r="R761" s="58">
        <f t="shared" si="360"/>
        <v>0</v>
      </c>
      <c r="S761" s="58">
        <f t="shared" si="360"/>
        <v>0</v>
      </c>
      <c r="T761" s="58">
        <f t="shared" si="360"/>
        <v>0</v>
      </c>
      <c r="U761" s="58">
        <f t="shared" si="360"/>
        <v>0</v>
      </c>
      <c r="V761" s="58">
        <f t="shared" si="360"/>
        <v>0</v>
      </c>
      <c r="W761" s="58">
        <f t="shared" si="360"/>
        <v>0</v>
      </c>
      <c r="X761" s="42">
        <f t="shared" si="360"/>
        <v>0</v>
      </c>
      <c r="Y761" s="42">
        <f t="shared" si="360"/>
        <v>0</v>
      </c>
      <c r="Z761" s="42">
        <f t="shared" si="360"/>
        <v>0</v>
      </c>
      <c r="AA761" s="42">
        <f t="shared" si="358"/>
        <v>0</v>
      </c>
      <c r="AB761" s="37" t="str">
        <f t="shared" si="355"/>
        <v>ok</v>
      </c>
    </row>
    <row r="762" spans="1:28">
      <c r="A762" s="39" t="s">
        <v>1275</v>
      </c>
      <c r="F762" s="58">
        <f t="shared" ref="F762:W762" si="361">F690</f>
        <v>5925054.5099999998</v>
      </c>
      <c r="G762" s="58">
        <f t="shared" si="361"/>
        <v>2771910.9637774178</v>
      </c>
      <c r="H762" s="58">
        <f t="shared" si="361"/>
        <v>780835.43994097377</v>
      </c>
      <c r="I762" s="58">
        <f t="shared" si="361"/>
        <v>84451.045775973398</v>
      </c>
      <c r="J762" s="58">
        <f t="shared" si="361"/>
        <v>964831.58744084206</v>
      </c>
      <c r="K762" s="58">
        <f t="shared" si="361"/>
        <v>652639.58900110831</v>
      </c>
      <c r="L762" s="58">
        <f t="shared" si="361"/>
        <v>240363.54170337121</v>
      </c>
      <c r="M762" s="58">
        <f t="shared" si="361"/>
        <v>0</v>
      </c>
      <c r="N762" s="58">
        <f t="shared" si="361"/>
        <v>0</v>
      </c>
      <c r="O762" s="58">
        <f t="shared" si="361"/>
        <v>0</v>
      </c>
      <c r="P762" s="58">
        <f t="shared" si="361"/>
        <v>177381.34713082251</v>
      </c>
      <c r="Q762" s="58">
        <f t="shared" si="361"/>
        <v>91985.255403852192</v>
      </c>
      <c r="R762" s="58">
        <f t="shared" si="361"/>
        <v>20297.942675157403</v>
      </c>
      <c r="S762" s="58">
        <f t="shared" si="361"/>
        <v>138259.80631657739</v>
      </c>
      <c r="T762" s="58">
        <f t="shared" si="361"/>
        <v>740.22431659267136</v>
      </c>
      <c r="U762" s="58">
        <f t="shared" si="361"/>
        <v>1357.7665173100249</v>
      </c>
      <c r="V762" s="58">
        <f t="shared" si="361"/>
        <v>0</v>
      </c>
      <c r="W762" s="58">
        <f t="shared" si="361"/>
        <v>0</v>
      </c>
      <c r="X762" s="42"/>
      <c r="Y762" s="42"/>
      <c r="Z762" s="42"/>
      <c r="AA762" s="42">
        <f t="shared" si="358"/>
        <v>5925054.5099999988</v>
      </c>
      <c r="AB762" s="37" t="str">
        <f t="shared" si="355"/>
        <v>ok</v>
      </c>
    </row>
    <row r="763" spans="1:28">
      <c r="A763" s="45" t="s">
        <v>787</v>
      </c>
      <c r="E763" s="39" t="s">
        <v>1207</v>
      </c>
      <c r="F763" s="58">
        <f t="shared" ref="F763:W763" si="362">F691</f>
        <v>21920600.789999995</v>
      </c>
      <c r="G763" s="58">
        <f t="shared" si="362"/>
        <v>10528397.621051934</v>
      </c>
      <c r="H763" s="58">
        <f t="shared" si="362"/>
        <v>2862951.7448080746</v>
      </c>
      <c r="I763" s="58">
        <f t="shared" si="362"/>
        <v>297716.66517939628</v>
      </c>
      <c r="J763" s="58">
        <f t="shared" si="362"/>
        <v>3431647.2573720417</v>
      </c>
      <c r="K763" s="58">
        <f t="shared" si="362"/>
        <v>2306216.2750689187</v>
      </c>
      <c r="L763" s="58">
        <f t="shared" si="362"/>
        <v>853067.55304507271</v>
      </c>
      <c r="M763" s="58">
        <f t="shared" si="362"/>
        <v>0</v>
      </c>
      <c r="N763" s="58">
        <f t="shared" si="362"/>
        <v>0</v>
      </c>
      <c r="O763" s="58">
        <f t="shared" si="362"/>
        <v>0</v>
      </c>
      <c r="P763" s="58">
        <f t="shared" si="362"/>
        <v>612121.18113173335</v>
      </c>
      <c r="Q763" s="58">
        <f t="shared" si="362"/>
        <v>324948.3513502432</v>
      </c>
      <c r="R763" s="58">
        <f t="shared" si="362"/>
        <v>71834.598327797547</v>
      </c>
      <c r="S763" s="58">
        <f t="shared" si="362"/>
        <v>623787.81469790265</v>
      </c>
      <c r="T763" s="58">
        <f t="shared" si="362"/>
        <v>2781.1711871874518</v>
      </c>
      <c r="U763" s="58">
        <f t="shared" si="362"/>
        <v>5130.5567796939467</v>
      </c>
      <c r="V763" s="58">
        <f t="shared" si="362"/>
        <v>0</v>
      </c>
      <c r="W763" s="58">
        <f t="shared" si="362"/>
        <v>0</v>
      </c>
      <c r="X763" s="42">
        <f>X691</f>
        <v>0</v>
      </c>
      <c r="Y763" s="42">
        <f>Y691</f>
        <v>0</v>
      </c>
      <c r="Z763" s="42">
        <f>Z691</f>
        <v>0</v>
      </c>
      <c r="AA763" s="42">
        <f t="shared" si="358"/>
        <v>21920600.789999995</v>
      </c>
      <c r="AB763" s="37" t="str">
        <f t="shared" si="355"/>
        <v>ok</v>
      </c>
    </row>
    <row r="764" spans="1:28">
      <c r="A764" s="45" t="s">
        <v>788</v>
      </c>
      <c r="F764" s="58">
        <f t="shared" ref="F764:Z764" si="363">F556</f>
        <v>-2661472.4799999991</v>
      </c>
      <c r="G764" s="58">
        <f t="shared" si="363"/>
        <v>-1278297.1048726987</v>
      </c>
      <c r="H764" s="58">
        <f t="shared" si="363"/>
        <v>-347603.03120207833</v>
      </c>
      <c r="I764" s="58">
        <f t="shared" si="363"/>
        <v>-36147.034417679286</v>
      </c>
      <c r="J764" s="58">
        <f t="shared" si="363"/>
        <v>-416650.74894889165</v>
      </c>
      <c r="K764" s="58">
        <f t="shared" si="363"/>
        <v>-280007.43263497198</v>
      </c>
      <c r="L764" s="58">
        <f t="shared" si="363"/>
        <v>-103574.52506712983</v>
      </c>
      <c r="M764" s="58">
        <f t="shared" si="363"/>
        <v>0</v>
      </c>
      <c r="N764" s="58">
        <f t="shared" si="363"/>
        <v>0</v>
      </c>
      <c r="O764" s="58">
        <f t="shared" si="363"/>
        <v>0</v>
      </c>
      <c r="P764" s="58">
        <f t="shared" si="363"/>
        <v>-74320.211093411534</v>
      </c>
      <c r="Q764" s="58">
        <f t="shared" si="363"/>
        <v>-39453.348146122749</v>
      </c>
      <c r="R764" s="58">
        <f t="shared" si="363"/>
        <v>-8721.7411782118979</v>
      </c>
      <c r="S764" s="58">
        <f t="shared" si="363"/>
        <v>-75736.706219072905</v>
      </c>
      <c r="T764" s="58">
        <f t="shared" si="363"/>
        <v>-337.6737092098802</v>
      </c>
      <c r="U764" s="58">
        <f t="shared" si="363"/>
        <v>-622.92251052088352</v>
      </c>
      <c r="V764" s="58">
        <f t="shared" si="363"/>
        <v>0</v>
      </c>
      <c r="W764" s="58">
        <f t="shared" si="363"/>
        <v>0</v>
      </c>
      <c r="X764" s="42">
        <f t="shared" si="363"/>
        <v>0</v>
      </c>
      <c r="Y764" s="42">
        <f t="shared" si="363"/>
        <v>0</v>
      </c>
      <c r="Z764" s="42">
        <f t="shared" si="363"/>
        <v>0</v>
      </c>
      <c r="AA764" s="42">
        <f t="shared" si="358"/>
        <v>-2661472.4799999995</v>
      </c>
      <c r="AB764" s="37" t="str">
        <f t="shared" si="355"/>
        <v>ok</v>
      </c>
    </row>
    <row r="765" spans="1:28">
      <c r="A765" s="45" t="s">
        <v>726</v>
      </c>
      <c r="F765" s="58">
        <f t="shared" ref="F765:AA765" si="364">F693</f>
        <v>-693.9699999999998</v>
      </c>
      <c r="G765" s="58">
        <f t="shared" si="364"/>
        <v>-333.31167184133596</v>
      </c>
      <c r="H765" s="58">
        <f t="shared" si="364"/>
        <v>-90.636321576132289</v>
      </c>
      <c r="I765" s="58">
        <f t="shared" si="364"/>
        <v>-9.4252176805663943</v>
      </c>
      <c r="J765" s="58">
        <f t="shared" si="364"/>
        <v>-108.64028180673216</v>
      </c>
      <c r="K765" s="58">
        <f t="shared" si="364"/>
        <v>-73.010996538912721</v>
      </c>
      <c r="L765" s="58">
        <f t="shared" si="364"/>
        <v>-27.006709143517462</v>
      </c>
      <c r="M765" s="58">
        <f t="shared" si="364"/>
        <v>0</v>
      </c>
      <c r="N765" s="58">
        <f t="shared" si="364"/>
        <v>0</v>
      </c>
      <c r="O765" s="58">
        <f t="shared" si="364"/>
        <v>0</v>
      </c>
      <c r="P765" s="58">
        <f t="shared" si="364"/>
        <v>-19.378745142048132</v>
      </c>
      <c r="Q765" s="58">
        <f t="shared" si="364"/>
        <v>-10.287327867829317</v>
      </c>
      <c r="R765" s="58">
        <f t="shared" si="364"/>
        <v>-2.2741646854991009</v>
      </c>
      <c r="S765" s="58">
        <f t="shared" si="364"/>
        <v>-19.748091483121414</v>
      </c>
      <c r="T765" s="58">
        <f t="shared" si="364"/>
        <v>-8.8047284253858077E-2</v>
      </c>
      <c r="U765" s="58">
        <f t="shared" si="364"/>
        <v>-0.16242495005102492</v>
      </c>
      <c r="V765" s="58">
        <f t="shared" si="364"/>
        <v>0</v>
      </c>
      <c r="W765" s="58">
        <f t="shared" si="364"/>
        <v>0</v>
      </c>
      <c r="X765" s="42">
        <f t="shared" si="364"/>
        <v>0</v>
      </c>
      <c r="Y765" s="42">
        <f t="shared" si="364"/>
        <v>0</v>
      </c>
      <c r="Z765" s="42">
        <f t="shared" si="364"/>
        <v>0</v>
      </c>
      <c r="AA765" s="42">
        <f t="shared" si="364"/>
        <v>-693.9699999999998</v>
      </c>
      <c r="AB765" s="37" t="str">
        <f t="shared" si="355"/>
        <v>ok</v>
      </c>
    </row>
    <row r="766" spans="1:28">
      <c r="A766" s="45" t="s">
        <v>222</v>
      </c>
      <c r="E766" s="39" t="s">
        <v>903</v>
      </c>
      <c r="F766" s="58">
        <f>F694</f>
        <v>51825303.810000002</v>
      </c>
      <c r="G766" s="58">
        <f t="shared" ref="G766:Z766" si="365">IF(VLOOKUP($E766,$D$6:$AN$1197,3,)=0,0,(VLOOKUP($E766,$D$6:$AN$1197,G$2,)/VLOOKUP($E766,$D$6:$AN$1197,3,))*$F766)</f>
        <v>11289115.931724504</v>
      </c>
      <c r="H766" s="58">
        <f t="shared" si="365"/>
        <v>13643753.583758017</v>
      </c>
      <c r="I766" s="58">
        <f t="shared" si="365"/>
        <v>1744816.2825115975</v>
      </c>
      <c r="J766" s="58">
        <f t="shared" si="365"/>
        <v>16048818.426923078</v>
      </c>
      <c r="K766" s="58">
        <f t="shared" si="365"/>
        <v>4476229.1465938548</v>
      </c>
      <c r="L766" s="58">
        <f t="shared" si="365"/>
        <v>1270615.710316269</v>
      </c>
      <c r="M766" s="58">
        <f t="shared" si="365"/>
        <v>0</v>
      </c>
      <c r="N766" s="58">
        <f t="shared" si="365"/>
        <v>0</v>
      </c>
      <c r="O766" s="58">
        <f t="shared" si="365"/>
        <v>0</v>
      </c>
      <c r="P766" s="58">
        <f t="shared" si="365"/>
        <v>1151689.199022234</v>
      </c>
      <c r="Q766" s="58">
        <f t="shared" si="365"/>
        <v>-171424.0824259095</v>
      </c>
      <c r="R766" s="58">
        <f t="shared" si="365"/>
        <v>-95700.895319330928</v>
      </c>
      <c r="S766" s="58">
        <f t="shared" si="365"/>
        <v>2433274.957097034</v>
      </c>
      <c r="T766" s="58">
        <f t="shared" si="365"/>
        <v>16169.53109179147</v>
      </c>
      <c r="U766" s="58">
        <f t="shared" si="365"/>
        <v>17946.018706826926</v>
      </c>
      <c r="V766" s="58">
        <f t="shared" si="365"/>
        <v>0</v>
      </c>
      <c r="W766" s="58">
        <f t="shared" si="365"/>
        <v>0</v>
      </c>
      <c r="X766" s="42">
        <f t="shared" si="365"/>
        <v>0</v>
      </c>
      <c r="Y766" s="42">
        <f t="shared" si="365"/>
        <v>0</v>
      </c>
      <c r="Z766" s="42">
        <f t="shared" si="365"/>
        <v>0</v>
      </c>
      <c r="AA766" s="42">
        <f>SUM(G766:Z766)</f>
        <v>51825303.80999998</v>
      </c>
      <c r="AB766" s="37" t="str">
        <f t="shared" si="355"/>
        <v>ok</v>
      </c>
    </row>
    <row r="767" spans="1:28">
      <c r="A767" s="45" t="s">
        <v>734</v>
      </c>
      <c r="F767" s="58">
        <f>F695</f>
        <v>-1178734</v>
      </c>
      <c r="G767" s="58">
        <f>G1055</f>
        <v>0</v>
      </c>
      <c r="H767" s="58">
        <f t="shared" ref="H767:Z767" si="366">H1055</f>
        <v>0</v>
      </c>
      <c r="I767" s="58">
        <f t="shared" si="366"/>
        <v>0</v>
      </c>
      <c r="J767" s="58">
        <f t="shared" si="366"/>
        <v>0</v>
      </c>
      <c r="K767" s="58">
        <f t="shared" si="366"/>
        <v>-200398</v>
      </c>
      <c r="L767" s="58">
        <f t="shared" si="366"/>
        <v>0</v>
      </c>
      <c r="M767" s="58">
        <f t="shared" si="366"/>
        <v>0</v>
      </c>
      <c r="N767" s="58">
        <f t="shared" si="366"/>
        <v>0</v>
      </c>
      <c r="O767" s="58">
        <f t="shared" si="366"/>
        <v>0</v>
      </c>
      <c r="P767" s="58">
        <f t="shared" si="366"/>
        <v>-978336</v>
      </c>
      <c r="Q767" s="58">
        <f t="shared" si="366"/>
        <v>0</v>
      </c>
      <c r="R767" s="58">
        <f t="shared" si="366"/>
        <v>0</v>
      </c>
      <c r="S767" s="58">
        <f t="shared" si="366"/>
        <v>0</v>
      </c>
      <c r="T767" s="58">
        <f t="shared" si="366"/>
        <v>0</v>
      </c>
      <c r="U767" s="58">
        <f t="shared" si="366"/>
        <v>0</v>
      </c>
      <c r="V767" s="58">
        <f t="shared" si="366"/>
        <v>0</v>
      </c>
      <c r="W767" s="58">
        <f t="shared" si="366"/>
        <v>0</v>
      </c>
      <c r="X767" s="58">
        <f t="shared" si="366"/>
        <v>0</v>
      </c>
      <c r="Y767" s="58">
        <f t="shared" si="366"/>
        <v>0</v>
      </c>
      <c r="Z767" s="58">
        <f t="shared" si="366"/>
        <v>0</v>
      </c>
      <c r="AA767" s="42">
        <f>SUM(G767:Z767)</f>
        <v>-1178734</v>
      </c>
      <c r="AB767" s="37" t="str">
        <f t="shared" si="355"/>
        <v>ok</v>
      </c>
    </row>
    <row r="768" spans="1:28">
      <c r="A768" s="45" t="s">
        <v>735</v>
      </c>
      <c r="E768" s="39" t="s">
        <v>736</v>
      </c>
      <c r="F768" s="58">
        <f>F696</f>
        <v>1178734</v>
      </c>
      <c r="G768" s="58">
        <f t="shared" ref="G768:Z768" si="367">IF(VLOOKUP($E768,$D$6:$AN$1197,3,)=0,0,(VLOOKUP($E768,$D$6:$AN$1197,G$2,)/VLOOKUP($E768,$D$6:$AN$1197,3,))*$F768)</f>
        <v>526091.85596441664</v>
      </c>
      <c r="H768" s="58">
        <f t="shared" si="367"/>
        <v>170621.5308301771</v>
      </c>
      <c r="I768" s="58">
        <f t="shared" si="367"/>
        <v>18182.699083067888</v>
      </c>
      <c r="J768" s="58">
        <f t="shared" si="367"/>
        <v>212985.86096360869</v>
      </c>
      <c r="K768" s="58">
        <f t="shared" si="367"/>
        <v>133094.36445824913</v>
      </c>
      <c r="L768" s="58">
        <f t="shared" si="367"/>
        <v>50831.982793697265</v>
      </c>
      <c r="M768" s="58">
        <f t="shared" si="367"/>
        <v>0</v>
      </c>
      <c r="N768" s="58">
        <f t="shared" si="367"/>
        <v>0</v>
      </c>
      <c r="O768" s="58">
        <f t="shared" si="367"/>
        <v>0</v>
      </c>
      <c r="P768" s="58">
        <f t="shared" si="367"/>
        <v>41031.772553797826</v>
      </c>
      <c r="Q768" s="58">
        <f t="shared" si="367"/>
        <v>21512.865916649982</v>
      </c>
      <c r="R768" s="58">
        <f t="shared" si="367"/>
        <v>4160.2240043907368</v>
      </c>
      <c r="S768" s="58">
        <f t="shared" si="367"/>
        <v>0</v>
      </c>
      <c r="T768" s="58">
        <f t="shared" si="367"/>
        <v>9.1236060874718667</v>
      </c>
      <c r="U768" s="58">
        <f t="shared" si="367"/>
        <v>211.71982585711055</v>
      </c>
      <c r="V768" s="58">
        <f t="shared" si="367"/>
        <v>0</v>
      </c>
      <c r="W768" s="58">
        <f t="shared" si="367"/>
        <v>0</v>
      </c>
      <c r="X768" s="42">
        <f t="shared" si="367"/>
        <v>0</v>
      </c>
      <c r="Y768" s="42">
        <f t="shared" si="367"/>
        <v>0</v>
      </c>
      <c r="Z768" s="42">
        <f t="shared" si="367"/>
        <v>0</v>
      </c>
      <c r="AA768" s="42">
        <f>SUM(G768:Z768)</f>
        <v>1178733.9999999998</v>
      </c>
      <c r="AB768" s="37" t="str">
        <f t="shared" si="355"/>
        <v>ok</v>
      </c>
    </row>
    <row r="769" spans="1:28">
      <c r="A769" s="45"/>
      <c r="D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42"/>
      <c r="Y769" s="42"/>
      <c r="Z769" s="42"/>
      <c r="AA769" s="42"/>
      <c r="AB769" s="37"/>
    </row>
    <row r="770" spans="1:28">
      <c r="A770" s="39" t="s">
        <v>223</v>
      </c>
      <c r="AA770" s="43"/>
      <c r="AB770" s="37"/>
    </row>
    <row r="771" spans="1:28" s="39" customFormat="1">
      <c r="B771" s="39" t="s">
        <v>722</v>
      </c>
      <c r="E771" s="39" t="s">
        <v>1034</v>
      </c>
      <c r="F771" s="57">
        <v>-39096200</v>
      </c>
      <c r="G771" s="57">
        <f t="shared" ref="G771:P780" si="368">IF(VLOOKUP($E771,$D$6:$AN$1197,3,)=0,0,(VLOOKUP($E771,$D$6:$AN$1197,G$2,)/VLOOKUP($E771,$D$6:$AN$1197,3,))*$F771)</f>
        <v>-14338292.681753911</v>
      </c>
      <c r="H771" s="57">
        <f t="shared" si="368"/>
        <v>-4787659.7457327228</v>
      </c>
      <c r="I771" s="57">
        <f t="shared" si="368"/>
        <v>-780925.81196290802</v>
      </c>
      <c r="J771" s="57">
        <f t="shared" si="368"/>
        <v>-7870784.9281180669</v>
      </c>
      <c r="K771" s="57">
        <f t="shared" si="368"/>
        <v>-6303924.6462145569</v>
      </c>
      <c r="L771" s="57">
        <f t="shared" si="368"/>
        <v>-2015710.2804339828</v>
      </c>
      <c r="M771" s="57">
        <f t="shared" si="368"/>
        <v>0</v>
      </c>
      <c r="N771" s="57">
        <f t="shared" si="368"/>
        <v>0</v>
      </c>
      <c r="O771" s="57">
        <f t="shared" si="368"/>
        <v>0</v>
      </c>
      <c r="P771" s="57">
        <f t="shared" si="368"/>
        <v>-1711327.0549918259</v>
      </c>
      <c r="Q771" s="57">
        <f t="shared" ref="Q771:Z780" si="369">IF(VLOOKUP($E771,$D$6:$AN$1197,3,)=0,0,(VLOOKUP($E771,$D$6:$AN$1197,Q$2,)/VLOOKUP($E771,$D$6:$AN$1197,3,))*$F771)</f>
        <v>-718382.91972430015</v>
      </c>
      <c r="R771" s="57">
        <f t="shared" si="369"/>
        <v>-193057.68732178729</v>
      </c>
      <c r="S771" s="57">
        <f t="shared" si="369"/>
        <v>-353157.2598711201</v>
      </c>
      <c r="T771" s="57">
        <f t="shared" si="369"/>
        <v>-12517.160903444477</v>
      </c>
      <c r="U771" s="57">
        <f t="shared" si="369"/>
        <v>-10459.822971379284</v>
      </c>
      <c r="V771" s="57">
        <f t="shared" si="369"/>
        <v>0</v>
      </c>
      <c r="W771" s="57">
        <f t="shared" si="369"/>
        <v>0</v>
      </c>
      <c r="X771" s="58">
        <f t="shared" si="369"/>
        <v>0</v>
      </c>
      <c r="Y771" s="58">
        <f t="shared" si="369"/>
        <v>0</v>
      </c>
      <c r="Z771" s="58">
        <f t="shared" si="369"/>
        <v>0</v>
      </c>
      <c r="AA771" s="59">
        <f>SUM(G771:Z771)</f>
        <v>-39096200.000000015</v>
      </c>
      <c r="AB771" s="68" t="str">
        <f t="shared" ref="AB771:AB806" si="370">IF(ABS(F771-AA771)&lt;0.01,"ok","err")</f>
        <v>ok</v>
      </c>
    </row>
    <row r="772" spans="1:28" s="39" customFormat="1">
      <c r="B772" s="39" t="s">
        <v>723</v>
      </c>
      <c r="E772" s="39" t="s">
        <v>727</v>
      </c>
      <c r="F772" s="58">
        <v>-801360</v>
      </c>
      <c r="G772" s="58">
        <f t="shared" si="368"/>
        <v>-320084.69225455879</v>
      </c>
      <c r="H772" s="58">
        <f t="shared" si="368"/>
        <v>-120754.51256620948</v>
      </c>
      <c r="I772" s="58">
        <f t="shared" si="368"/>
        <v>-16024.841139095488</v>
      </c>
      <c r="J772" s="58">
        <f t="shared" si="368"/>
        <v>-158122.62202695041</v>
      </c>
      <c r="K772" s="58">
        <f t="shared" si="368"/>
        <v>-98564.064711755724</v>
      </c>
      <c r="L772" s="58">
        <f t="shared" si="368"/>
        <v>-32158.645568836939</v>
      </c>
      <c r="M772" s="58">
        <f t="shared" si="368"/>
        <v>0</v>
      </c>
      <c r="N772" s="58">
        <f t="shared" si="368"/>
        <v>0</v>
      </c>
      <c r="O772" s="58">
        <f t="shared" si="368"/>
        <v>0</v>
      </c>
      <c r="P772" s="58">
        <f t="shared" si="368"/>
        <v>-26278.380607212086</v>
      </c>
      <c r="Q772" s="58">
        <f t="shared" si="369"/>
        <v>-11564.449610562071</v>
      </c>
      <c r="R772" s="58">
        <f t="shared" si="369"/>
        <v>-2523.9811678287642</v>
      </c>
      <c r="S772" s="58">
        <f t="shared" si="369"/>
        <v>-14891.649721615018</v>
      </c>
      <c r="T772" s="58">
        <f t="shared" si="369"/>
        <v>-173.29586076904164</v>
      </c>
      <c r="U772" s="58">
        <f t="shared" si="369"/>
        <v>-218.86476460622197</v>
      </c>
      <c r="V772" s="58">
        <f t="shared" si="369"/>
        <v>0</v>
      </c>
      <c r="W772" s="58">
        <f t="shared" si="369"/>
        <v>0</v>
      </c>
      <c r="X772" s="58">
        <f t="shared" si="369"/>
        <v>0</v>
      </c>
      <c r="Y772" s="58">
        <f t="shared" si="369"/>
        <v>0</v>
      </c>
      <c r="Z772" s="58">
        <f t="shared" si="369"/>
        <v>0</v>
      </c>
      <c r="AA772" s="58">
        <f t="shared" ref="AA772:AA805" si="371">SUM(G772:Z772)</f>
        <v>-801360</v>
      </c>
      <c r="AB772" s="68" t="str">
        <f t="shared" si="370"/>
        <v>ok</v>
      </c>
    </row>
    <row r="773" spans="1:28" s="39" customFormat="1" hidden="1">
      <c r="B773" s="39" t="s">
        <v>296</v>
      </c>
      <c r="E773" s="39" t="s">
        <v>1369</v>
      </c>
      <c r="F773" s="58">
        <v>0</v>
      </c>
      <c r="G773" s="58">
        <f t="shared" si="368"/>
        <v>0</v>
      </c>
      <c r="H773" s="58">
        <f t="shared" si="368"/>
        <v>0</v>
      </c>
      <c r="I773" s="58">
        <f t="shared" si="368"/>
        <v>0</v>
      </c>
      <c r="J773" s="58">
        <f t="shared" si="368"/>
        <v>0</v>
      </c>
      <c r="K773" s="58">
        <f t="shared" si="368"/>
        <v>0</v>
      </c>
      <c r="L773" s="58">
        <f t="shared" si="368"/>
        <v>0</v>
      </c>
      <c r="M773" s="58">
        <f t="shared" si="368"/>
        <v>0</v>
      </c>
      <c r="N773" s="58">
        <f t="shared" si="368"/>
        <v>0</v>
      </c>
      <c r="O773" s="58">
        <f t="shared" si="368"/>
        <v>0</v>
      </c>
      <c r="P773" s="58">
        <f t="shared" si="368"/>
        <v>0</v>
      </c>
      <c r="Q773" s="58">
        <f t="shared" si="369"/>
        <v>0</v>
      </c>
      <c r="R773" s="58">
        <f t="shared" si="369"/>
        <v>0</v>
      </c>
      <c r="S773" s="58">
        <f t="shared" si="369"/>
        <v>0</v>
      </c>
      <c r="T773" s="58">
        <f t="shared" si="369"/>
        <v>0</v>
      </c>
      <c r="U773" s="58">
        <f t="shared" si="369"/>
        <v>0</v>
      </c>
      <c r="V773" s="58">
        <f t="shared" si="369"/>
        <v>0</v>
      </c>
      <c r="W773" s="58">
        <f t="shared" si="369"/>
        <v>0</v>
      </c>
      <c r="X773" s="58">
        <f t="shared" si="369"/>
        <v>0</v>
      </c>
      <c r="Y773" s="58">
        <f t="shared" si="369"/>
        <v>0</v>
      </c>
      <c r="Z773" s="58">
        <f t="shared" si="369"/>
        <v>0</v>
      </c>
      <c r="AA773" s="58">
        <f>SUM(G773:Z773)</f>
        <v>0</v>
      </c>
      <c r="AB773" s="68" t="str">
        <f t="shared" si="370"/>
        <v>ok</v>
      </c>
    </row>
    <row r="774" spans="1:28" s="39" customFormat="1">
      <c r="B774" s="39" t="s">
        <v>724</v>
      </c>
      <c r="E774" s="39" t="s">
        <v>1034</v>
      </c>
      <c r="F774" s="58">
        <v>-67301</v>
      </c>
      <c r="G774" s="58">
        <f t="shared" si="368"/>
        <v>-24682.230901589413</v>
      </c>
      <c r="H774" s="58">
        <f t="shared" si="368"/>
        <v>-8241.575614703168</v>
      </c>
      <c r="I774" s="58">
        <f t="shared" si="368"/>
        <v>-1344.3016986539785</v>
      </c>
      <c r="J774" s="58">
        <f t="shared" si="368"/>
        <v>-13548.930495732937</v>
      </c>
      <c r="K774" s="58">
        <f t="shared" si="368"/>
        <v>-10851.705091924174</v>
      </c>
      <c r="L774" s="58">
        <f t="shared" si="368"/>
        <v>-3469.8849909578803</v>
      </c>
      <c r="M774" s="58">
        <f t="shared" si="368"/>
        <v>0</v>
      </c>
      <c r="N774" s="58">
        <f t="shared" si="368"/>
        <v>0</v>
      </c>
      <c r="O774" s="58">
        <f t="shared" si="368"/>
        <v>0</v>
      </c>
      <c r="P774" s="58">
        <f t="shared" si="368"/>
        <v>-2945.9134680098032</v>
      </c>
      <c r="Q774" s="58">
        <f t="shared" si="369"/>
        <v>-1236.6390820684651</v>
      </c>
      <c r="R774" s="58">
        <f t="shared" si="369"/>
        <v>-332.33345988724244</v>
      </c>
      <c r="S774" s="58">
        <f t="shared" si="369"/>
        <v>-607.93214549204913</v>
      </c>
      <c r="T774" s="58">
        <f t="shared" si="369"/>
        <v>-21.547297332291038</v>
      </c>
      <c r="U774" s="58">
        <f t="shared" si="369"/>
        <v>-18.00575364861028</v>
      </c>
      <c r="V774" s="58">
        <f t="shared" si="369"/>
        <v>0</v>
      </c>
      <c r="W774" s="58">
        <f t="shared" si="369"/>
        <v>0</v>
      </c>
      <c r="X774" s="58">
        <f t="shared" si="369"/>
        <v>0</v>
      </c>
      <c r="Y774" s="58">
        <f t="shared" si="369"/>
        <v>0</v>
      </c>
      <c r="Z774" s="58">
        <f t="shared" si="369"/>
        <v>0</v>
      </c>
      <c r="AA774" s="58">
        <f t="shared" si="371"/>
        <v>-67301</v>
      </c>
      <c r="AB774" s="68" t="str">
        <f t="shared" si="370"/>
        <v>ok</v>
      </c>
    </row>
    <row r="775" spans="1:28" s="39" customFormat="1">
      <c r="B775" s="39" t="s">
        <v>1457</v>
      </c>
      <c r="E775" s="39" t="s">
        <v>1368</v>
      </c>
      <c r="F775" s="58">
        <v>-2735848</v>
      </c>
      <c r="G775" s="58">
        <f t="shared" si="368"/>
        <v>-1049968.7054931989</v>
      </c>
      <c r="H775" s="58">
        <f t="shared" si="368"/>
        <v>-335520.71604034159</v>
      </c>
      <c r="I775" s="58">
        <f t="shared" si="368"/>
        <v>-60221.472258113419</v>
      </c>
      <c r="J775" s="58">
        <f t="shared" si="368"/>
        <v>-537796.29035924643</v>
      </c>
      <c r="K775" s="58">
        <f t="shared" si="368"/>
        <v>-426450.22602254496</v>
      </c>
      <c r="L775" s="58">
        <f t="shared" si="368"/>
        <v>-120981.47348333531</v>
      </c>
      <c r="M775" s="58">
        <f t="shared" si="368"/>
        <v>0</v>
      </c>
      <c r="N775" s="58">
        <f t="shared" si="368"/>
        <v>0</v>
      </c>
      <c r="O775" s="58">
        <f t="shared" si="368"/>
        <v>0</v>
      </c>
      <c r="P775" s="58">
        <f t="shared" si="368"/>
        <v>-120421.15241823225</v>
      </c>
      <c r="Q775" s="58">
        <f t="shared" si="369"/>
        <v>-50378.377813925094</v>
      </c>
      <c r="R775" s="58">
        <f t="shared" si="369"/>
        <v>-13419.970165025998</v>
      </c>
      <c r="S775" s="58">
        <f t="shared" si="369"/>
        <v>-19357.656501943191</v>
      </c>
      <c r="T775" s="58">
        <f t="shared" si="369"/>
        <v>-667.63063856122835</v>
      </c>
      <c r="U775" s="58">
        <f t="shared" si="369"/>
        <v>-664.32880553174653</v>
      </c>
      <c r="V775" s="58">
        <f t="shared" si="369"/>
        <v>0</v>
      </c>
      <c r="W775" s="58">
        <f t="shared" si="369"/>
        <v>0</v>
      </c>
      <c r="X775" s="58">
        <f t="shared" si="369"/>
        <v>0</v>
      </c>
      <c r="Y775" s="58">
        <f t="shared" si="369"/>
        <v>0</v>
      </c>
      <c r="Z775" s="58">
        <f t="shared" si="369"/>
        <v>0</v>
      </c>
      <c r="AA775" s="58">
        <f>SUM(G775:Z775)</f>
        <v>-2735847.9999999995</v>
      </c>
      <c r="AB775" s="68" t="str">
        <f>IF(ABS(F775-AA775)&lt;0.01,"ok","err")</f>
        <v>ok</v>
      </c>
    </row>
    <row r="776" spans="1:28" s="39" customFormat="1">
      <c r="B776" s="39" t="s">
        <v>1406</v>
      </c>
      <c r="E776" s="39" t="s">
        <v>945</v>
      </c>
      <c r="F776" s="58">
        <v>-10616312</v>
      </c>
      <c r="G776" s="58">
        <f t="shared" si="368"/>
        <v>-7359138.3006867496</v>
      </c>
      <c r="H776" s="58">
        <f t="shared" si="368"/>
        <v>-1749391.7617014218</v>
      </c>
      <c r="I776" s="58">
        <f t="shared" si="368"/>
        <v>-98989.193032003575</v>
      </c>
      <c r="J776" s="58">
        <f t="shared" si="368"/>
        <v>-1007436.5083938533</v>
      </c>
      <c r="K776" s="58">
        <f t="shared" si="368"/>
        <v>-187543.05326497267</v>
      </c>
      <c r="L776" s="58">
        <f t="shared" si="368"/>
        <v>-213813.18292099884</v>
      </c>
      <c r="M776" s="58">
        <f t="shared" si="368"/>
        <v>0</v>
      </c>
      <c r="N776" s="58">
        <f t="shared" si="368"/>
        <v>0</v>
      </c>
      <c r="O776" s="58">
        <f t="shared" si="368"/>
        <v>0</v>
      </c>
      <c r="P776" s="58">
        <f t="shared" si="368"/>
        <v>0</v>
      </c>
      <c r="Q776" s="58">
        <f t="shared" si="369"/>
        <v>0</v>
      </c>
      <c r="R776" s="58">
        <f t="shared" si="369"/>
        <v>0</v>
      </c>
      <c r="S776" s="58">
        <f t="shared" si="369"/>
        <v>0</v>
      </c>
      <c r="T776" s="58">
        <f t="shared" si="369"/>
        <v>0</v>
      </c>
      <c r="U776" s="58">
        <f t="shared" si="369"/>
        <v>0</v>
      </c>
      <c r="V776" s="58">
        <f t="shared" si="369"/>
        <v>0</v>
      </c>
      <c r="W776" s="58">
        <f t="shared" si="369"/>
        <v>0</v>
      </c>
      <c r="X776" s="58">
        <f t="shared" si="369"/>
        <v>0</v>
      </c>
      <c r="Y776" s="58">
        <f t="shared" si="369"/>
        <v>0</v>
      </c>
      <c r="Z776" s="58">
        <f t="shared" si="369"/>
        <v>0</v>
      </c>
      <c r="AA776" s="58">
        <f t="shared" si="371"/>
        <v>-10616311.999999998</v>
      </c>
      <c r="AB776" s="68" t="str">
        <f t="shared" si="370"/>
        <v>ok</v>
      </c>
    </row>
    <row r="777" spans="1:28" s="39" customFormat="1">
      <c r="B777" s="39" t="s">
        <v>1403</v>
      </c>
      <c r="E777" s="39" t="s">
        <v>943</v>
      </c>
      <c r="F777" s="58">
        <v>803321</v>
      </c>
      <c r="G777" s="58">
        <f t="shared" si="368"/>
        <v>579959.61067986418</v>
      </c>
      <c r="H777" s="58">
        <f t="shared" si="368"/>
        <v>72910.90007514687</v>
      </c>
      <c r="I777" s="58">
        <f t="shared" si="368"/>
        <v>139.81470257608365</v>
      </c>
      <c r="J777" s="58">
        <f t="shared" si="368"/>
        <v>4768.5037972713699</v>
      </c>
      <c r="K777" s="58">
        <f t="shared" si="368"/>
        <v>154.61861226061015</v>
      </c>
      <c r="L777" s="58">
        <f t="shared" si="368"/>
        <v>258.24598005229569</v>
      </c>
      <c r="M777" s="58">
        <f t="shared" si="368"/>
        <v>0</v>
      </c>
      <c r="N777" s="58">
        <f t="shared" si="368"/>
        <v>0</v>
      </c>
      <c r="O777" s="58">
        <f t="shared" si="368"/>
        <v>0</v>
      </c>
      <c r="P777" s="58">
        <f t="shared" si="368"/>
        <v>18.093667392199059</v>
      </c>
      <c r="Q777" s="58">
        <f t="shared" si="369"/>
        <v>1.6448788538362782</v>
      </c>
      <c r="R777" s="58">
        <f t="shared" si="369"/>
        <v>3.2897577076725564</v>
      </c>
      <c r="S777" s="58">
        <f t="shared" si="369"/>
        <v>143147.22713395592</v>
      </c>
      <c r="T777" s="58">
        <f t="shared" si="369"/>
        <v>284.56404171367615</v>
      </c>
      <c r="U777" s="58">
        <f t="shared" si="369"/>
        <v>1674.4866732053313</v>
      </c>
      <c r="V777" s="58">
        <f t="shared" si="369"/>
        <v>0</v>
      </c>
      <c r="W777" s="58">
        <f t="shared" si="369"/>
        <v>0</v>
      </c>
      <c r="X777" s="58">
        <f t="shared" si="369"/>
        <v>0</v>
      </c>
      <c r="Y777" s="58">
        <f t="shared" si="369"/>
        <v>0</v>
      </c>
      <c r="Z777" s="58">
        <f t="shared" si="369"/>
        <v>0</v>
      </c>
      <c r="AA777" s="58">
        <f t="shared" si="371"/>
        <v>803320.99999999988</v>
      </c>
      <c r="AB777" s="68" t="str">
        <f t="shared" si="370"/>
        <v>ok</v>
      </c>
    </row>
    <row r="778" spans="1:28" s="39" customFormat="1">
      <c r="B778" s="39" t="s">
        <v>1404</v>
      </c>
      <c r="E778" s="39" t="s">
        <v>552</v>
      </c>
      <c r="F778" s="58">
        <v>696536</v>
      </c>
      <c r="G778" s="58">
        <f t="shared" si="368"/>
        <v>325859.58016201737</v>
      </c>
      <c r="H778" s="58">
        <f t="shared" si="368"/>
        <v>91793.247315580578</v>
      </c>
      <c r="I778" s="58">
        <f t="shared" si="368"/>
        <v>9927.8738315967676</v>
      </c>
      <c r="J778" s="58">
        <f t="shared" si="368"/>
        <v>113423.41803867968</v>
      </c>
      <c r="K778" s="58">
        <f t="shared" si="368"/>
        <v>76722.833181913797</v>
      </c>
      <c r="L778" s="58">
        <f t="shared" si="368"/>
        <v>28256.594028178719</v>
      </c>
      <c r="M778" s="58">
        <f t="shared" si="368"/>
        <v>0</v>
      </c>
      <c r="N778" s="58">
        <f t="shared" si="368"/>
        <v>0</v>
      </c>
      <c r="O778" s="58">
        <f t="shared" si="368"/>
        <v>0</v>
      </c>
      <c r="P778" s="58">
        <f t="shared" si="368"/>
        <v>20852.549760780952</v>
      </c>
      <c r="Q778" s="58">
        <f t="shared" si="369"/>
        <v>10813.578465791632</v>
      </c>
      <c r="R778" s="58">
        <f t="shared" si="369"/>
        <v>2386.1802073418289</v>
      </c>
      <c r="S778" s="58">
        <f t="shared" si="369"/>
        <v>16253.509953366412</v>
      </c>
      <c r="T778" s="58">
        <f t="shared" si="369"/>
        <v>87.019095556336566</v>
      </c>
      <c r="U778" s="58">
        <f t="shared" si="369"/>
        <v>159.6159591958008</v>
      </c>
      <c r="V778" s="58">
        <f t="shared" si="369"/>
        <v>0</v>
      </c>
      <c r="W778" s="58">
        <f t="shared" si="369"/>
        <v>0</v>
      </c>
      <c r="X778" s="58">
        <f t="shared" si="369"/>
        <v>0</v>
      </c>
      <c r="Y778" s="58">
        <f t="shared" si="369"/>
        <v>0</v>
      </c>
      <c r="Z778" s="58">
        <f t="shared" si="369"/>
        <v>0</v>
      </c>
      <c r="AA778" s="58">
        <f t="shared" si="371"/>
        <v>696535.99999999988</v>
      </c>
      <c r="AB778" s="68" t="str">
        <f t="shared" si="370"/>
        <v>ok</v>
      </c>
    </row>
    <row r="779" spans="1:28" s="39" customFormat="1">
      <c r="B779" s="39" t="s">
        <v>1408</v>
      </c>
      <c r="E779" s="39" t="s">
        <v>1214</v>
      </c>
      <c r="F779" s="58">
        <v>3272923</v>
      </c>
      <c r="G779" s="58">
        <f t="shared" si="368"/>
        <v>1588405.5894605308</v>
      </c>
      <c r="H779" s="58">
        <f t="shared" si="368"/>
        <v>453043.72805362404</v>
      </c>
      <c r="I779" s="58">
        <f t="shared" si="368"/>
        <v>46917.901452216291</v>
      </c>
      <c r="J779" s="58">
        <f t="shared" si="368"/>
        <v>509788.80005813012</v>
      </c>
      <c r="K779" s="58">
        <f t="shared" si="368"/>
        <v>359306.46983017633</v>
      </c>
      <c r="L779" s="58">
        <f t="shared" si="368"/>
        <v>126543.7312543367</v>
      </c>
      <c r="M779" s="58">
        <f t="shared" si="368"/>
        <v>0</v>
      </c>
      <c r="N779" s="58">
        <f t="shared" si="368"/>
        <v>0</v>
      </c>
      <c r="O779" s="58">
        <f t="shared" si="368"/>
        <v>0</v>
      </c>
      <c r="P779" s="58">
        <f t="shared" si="368"/>
        <v>95383.47649294982</v>
      </c>
      <c r="Q779" s="58">
        <f t="shared" si="369"/>
        <v>46666.201629429728</v>
      </c>
      <c r="R779" s="58">
        <f t="shared" si="369"/>
        <v>11311.22062520651</v>
      </c>
      <c r="S779" s="58">
        <f t="shared" si="369"/>
        <v>33900.77800967011</v>
      </c>
      <c r="T779" s="58">
        <f t="shared" si="369"/>
        <v>597.32125730968733</v>
      </c>
      <c r="U779" s="58">
        <f t="shared" si="369"/>
        <v>1057.7818764196975</v>
      </c>
      <c r="V779" s="58">
        <f t="shared" si="369"/>
        <v>0</v>
      </c>
      <c r="W779" s="58">
        <f t="shared" si="369"/>
        <v>0</v>
      </c>
      <c r="X779" s="58">
        <f t="shared" si="369"/>
        <v>0</v>
      </c>
      <c r="Y779" s="58">
        <f t="shared" si="369"/>
        <v>0</v>
      </c>
      <c r="Z779" s="58">
        <f t="shared" si="369"/>
        <v>0</v>
      </c>
      <c r="AA779" s="58">
        <f t="shared" si="371"/>
        <v>3272922.9999999995</v>
      </c>
      <c r="AB779" s="68" t="str">
        <f t="shared" si="370"/>
        <v>ok</v>
      </c>
    </row>
    <row r="780" spans="1:28" s="39" customFormat="1">
      <c r="B780" s="39" t="s">
        <v>1405</v>
      </c>
      <c r="E780" s="39" t="s">
        <v>1214</v>
      </c>
      <c r="F780" s="58">
        <v>-3600003</v>
      </c>
      <c r="G780" s="58">
        <f t="shared" si="368"/>
        <v>-1747143.1155803786</v>
      </c>
      <c r="H780" s="58">
        <f t="shared" si="368"/>
        <v>-498318.71392154065</v>
      </c>
      <c r="I780" s="58">
        <f t="shared" si="368"/>
        <v>-51606.648241245821</v>
      </c>
      <c r="J780" s="58">
        <f t="shared" si="368"/>
        <v>-560734.61232533387</v>
      </c>
      <c r="K780" s="58">
        <f t="shared" si="368"/>
        <v>-395213.81019597594</v>
      </c>
      <c r="L780" s="58">
        <f t="shared" si="368"/>
        <v>-139189.89604912975</v>
      </c>
      <c r="M780" s="58">
        <f t="shared" si="368"/>
        <v>0</v>
      </c>
      <c r="N780" s="58">
        <f t="shared" si="368"/>
        <v>0</v>
      </c>
      <c r="O780" s="58">
        <f t="shared" si="368"/>
        <v>0</v>
      </c>
      <c r="P780" s="58">
        <f t="shared" si="368"/>
        <v>-104915.63703913867</v>
      </c>
      <c r="Q780" s="58">
        <f t="shared" si="369"/>
        <v>-51329.794762831851</v>
      </c>
      <c r="R780" s="58">
        <f t="shared" si="369"/>
        <v>-12441.608979009074</v>
      </c>
      <c r="S780" s="58">
        <f t="shared" si="369"/>
        <v>-37288.656817513402</v>
      </c>
      <c r="T780" s="58">
        <f t="shared" si="369"/>
        <v>-657.01463745974058</v>
      </c>
      <c r="U780" s="58">
        <f t="shared" si="369"/>
        <v>-1163.4914504424762</v>
      </c>
      <c r="V780" s="58">
        <f t="shared" si="369"/>
        <v>0</v>
      </c>
      <c r="W780" s="58">
        <f t="shared" si="369"/>
        <v>0</v>
      </c>
      <c r="X780" s="58">
        <f t="shared" si="369"/>
        <v>0</v>
      </c>
      <c r="Y780" s="58">
        <f t="shared" si="369"/>
        <v>0</v>
      </c>
      <c r="Z780" s="58">
        <f t="shared" si="369"/>
        <v>0</v>
      </c>
      <c r="AA780" s="58">
        <f t="shared" si="371"/>
        <v>-3600002.9999999995</v>
      </c>
      <c r="AB780" s="68" t="str">
        <f t="shared" si="370"/>
        <v>ok</v>
      </c>
    </row>
    <row r="781" spans="1:28" s="39" customFormat="1">
      <c r="B781" s="39" t="s">
        <v>1407</v>
      </c>
      <c r="E781" s="39" t="s">
        <v>442</v>
      </c>
      <c r="F781" s="58">
        <v>245960</v>
      </c>
      <c r="G781" s="58">
        <f t="shared" ref="G781:P790" si="372">IF(VLOOKUP($E781,$D$6:$AN$1197,3,)=0,0,(VLOOKUP($E781,$D$6:$AN$1197,G$2,)/VLOOKUP($E781,$D$6:$AN$1197,3,))*$F781)</f>
        <v>119715.93178436095</v>
      </c>
      <c r="H781" s="58">
        <f t="shared" si="372"/>
        <v>32016.425651231002</v>
      </c>
      <c r="I781" s="58">
        <f t="shared" si="372"/>
        <v>3257.3615386316847</v>
      </c>
      <c r="J781" s="58">
        <f t="shared" si="372"/>
        <v>37722.751517633726</v>
      </c>
      <c r="K781" s="58">
        <f t="shared" si="372"/>
        <v>25265.408981467659</v>
      </c>
      <c r="L781" s="58">
        <f t="shared" si="372"/>
        <v>9366.9810431584156</v>
      </c>
      <c r="M781" s="58">
        <f t="shared" si="372"/>
        <v>0</v>
      </c>
      <c r="N781" s="58">
        <f t="shared" si="372"/>
        <v>0</v>
      </c>
      <c r="O781" s="58">
        <f t="shared" si="372"/>
        <v>0</v>
      </c>
      <c r="P781" s="58">
        <f t="shared" si="372"/>
        <v>6619.1810177989773</v>
      </c>
      <c r="Q781" s="58">
        <f t="shared" ref="Q781:Z790" si="373">IF(VLOOKUP($E781,$D$6:$AN$1197,3,)=0,0,(VLOOKUP($E781,$D$6:$AN$1197,Q$2,)/VLOOKUP($E781,$D$6:$AN$1197,3,))*$F781)</f>
        <v>3559.3395265068575</v>
      </c>
      <c r="R781" s="58">
        <f t="shared" si="373"/>
        <v>787.61064624461983</v>
      </c>
      <c r="S781" s="58">
        <f t="shared" si="373"/>
        <v>7559.4774778518549</v>
      </c>
      <c r="T781" s="58">
        <f t="shared" si="373"/>
        <v>31.453466160388647</v>
      </c>
      <c r="U781" s="58">
        <f t="shared" si="373"/>
        <v>58.077348953866199</v>
      </c>
      <c r="V781" s="58">
        <f t="shared" si="373"/>
        <v>0</v>
      </c>
      <c r="W781" s="58">
        <f t="shared" si="373"/>
        <v>0</v>
      </c>
      <c r="X781" s="58">
        <f t="shared" si="373"/>
        <v>0</v>
      </c>
      <c r="Y781" s="58">
        <f t="shared" si="373"/>
        <v>0</v>
      </c>
      <c r="Z781" s="58">
        <f t="shared" si="373"/>
        <v>0</v>
      </c>
      <c r="AA781" s="58">
        <f>SUM(G781:Z781)</f>
        <v>245960.00000000006</v>
      </c>
      <c r="AB781" s="68" t="str">
        <f t="shared" si="370"/>
        <v>ok</v>
      </c>
    </row>
    <row r="782" spans="1:28" s="39" customFormat="1">
      <c r="B782" s="39" t="s">
        <v>1467</v>
      </c>
      <c r="E782" s="39" t="s">
        <v>383</v>
      </c>
      <c r="F782" s="58">
        <v>-1504636</v>
      </c>
      <c r="G782" s="58">
        <f t="shared" si="372"/>
        <v>-629810.0220486538</v>
      </c>
      <c r="H782" s="58">
        <f t="shared" si="372"/>
        <v>-205301.05016863486</v>
      </c>
      <c r="I782" s="58">
        <f t="shared" si="372"/>
        <v>-25437.510483472241</v>
      </c>
      <c r="J782" s="58">
        <f t="shared" si="372"/>
        <v>-282399.00957009481</v>
      </c>
      <c r="K782" s="58">
        <f t="shared" si="372"/>
        <v>-195102.60775534713</v>
      </c>
      <c r="L782" s="58">
        <f t="shared" si="372"/>
        <v>-70851.794254385633</v>
      </c>
      <c r="M782" s="58">
        <f t="shared" si="372"/>
        <v>0</v>
      </c>
      <c r="N782" s="58">
        <f t="shared" si="372"/>
        <v>0</v>
      </c>
      <c r="O782" s="58">
        <f t="shared" si="372"/>
        <v>0</v>
      </c>
      <c r="P782" s="58">
        <f t="shared" si="372"/>
        <v>-57009.090172752469</v>
      </c>
      <c r="Q782" s="58">
        <f t="shared" si="373"/>
        <v>-27524.906161734052</v>
      </c>
      <c r="R782" s="58">
        <f t="shared" si="373"/>
        <v>-6038.592393472657</v>
      </c>
      <c r="S782" s="58">
        <f t="shared" si="373"/>
        <v>-4669.287070250758</v>
      </c>
      <c r="T782" s="58">
        <f t="shared" si="373"/>
        <v>-176.42496421602877</v>
      </c>
      <c r="U782" s="58">
        <f t="shared" si="373"/>
        <v>-315.70495698530226</v>
      </c>
      <c r="V782" s="58">
        <f t="shared" si="373"/>
        <v>0</v>
      </c>
      <c r="W782" s="58">
        <f t="shared" si="373"/>
        <v>0</v>
      </c>
      <c r="X782" s="58">
        <f t="shared" si="373"/>
        <v>0</v>
      </c>
      <c r="Y782" s="58">
        <f t="shared" si="373"/>
        <v>0</v>
      </c>
      <c r="Z782" s="58">
        <f t="shared" si="373"/>
        <v>0</v>
      </c>
      <c r="AA782" s="58">
        <f>SUM(G782:Z782)</f>
        <v>-1504636</v>
      </c>
      <c r="AB782" s="68" t="str">
        <f t="shared" si="370"/>
        <v>ok</v>
      </c>
    </row>
    <row r="783" spans="1:28" s="39" customFormat="1" hidden="1">
      <c r="B783" s="39" t="s">
        <v>1413</v>
      </c>
      <c r="E783" s="39" t="s">
        <v>950</v>
      </c>
      <c r="F783" s="58">
        <v>0</v>
      </c>
      <c r="G783" s="58">
        <f t="shared" si="372"/>
        <v>0</v>
      </c>
      <c r="H783" s="58">
        <f t="shared" si="372"/>
        <v>0</v>
      </c>
      <c r="I783" s="58">
        <f t="shared" si="372"/>
        <v>0</v>
      </c>
      <c r="J783" s="58">
        <f t="shared" si="372"/>
        <v>0</v>
      </c>
      <c r="K783" s="58">
        <f t="shared" si="372"/>
        <v>0</v>
      </c>
      <c r="L783" s="58">
        <f t="shared" si="372"/>
        <v>0</v>
      </c>
      <c r="M783" s="58">
        <f t="shared" si="372"/>
        <v>0</v>
      </c>
      <c r="N783" s="58">
        <f t="shared" si="372"/>
        <v>0</v>
      </c>
      <c r="O783" s="58">
        <f t="shared" si="372"/>
        <v>0</v>
      </c>
      <c r="P783" s="58">
        <f t="shared" si="372"/>
        <v>0</v>
      </c>
      <c r="Q783" s="58">
        <f t="shared" si="373"/>
        <v>0</v>
      </c>
      <c r="R783" s="58">
        <f t="shared" si="373"/>
        <v>0</v>
      </c>
      <c r="S783" s="58">
        <f t="shared" si="373"/>
        <v>0</v>
      </c>
      <c r="T783" s="58">
        <f t="shared" si="373"/>
        <v>0</v>
      </c>
      <c r="U783" s="58">
        <f t="shared" si="373"/>
        <v>0</v>
      </c>
      <c r="V783" s="58">
        <f t="shared" si="373"/>
        <v>0</v>
      </c>
      <c r="W783" s="58">
        <f t="shared" si="373"/>
        <v>0</v>
      </c>
      <c r="X783" s="58">
        <f t="shared" si="373"/>
        <v>0</v>
      </c>
      <c r="Y783" s="58">
        <f t="shared" si="373"/>
        <v>0</v>
      </c>
      <c r="Z783" s="58">
        <f t="shared" si="373"/>
        <v>0</v>
      </c>
      <c r="AA783" s="58">
        <f>SUM(G783:Z783)</f>
        <v>0</v>
      </c>
      <c r="AB783" s="68" t="str">
        <f t="shared" si="370"/>
        <v>ok</v>
      </c>
    </row>
    <row r="784" spans="1:28" s="39" customFormat="1">
      <c r="B784" s="39" t="s">
        <v>1409</v>
      </c>
      <c r="E784" s="39" t="s">
        <v>950</v>
      </c>
      <c r="F784" s="58">
        <v>-1795723</v>
      </c>
      <c r="G784" s="58">
        <f t="shared" si="372"/>
        <v>-1280075.4202495904</v>
      </c>
      <c r="H784" s="58">
        <f t="shared" si="372"/>
        <v>-219220.45388797467</v>
      </c>
      <c r="I784" s="58">
        <f t="shared" si="372"/>
        <v>-8238.5131893714679</v>
      </c>
      <c r="J784" s="58">
        <f t="shared" si="372"/>
        <v>-139967.19896511442</v>
      </c>
      <c r="K784" s="58">
        <f t="shared" si="372"/>
        <v>-76154.299439210095</v>
      </c>
      <c r="L784" s="58">
        <f t="shared" si="372"/>
        <v>-33168.635152152223</v>
      </c>
      <c r="M784" s="58">
        <f t="shared" si="372"/>
        <v>0</v>
      </c>
      <c r="N784" s="58">
        <f t="shared" si="372"/>
        <v>0</v>
      </c>
      <c r="O784" s="58">
        <f t="shared" si="372"/>
        <v>0</v>
      </c>
      <c r="P784" s="58">
        <f t="shared" si="372"/>
        <v>0</v>
      </c>
      <c r="Q784" s="58">
        <f t="shared" si="373"/>
        <v>-10650.521200149566</v>
      </c>
      <c r="R784" s="58">
        <f t="shared" si="373"/>
        <v>-2407.1892582484079</v>
      </c>
      <c r="S784" s="58">
        <f t="shared" si="373"/>
        <v>-25099.411471152031</v>
      </c>
      <c r="T784" s="58">
        <f t="shared" si="373"/>
        <v>-287.54704892362281</v>
      </c>
      <c r="U784" s="58">
        <f t="shared" si="373"/>
        <v>-453.81013811301762</v>
      </c>
      <c r="V784" s="58">
        <f t="shared" si="373"/>
        <v>0</v>
      </c>
      <c r="W784" s="58">
        <f t="shared" si="373"/>
        <v>0</v>
      </c>
      <c r="X784" s="58">
        <f t="shared" si="373"/>
        <v>0</v>
      </c>
      <c r="Y784" s="58">
        <f t="shared" si="373"/>
        <v>0</v>
      </c>
      <c r="Z784" s="58">
        <f t="shared" si="373"/>
        <v>0</v>
      </c>
      <c r="AA784" s="58">
        <f>SUM(G784:Z784)</f>
        <v>-1795722.9999999995</v>
      </c>
      <c r="AB784" s="68" t="str">
        <f t="shared" si="370"/>
        <v>ok</v>
      </c>
    </row>
    <row r="785" spans="2:28" s="39" customFormat="1">
      <c r="B785" s="39" t="s">
        <v>1410</v>
      </c>
      <c r="E785" s="39" t="s">
        <v>1219</v>
      </c>
      <c r="F785" s="58">
        <v>-539988</v>
      </c>
      <c r="G785" s="58">
        <f t="shared" si="372"/>
        <v>-216888.17416997018</v>
      </c>
      <c r="H785" s="58">
        <f t="shared" si="372"/>
        <v>-81198.727523241512</v>
      </c>
      <c r="I785" s="58">
        <f t="shared" si="372"/>
        <v>-10343.071314411296</v>
      </c>
      <c r="J785" s="58">
        <f t="shared" si="372"/>
        <v>-105887.97892679309</v>
      </c>
      <c r="K785" s="58">
        <f t="shared" si="372"/>
        <v>-66760.200749414376</v>
      </c>
      <c r="L785" s="58">
        <f t="shared" si="372"/>
        <v>-22293.086028618018</v>
      </c>
      <c r="M785" s="58">
        <f t="shared" si="372"/>
        <v>0</v>
      </c>
      <c r="N785" s="58">
        <f t="shared" si="372"/>
        <v>0</v>
      </c>
      <c r="O785" s="58">
        <f t="shared" si="372"/>
        <v>0</v>
      </c>
      <c r="P785" s="58">
        <f t="shared" si="372"/>
        <v>-17282.649212801709</v>
      </c>
      <c r="Q785" s="58">
        <f t="shared" si="373"/>
        <v>-7128.9282076936788</v>
      </c>
      <c r="R785" s="58">
        <f t="shared" si="373"/>
        <v>-1695.069045072232</v>
      </c>
      <c r="S785" s="58">
        <f t="shared" si="373"/>
        <v>-10228.29270135218</v>
      </c>
      <c r="T785" s="58">
        <f t="shared" si="373"/>
        <v>-129.0647084541346</v>
      </c>
      <c r="U785" s="58">
        <f t="shared" si="373"/>
        <v>-152.75741217760554</v>
      </c>
      <c r="V785" s="58">
        <f t="shared" si="373"/>
        <v>0</v>
      </c>
      <c r="W785" s="58">
        <f t="shared" si="373"/>
        <v>0</v>
      </c>
      <c r="X785" s="58">
        <f t="shared" si="373"/>
        <v>0</v>
      </c>
      <c r="Y785" s="58">
        <f t="shared" si="373"/>
        <v>0</v>
      </c>
      <c r="Z785" s="58">
        <f t="shared" si="373"/>
        <v>0</v>
      </c>
      <c r="AA785" s="58">
        <f t="shared" si="371"/>
        <v>-539988</v>
      </c>
      <c r="AB785" s="68" t="str">
        <f t="shared" si="370"/>
        <v>ok</v>
      </c>
    </row>
    <row r="786" spans="2:28" s="39" customFormat="1">
      <c r="B786" s="39" t="s">
        <v>1411</v>
      </c>
      <c r="E786" s="39" t="s">
        <v>1210</v>
      </c>
      <c r="F786" s="58">
        <v>944620</v>
      </c>
      <c r="G786" s="58">
        <f t="shared" si="372"/>
        <v>458123.8025531657</v>
      </c>
      <c r="H786" s="58">
        <f t="shared" si="372"/>
        <v>122775.98145757582</v>
      </c>
      <c r="I786" s="58">
        <f t="shared" si="372"/>
        <v>12624.746357573989</v>
      </c>
      <c r="J786" s="58">
        <f t="shared" si="372"/>
        <v>145469.28148555773</v>
      </c>
      <c r="K786" s="58">
        <f t="shared" si="372"/>
        <v>98081.708674272872</v>
      </c>
      <c r="L786" s="58">
        <f t="shared" si="372"/>
        <v>36151.448504205699</v>
      </c>
      <c r="M786" s="58">
        <f t="shared" si="372"/>
        <v>0</v>
      </c>
      <c r="N786" s="58">
        <f t="shared" si="372"/>
        <v>0</v>
      </c>
      <c r="O786" s="58">
        <f t="shared" si="372"/>
        <v>0</v>
      </c>
      <c r="P786" s="58">
        <f t="shared" si="372"/>
        <v>25678.416707872188</v>
      </c>
      <c r="Q786" s="58">
        <f t="shared" si="373"/>
        <v>13697.026403573542</v>
      </c>
      <c r="R786" s="58">
        <f t="shared" si="373"/>
        <v>3056.197132860641</v>
      </c>
      <c r="S786" s="58">
        <f t="shared" si="373"/>
        <v>28609.982401991383</v>
      </c>
      <c r="T786" s="58">
        <f t="shared" si="373"/>
        <v>126.22390876729332</v>
      </c>
      <c r="U786" s="58">
        <f t="shared" si="373"/>
        <v>225.18441258323543</v>
      </c>
      <c r="V786" s="58">
        <f t="shared" si="373"/>
        <v>0</v>
      </c>
      <c r="W786" s="58">
        <f t="shared" si="373"/>
        <v>0</v>
      </c>
      <c r="X786" s="58">
        <f t="shared" si="373"/>
        <v>0</v>
      </c>
      <c r="Y786" s="58">
        <f t="shared" si="373"/>
        <v>0</v>
      </c>
      <c r="Z786" s="58">
        <f t="shared" si="373"/>
        <v>0</v>
      </c>
      <c r="AA786" s="58">
        <f t="shared" ref="AA786:AA791" si="374">SUM(G786:Z786)</f>
        <v>944620.00000000023</v>
      </c>
      <c r="AB786" s="68" t="str">
        <f t="shared" si="370"/>
        <v>ok</v>
      </c>
    </row>
    <row r="787" spans="2:28" s="39" customFormat="1">
      <c r="B787" s="39" t="s">
        <v>1412</v>
      </c>
      <c r="E787" s="39" t="s">
        <v>383</v>
      </c>
      <c r="F787" s="58">
        <v>-1044188</v>
      </c>
      <c r="G787" s="58">
        <f t="shared" si="372"/>
        <v>-437075.85575709987</v>
      </c>
      <c r="H787" s="58">
        <f t="shared" si="372"/>
        <v>-142474.91949779648</v>
      </c>
      <c r="I787" s="58">
        <f t="shared" si="372"/>
        <v>-17653.13550700363</v>
      </c>
      <c r="J787" s="58">
        <f t="shared" si="372"/>
        <v>-195979.39767822792</v>
      </c>
      <c r="K787" s="58">
        <f t="shared" si="372"/>
        <v>-135397.39962810968</v>
      </c>
      <c r="L787" s="58">
        <f t="shared" si="372"/>
        <v>-49169.761549569746</v>
      </c>
      <c r="M787" s="58">
        <f t="shared" si="372"/>
        <v>0</v>
      </c>
      <c r="N787" s="58">
        <f t="shared" si="372"/>
        <v>0</v>
      </c>
      <c r="O787" s="58">
        <f t="shared" si="372"/>
        <v>0</v>
      </c>
      <c r="P787" s="58">
        <f t="shared" si="372"/>
        <v>-39563.195250749057</v>
      </c>
      <c r="Q787" s="58">
        <f t="shared" si="373"/>
        <v>-19101.747343017683</v>
      </c>
      <c r="R787" s="58">
        <f t="shared" si="373"/>
        <v>-4190.6651935454329</v>
      </c>
      <c r="S787" s="58">
        <f t="shared" si="373"/>
        <v>-3240.3940403599263</v>
      </c>
      <c r="T787" s="58">
        <f t="shared" si="373"/>
        <v>-122.435479767071</v>
      </c>
      <c r="U787" s="58">
        <f t="shared" si="373"/>
        <v>-219.09307475334154</v>
      </c>
      <c r="V787" s="58">
        <f t="shared" si="373"/>
        <v>0</v>
      </c>
      <c r="W787" s="58">
        <f t="shared" si="373"/>
        <v>0</v>
      </c>
      <c r="X787" s="58">
        <f t="shared" si="373"/>
        <v>0</v>
      </c>
      <c r="Y787" s="58">
        <f t="shared" si="373"/>
        <v>0</v>
      </c>
      <c r="Z787" s="58">
        <f t="shared" si="373"/>
        <v>0</v>
      </c>
      <c r="AA787" s="58">
        <f t="shared" si="374"/>
        <v>-1044187.9999999997</v>
      </c>
      <c r="AB787" s="68" t="str">
        <f t="shared" si="370"/>
        <v>ok</v>
      </c>
    </row>
    <row r="788" spans="2:28" s="39" customFormat="1" hidden="1">
      <c r="B788" s="39" t="s">
        <v>1414</v>
      </c>
      <c r="E788" s="39" t="s">
        <v>950</v>
      </c>
      <c r="F788" s="58">
        <v>0</v>
      </c>
      <c r="G788" s="58">
        <f t="shared" si="372"/>
        <v>0</v>
      </c>
      <c r="H788" s="58">
        <f t="shared" si="372"/>
        <v>0</v>
      </c>
      <c r="I788" s="58">
        <f t="shared" si="372"/>
        <v>0</v>
      </c>
      <c r="J788" s="58">
        <f t="shared" si="372"/>
        <v>0</v>
      </c>
      <c r="K788" s="58">
        <f t="shared" si="372"/>
        <v>0</v>
      </c>
      <c r="L788" s="58">
        <f t="shared" si="372"/>
        <v>0</v>
      </c>
      <c r="M788" s="58">
        <f t="shared" si="372"/>
        <v>0</v>
      </c>
      <c r="N788" s="58">
        <f t="shared" si="372"/>
        <v>0</v>
      </c>
      <c r="O788" s="58">
        <f t="shared" si="372"/>
        <v>0</v>
      </c>
      <c r="P788" s="58">
        <f t="shared" si="372"/>
        <v>0</v>
      </c>
      <c r="Q788" s="58">
        <f t="shared" si="373"/>
        <v>0</v>
      </c>
      <c r="R788" s="58">
        <f t="shared" si="373"/>
        <v>0</v>
      </c>
      <c r="S788" s="58">
        <f t="shared" si="373"/>
        <v>0</v>
      </c>
      <c r="T788" s="58">
        <f t="shared" si="373"/>
        <v>0</v>
      </c>
      <c r="U788" s="58">
        <f t="shared" si="373"/>
        <v>0</v>
      </c>
      <c r="V788" s="58">
        <f t="shared" si="373"/>
        <v>0</v>
      </c>
      <c r="W788" s="58">
        <f t="shared" si="373"/>
        <v>0</v>
      </c>
      <c r="X788" s="58">
        <f t="shared" si="373"/>
        <v>0</v>
      </c>
      <c r="Y788" s="58">
        <f t="shared" si="373"/>
        <v>0</v>
      </c>
      <c r="Z788" s="58">
        <f t="shared" si="373"/>
        <v>0</v>
      </c>
      <c r="AA788" s="58">
        <f t="shared" si="374"/>
        <v>0</v>
      </c>
      <c r="AB788" s="68" t="str">
        <f t="shared" si="370"/>
        <v>ok</v>
      </c>
    </row>
    <row r="789" spans="2:28" s="39" customFormat="1" hidden="1">
      <c r="B789" s="39" t="s">
        <v>1415</v>
      </c>
      <c r="E789" s="39" t="s">
        <v>950</v>
      </c>
      <c r="F789" s="58">
        <v>0</v>
      </c>
      <c r="G789" s="58">
        <f t="shared" si="372"/>
        <v>0</v>
      </c>
      <c r="H789" s="58">
        <f t="shared" si="372"/>
        <v>0</v>
      </c>
      <c r="I789" s="58">
        <f t="shared" si="372"/>
        <v>0</v>
      </c>
      <c r="J789" s="58">
        <f t="shared" si="372"/>
        <v>0</v>
      </c>
      <c r="K789" s="58">
        <f t="shared" si="372"/>
        <v>0</v>
      </c>
      <c r="L789" s="58">
        <f t="shared" si="372"/>
        <v>0</v>
      </c>
      <c r="M789" s="58">
        <f t="shared" si="372"/>
        <v>0</v>
      </c>
      <c r="N789" s="58">
        <f t="shared" si="372"/>
        <v>0</v>
      </c>
      <c r="O789" s="58">
        <f t="shared" si="372"/>
        <v>0</v>
      </c>
      <c r="P789" s="58">
        <f t="shared" si="372"/>
        <v>0</v>
      </c>
      <c r="Q789" s="58">
        <f t="shared" si="373"/>
        <v>0</v>
      </c>
      <c r="R789" s="58">
        <f t="shared" si="373"/>
        <v>0</v>
      </c>
      <c r="S789" s="58">
        <f t="shared" si="373"/>
        <v>0</v>
      </c>
      <c r="T789" s="58">
        <f t="shared" si="373"/>
        <v>0</v>
      </c>
      <c r="U789" s="58">
        <f t="shared" si="373"/>
        <v>0</v>
      </c>
      <c r="V789" s="58">
        <f t="shared" si="373"/>
        <v>0</v>
      </c>
      <c r="W789" s="58">
        <f t="shared" si="373"/>
        <v>0</v>
      </c>
      <c r="X789" s="58">
        <f t="shared" si="373"/>
        <v>0</v>
      </c>
      <c r="Y789" s="58">
        <f t="shared" si="373"/>
        <v>0</v>
      </c>
      <c r="Z789" s="58">
        <f t="shared" si="373"/>
        <v>0</v>
      </c>
      <c r="AA789" s="58">
        <f t="shared" si="374"/>
        <v>0</v>
      </c>
      <c r="AB789" s="68" t="str">
        <f t="shared" si="370"/>
        <v>ok</v>
      </c>
    </row>
    <row r="790" spans="2:28" s="39" customFormat="1" hidden="1">
      <c r="B790" s="39" t="s">
        <v>1416</v>
      </c>
      <c r="E790" s="39" t="s">
        <v>1198</v>
      </c>
      <c r="F790" s="58">
        <v>0</v>
      </c>
      <c r="G790" s="58">
        <f t="shared" si="372"/>
        <v>0</v>
      </c>
      <c r="H790" s="58">
        <f t="shared" si="372"/>
        <v>0</v>
      </c>
      <c r="I790" s="58">
        <f t="shared" si="372"/>
        <v>0</v>
      </c>
      <c r="J790" s="58">
        <f t="shared" si="372"/>
        <v>0</v>
      </c>
      <c r="K790" s="58">
        <f t="shared" si="372"/>
        <v>0</v>
      </c>
      <c r="L790" s="58">
        <f t="shared" si="372"/>
        <v>0</v>
      </c>
      <c r="M790" s="58">
        <f t="shared" si="372"/>
        <v>0</v>
      </c>
      <c r="N790" s="58">
        <f t="shared" si="372"/>
        <v>0</v>
      </c>
      <c r="O790" s="58">
        <f t="shared" si="372"/>
        <v>0</v>
      </c>
      <c r="P790" s="58">
        <f t="shared" si="372"/>
        <v>0</v>
      </c>
      <c r="Q790" s="58">
        <f t="shared" si="373"/>
        <v>0</v>
      </c>
      <c r="R790" s="58">
        <f t="shared" si="373"/>
        <v>0</v>
      </c>
      <c r="S790" s="58">
        <f t="shared" si="373"/>
        <v>0</v>
      </c>
      <c r="T790" s="58">
        <f t="shared" si="373"/>
        <v>0</v>
      </c>
      <c r="U790" s="58">
        <f t="shared" si="373"/>
        <v>0</v>
      </c>
      <c r="V790" s="58">
        <f t="shared" si="373"/>
        <v>0</v>
      </c>
      <c r="W790" s="58">
        <f t="shared" si="373"/>
        <v>0</v>
      </c>
      <c r="X790" s="58">
        <f t="shared" si="373"/>
        <v>0</v>
      </c>
      <c r="Y790" s="58">
        <f t="shared" si="373"/>
        <v>0</v>
      </c>
      <c r="Z790" s="58">
        <f t="shared" si="373"/>
        <v>0</v>
      </c>
      <c r="AA790" s="58">
        <f t="shared" si="374"/>
        <v>0</v>
      </c>
      <c r="AB790" s="68" t="str">
        <f t="shared" si="370"/>
        <v>ok</v>
      </c>
    </row>
    <row r="791" spans="2:28" s="39" customFormat="1" hidden="1">
      <c r="B791" s="39" t="s">
        <v>1417</v>
      </c>
      <c r="E791" s="39" t="s">
        <v>1198</v>
      </c>
      <c r="F791" s="58">
        <v>0</v>
      </c>
      <c r="G791" s="58">
        <f t="shared" ref="G791:P805" si="375">IF(VLOOKUP($E791,$D$6:$AN$1197,3,)=0,0,(VLOOKUP($E791,$D$6:$AN$1197,G$2,)/VLOOKUP($E791,$D$6:$AN$1197,3,))*$F791)</f>
        <v>0</v>
      </c>
      <c r="H791" s="58">
        <f t="shared" si="375"/>
        <v>0</v>
      </c>
      <c r="I791" s="58">
        <f t="shared" si="375"/>
        <v>0</v>
      </c>
      <c r="J791" s="58">
        <f t="shared" si="375"/>
        <v>0</v>
      </c>
      <c r="K791" s="58">
        <f t="shared" si="375"/>
        <v>0</v>
      </c>
      <c r="L791" s="58">
        <f t="shared" si="375"/>
        <v>0</v>
      </c>
      <c r="M791" s="58">
        <f t="shared" si="375"/>
        <v>0</v>
      </c>
      <c r="N791" s="58">
        <f t="shared" si="375"/>
        <v>0</v>
      </c>
      <c r="O791" s="58">
        <f t="shared" si="375"/>
        <v>0</v>
      </c>
      <c r="P791" s="58">
        <f t="shared" si="375"/>
        <v>0</v>
      </c>
      <c r="Q791" s="58">
        <f t="shared" ref="Q791:Z805" si="376">IF(VLOOKUP($E791,$D$6:$AN$1197,3,)=0,0,(VLOOKUP($E791,$D$6:$AN$1197,Q$2,)/VLOOKUP($E791,$D$6:$AN$1197,3,))*$F791)</f>
        <v>0</v>
      </c>
      <c r="R791" s="58">
        <f t="shared" si="376"/>
        <v>0</v>
      </c>
      <c r="S791" s="58">
        <f t="shared" si="376"/>
        <v>0</v>
      </c>
      <c r="T791" s="58">
        <f t="shared" si="376"/>
        <v>0</v>
      </c>
      <c r="U791" s="58">
        <f t="shared" si="376"/>
        <v>0</v>
      </c>
      <c r="V791" s="58">
        <f t="shared" si="376"/>
        <v>0</v>
      </c>
      <c r="W791" s="58">
        <f t="shared" si="376"/>
        <v>0</v>
      </c>
      <c r="X791" s="58">
        <f t="shared" si="376"/>
        <v>0</v>
      </c>
      <c r="Y791" s="58">
        <f t="shared" si="376"/>
        <v>0</v>
      </c>
      <c r="Z791" s="58">
        <f t="shared" si="376"/>
        <v>0</v>
      </c>
      <c r="AA791" s="58">
        <f t="shared" si="374"/>
        <v>0</v>
      </c>
      <c r="AB791" s="68" t="str">
        <f t="shared" si="370"/>
        <v>ok</v>
      </c>
    </row>
    <row r="792" spans="2:28" s="39" customFormat="1">
      <c r="B792" s="39" t="s">
        <v>725</v>
      </c>
      <c r="E792" s="39" t="s">
        <v>1212</v>
      </c>
      <c r="F792" s="58">
        <v>-47037</v>
      </c>
      <c r="G792" s="58">
        <f t="shared" si="375"/>
        <v>-19702.300511485155</v>
      </c>
      <c r="H792" s="58">
        <f t="shared" si="375"/>
        <v>-6059.7763722591289</v>
      </c>
      <c r="I792" s="58">
        <f t="shared" si="375"/>
        <v>-820.30144798562287</v>
      </c>
      <c r="J792" s="58">
        <f t="shared" si="375"/>
        <v>-8523.5703105665598</v>
      </c>
      <c r="K792" s="58">
        <f t="shared" si="375"/>
        <v>-6527.4775422233415</v>
      </c>
      <c r="L792" s="58">
        <f t="shared" si="375"/>
        <v>-2162.2012777281961</v>
      </c>
      <c r="M792" s="58">
        <f t="shared" si="375"/>
        <v>0</v>
      </c>
      <c r="N792" s="58">
        <f t="shared" si="375"/>
        <v>0</v>
      </c>
      <c r="O792" s="58">
        <f t="shared" si="375"/>
        <v>0</v>
      </c>
      <c r="P792" s="58">
        <f t="shared" si="375"/>
        <v>-1755.0240424280923</v>
      </c>
      <c r="Q792" s="58">
        <f t="shared" si="376"/>
        <v>-779.39826189057612</v>
      </c>
      <c r="R792" s="58">
        <f t="shared" si="376"/>
        <v>-201.22398200816014</v>
      </c>
      <c r="S792" s="58">
        <f t="shared" si="376"/>
        <v>-480.61283530356008</v>
      </c>
      <c r="T792" s="58">
        <f t="shared" si="376"/>
        <v>-12.132554514403779</v>
      </c>
      <c r="U792" s="58">
        <f t="shared" si="376"/>
        <v>-12.980861607203211</v>
      </c>
      <c r="V792" s="58">
        <f t="shared" si="376"/>
        <v>0</v>
      </c>
      <c r="W792" s="58">
        <f t="shared" si="376"/>
        <v>0</v>
      </c>
      <c r="X792" s="58">
        <f t="shared" si="376"/>
        <v>0</v>
      </c>
      <c r="Y792" s="58">
        <f t="shared" si="376"/>
        <v>0</v>
      </c>
      <c r="Z792" s="58">
        <f t="shared" si="376"/>
        <v>0</v>
      </c>
      <c r="AA792" s="58">
        <f t="shared" si="371"/>
        <v>-47037.000000000015</v>
      </c>
      <c r="AB792" s="68" t="str">
        <f t="shared" si="370"/>
        <v>ok</v>
      </c>
    </row>
    <row r="793" spans="2:28" s="39" customFormat="1">
      <c r="B793" s="39" t="s">
        <v>1468</v>
      </c>
      <c r="E793" s="39" t="s">
        <v>442</v>
      </c>
      <c r="F793" s="58">
        <v>102858</v>
      </c>
      <c r="G793" s="58">
        <f t="shared" si="375"/>
        <v>50063.999477458929</v>
      </c>
      <c r="H793" s="58">
        <f t="shared" si="375"/>
        <v>13388.947428989748</v>
      </c>
      <c r="I793" s="58">
        <f t="shared" si="375"/>
        <v>1362.1958576214743</v>
      </c>
      <c r="J793" s="58">
        <f t="shared" si="375"/>
        <v>15775.275555377988</v>
      </c>
      <c r="K793" s="58">
        <f t="shared" si="375"/>
        <v>10565.740108211907</v>
      </c>
      <c r="L793" s="58">
        <f t="shared" si="375"/>
        <v>3917.1773302048641</v>
      </c>
      <c r="M793" s="58">
        <f t="shared" si="375"/>
        <v>0</v>
      </c>
      <c r="N793" s="58">
        <f t="shared" si="375"/>
        <v>0</v>
      </c>
      <c r="O793" s="58">
        <f t="shared" si="375"/>
        <v>0</v>
      </c>
      <c r="P793" s="58">
        <f t="shared" si="375"/>
        <v>2768.0749761293187</v>
      </c>
      <c r="Q793" s="58">
        <f t="shared" si="376"/>
        <v>1488.4800171468626</v>
      </c>
      <c r="R793" s="58">
        <f t="shared" si="376"/>
        <v>329.37085644588188</v>
      </c>
      <c r="S793" s="58">
        <f t="shared" si="376"/>
        <v>3161.2975053540663</v>
      </c>
      <c r="T793" s="58">
        <f t="shared" si="376"/>
        <v>13.153523427895818</v>
      </c>
      <c r="U793" s="58">
        <f t="shared" si="376"/>
        <v>24.287363631065091</v>
      </c>
      <c r="V793" s="58">
        <f t="shared" si="376"/>
        <v>0</v>
      </c>
      <c r="W793" s="58">
        <f t="shared" si="376"/>
        <v>0</v>
      </c>
      <c r="X793" s="58">
        <f t="shared" si="376"/>
        <v>0</v>
      </c>
      <c r="Y793" s="58">
        <f t="shared" si="376"/>
        <v>0</v>
      </c>
      <c r="Z793" s="58">
        <f t="shared" si="376"/>
        <v>0</v>
      </c>
      <c r="AA793" s="58">
        <f t="shared" si="371"/>
        <v>102858.00000000001</v>
      </c>
      <c r="AB793" s="68" t="str">
        <f t="shared" si="370"/>
        <v>ok</v>
      </c>
    </row>
    <row r="794" spans="2:28" s="39" customFormat="1" hidden="1">
      <c r="B794" s="39" t="s">
        <v>1418</v>
      </c>
      <c r="E794" s="39" t="s">
        <v>383</v>
      </c>
      <c r="F794" s="58">
        <v>0</v>
      </c>
      <c r="G794" s="58">
        <f t="shared" si="375"/>
        <v>0</v>
      </c>
      <c r="H794" s="58">
        <f t="shared" si="375"/>
        <v>0</v>
      </c>
      <c r="I794" s="58">
        <f t="shared" si="375"/>
        <v>0</v>
      </c>
      <c r="J794" s="58">
        <f t="shared" si="375"/>
        <v>0</v>
      </c>
      <c r="K794" s="58">
        <f t="shared" si="375"/>
        <v>0</v>
      </c>
      <c r="L794" s="58">
        <f t="shared" si="375"/>
        <v>0</v>
      </c>
      <c r="M794" s="58">
        <f t="shared" si="375"/>
        <v>0</v>
      </c>
      <c r="N794" s="58">
        <f t="shared" si="375"/>
        <v>0</v>
      </c>
      <c r="O794" s="58">
        <f t="shared" si="375"/>
        <v>0</v>
      </c>
      <c r="P794" s="58">
        <f t="shared" si="375"/>
        <v>0</v>
      </c>
      <c r="Q794" s="58">
        <f t="shared" si="376"/>
        <v>0</v>
      </c>
      <c r="R794" s="58">
        <f t="shared" si="376"/>
        <v>0</v>
      </c>
      <c r="S794" s="58">
        <f t="shared" si="376"/>
        <v>0</v>
      </c>
      <c r="T794" s="58">
        <f t="shared" si="376"/>
        <v>0</v>
      </c>
      <c r="U794" s="58">
        <f t="shared" si="376"/>
        <v>0</v>
      </c>
      <c r="V794" s="58">
        <f t="shared" si="376"/>
        <v>0</v>
      </c>
      <c r="W794" s="58">
        <f t="shared" si="376"/>
        <v>0</v>
      </c>
      <c r="X794" s="58">
        <f t="shared" si="376"/>
        <v>0</v>
      </c>
      <c r="Y794" s="58">
        <f t="shared" si="376"/>
        <v>0</v>
      </c>
      <c r="Z794" s="58">
        <f t="shared" si="376"/>
        <v>0</v>
      </c>
      <c r="AA794" s="58">
        <f t="shared" si="371"/>
        <v>0</v>
      </c>
      <c r="AB794" s="68" t="str">
        <f t="shared" si="370"/>
        <v>ok</v>
      </c>
    </row>
    <row r="795" spans="2:28" s="39" customFormat="1" hidden="1">
      <c r="B795" s="39" t="s">
        <v>1419</v>
      </c>
      <c r="E795" s="39" t="s">
        <v>1198</v>
      </c>
      <c r="F795" s="58">
        <v>0</v>
      </c>
      <c r="G795" s="58">
        <f t="shared" si="375"/>
        <v>0</v>
      </c>
      <c r="H795" s="58">
        <f t="shared" si="375"/>
        <v>0</v>
      </c>
      <c r="I795" s="58">
        <f t="shared" si="375"/>
        <v>0</v>
      </c>
      <c r="J795" s="58">
        <f t="shared" si="375"/>
        <v>0</v>
      </c>
      <c r="K795" s="58">
        <f t="shared" si="375"/>
        <v>0</v>
      </c>
      <c r="L795" s="58">
        <f t="shared" si="375"/>
        <v>0</v>
      </c>
      <c r="M795" s="58">
        <f t="shared" si="375"/>
        <v>0</v>
      </c>
      <c r="N795" s="58">
        <f t="shared" si="375"/>
        <v>0</v>
      </c>
      <c r="O795" s="58">
        <f t="shared" si="375"/>
        <v>0</v>
      </c>
      <c r="P795" s="58">
        <f t="shared" si="375"/>
        <v>0</v>
      </c>
      <c r="Q795" s="58">
        <f t="shared" si="376"/>
        <v>0</v>
      </c>
      <c r="R795" s="58">
        <f t="shared" si="376"/>
        <v>0</v>
      </c>
      <c r="S795" s="58">
        <f t="shared" si="376"/>
        <v>0</v>
      </c>
      <c r="T795" s="58">
        <f t="shared" si="376"/>
        <v>0</v>
      </c>
      <c r="U795" s="58">
        <f t="shared" si="376"/>
        <v>0</v>
      </c>
      <c r="V795" s="58">
        <f t="shared" si="376"/>
        <v>0</v>
      </c>
      <c r="W795" s="58">
        <f t="shared" si="376"/>
        <v>0</v>
      </c>
      <c r="X795" s="58">
        <f t="shared" si="376"/>
        <v>0</v>
      </c>
      <c r="Y795" s="58">
        <f t="shared" si="376"/>
        <v>0</v>
      </c>
      <c r="Z795" s="58">
        <f t="shared" si="376"/>
        <v>0</v>
      </c>
      <c r="AA795" s="58">
        <f t="shared" si="371"/>
        <v>0</v>
      </c>
      <c r="AB795" s="68" t="str">
        <f t="shared" si="370"/>
        <v>ok</v>
      </c>
    </row>
    <row r="796" spans="2:28" s="39" customFormat="1">
      <c r="B796" s="39" t="s">
        <v>1420</v>
      </c>
      <c r="E796" s="39" t="s">
        <v>1210</v>
      </c>
      <c r="F796" s="58">
        <v>1610425</v>
      </c>
      <c r="G796" s="58">
        <f t="shared" si="375"/>
        <v>781027.31757392595</v>
      </c>
      <c r="H796" s="58">
        <f t="shared" si="375"/>
        <v>209313.2793491738</v>
      </c>
      <c r="I796" s="58">
        <f t="shared" si="375"/>
        <v>21523.159739256094</v>
      </c>
      <c r="J796" s="58">
        <f t="shared" si="375"/>
        <v>248001.70188687442</v>
      </c>
      <c r="K796" s="58">
        <f t="shared" si="375"/>
        <v>167213.52045453823</v>
      </c>
      <c r="L796" s="58">
        <f t="shared" si="375"/>
        <v>61632.398697238525</v>
      </c>
      <c r="M796" s="58">
        <f t="shared" si="375"/>
        <v>0</v>
      </c>
      <c r="N796" s="58">
        <f t="shared" si="375"/>
        <v>0</v>
      </c>
      <c r="O796" s="58">
        <f t="shared" si="375"/>
        <v>0</v>
      </c>
      <c r="P796" s="58">
        <f t="shared" si="375"/>
        <v>43777.565821997283</v>
      </c>
      <c r="Q796" s="58">
        <f t="shared" si="376"/>
        <v>23351.224562231288</v>
      </c>
      <c r="R796" s="58">
        <f t="shared" si="376"/>
        <v>5210.3240114406826</v>
      </c>
      <c r="S796" s="58">
        <f t="shared" si="376"/>
        <v>48775.413298180196</v>
      </c>
      <c r="T796" s="58">
        <f t="shared" si="376"/>
        <v>215.19144023688716</v>
      </c>
      <c r="U796" s="58">
        <f t="shared" si="376"/>
        <v>383.90316490690111</v>
      </c>
      <c r="V796" s="58">
        <f t="shared" si="376"/>
        <v>0</v>
      </c>
      <c r="W796" s="58">
        <f t="shared" si="376"/>
        <v>0</v>
      </c>
      <c r="X796" s="58">
        <f t="shared" si="376"/>
        <v>0</v>
      </c>
      <c r="Y796" s="58">
        <f t="shared" si="376"/>
        <v>0</v>
      </c>
      <c r="Z796" s="58">
        <f t="shared" si="376"/>
        <v>0</v>
      </c>
      <c r="AA796" s="58">
        <f t="shared" si="371"/>
        <v>1610425.0000000002</v>
      </c>
      <c r="AB796" s="68" t="str">
        <f t="shared" si="370"/>
        <v>ok</v>
      </c>
    </row>
    <row r="797" spans="2:28" s="39" customFormat="1">
      <c r="B797" s="39" t="s">
        <v>1466</v>
      </c>
      <c r="E797" s="39" t="s">
        <v>442</v>
      </c>
      <c r="F797" s="58">
        <v>-379162</v>
      </c>
      <c r="G797" s="58">
        <f t="shared" si="375"/>
        <v>-184549.24429672249</v>
      </c>
      <c r="H797" s="58">
        <f t="shared" si="375"/>
        <v>-49355.228422394088</v>
      </c>
      <c r="I797" s="58">
        <f t="shared" si="375"/>
        <v>-5021.4169609313176</v>
      </c>
      <c r="J797" s="58">
        <f t="shared" si="375"/>
        <v>-58151.869860664498</v>
      </c>
      <c r="K797" s="58">
        <f t="shared" si="375"/>
        <v>-38948.133843841439</v>
      </c>
      <c r="L797" s="58">
        <f t="shared" si="375"/>
        <v>-14439.759579956217</v>
      </c>
      <c r="M797" s="58">
        <f t="shared" si="375"/>
        <v>0</v>
      </c>
      <c r="N797" s="58">
        <f t="shared" si="375"/>
        <v>0</v>
      </c>
      <c r="O797" s="58">
        <f t="shared" si="375"/>
        <v>0</v>
      </c>
      <c r="P797" s="58">
        <f t="shared" si="375"/>
        <v>-10203.862063224491</v>
      </c>
      <c r="Q797" s="58">
        <f t="shared" si="376"/>
        <v>-5486.9340280915312</v>
      </c>
      <c r="R797" s="58">
        <f t="shared" si="376"/>
        <v>-1214.1487552911146</v>
      </c>
      <c r="S797" s="58">
        <f t="shared" si="376"/>
        <v>-11653.385101062226</v>
      </c>
      <c r="T797" s="58">
        <f t="shared" si="376"/>
        <v>-48.487392813080504</v>
      </c>
      <c r="U797" s="58">
        <f t="shared" si="376"/>
        <v>-89.529695007504543</v>
      </c>
      <c r="V797" s="58">
        <f t="shared" si="376"/>
        <v>0</v>
      </c>
      <c r="W797" s="58">
        <f t="shared" si="376"/>
        <v>0</v>
      </c>
      <c r="X797" s="58">
        <f t="shared" si="376"/>
        <v>0</v>
      </c>
      <c r="Y797" s="58">
        <f t="shared" si="376"/>
        <v>0</v>
      </c>
      <c r="Z797" s="58">
        <f t="shared" si="376"/>
        <v>0</v>
      </c>
      <c r="AA797" s="58">
        <f>SUM(G797:Z797)</f>
        <v>-379162.00000000006</v>
      </c>
      <c r="AB797" s="68" t="str">
        <f t="shared" si="370"/>
        <v>ok</v>
      </c>
    </row>
    <row r="798" spans="2:28" s="39" customFormat="1">
      <c r="B798" s="39" t="s">
        <v>1421</v>
      </c>
      <c r="E798" s="39" t="s">
        <v>442</v>
      </c>
      <c r="F798" s="58">
        <v>30528</v>
      </c>
      <c r="G798" s="58">
        <f t="shared" si="375"/>
        <v>14858.871220982968</v>
      </c>
      <c r="H798" s="58">
        <f t="shared" si="375"/>
        <v>3973.8064818701419</v>
      </c>
      <c r="I798" s="58">
        <f t="shared" si="375"/>
        <v>404.29636140570852</v>
      </c>
      <c r="J798" s="58">
        <f t="shared" si="375"/>
        <v>4682.0627676464565</v>
      </c>
      <c r="K798" s="58">
        <f t="shared" si="375"/>
        <v>3135.8855317378629</v>
      </c>
      <c r="L798" s="58">
        <f t="shared" si="375"/>
        <v>1162.6085432002769</v>
      </c>
      <c r="M798" s="58">
        <f t="shared" si="375"/>
        <v>0</v>
      </c>
      <c r="N798" s="58">
        <f t="shared" si="375"/>
        <v>0</v>
      </c>
      <c r="O798" s="58">
        <f t="shared" si="375"/>
        <v>0</v>
      </c>
      <c r="P798" s="58">
        <f t="shared" si="375"/>
        <v>821.55780660012681</v>
      </c>
      <c r="Q798" s="58">
        <f t="shared" si="376"/>
        <v>441.77718761262543</v>
      </c>
      <c r="R798" s="58">
        <f t="shared" si="376"/>
        <v>97.756455556008106</v>
      </c>
      <c r="S798" s="58">
        <f t="shared" si="376"/>
        <v>938.26528071174755</v>
      </c>
      <c r="T798" s="58">
        <f t="shared" si="376"/>
        <v>3.9039332206226405</v>
      </c>
      <c r="U798" s="58">
        <f t="shared" si="376"/>
        <v>7.2084294554546569</v>
      </c>
      <c r="V798" s="58">
        <f t="shared" si="376"/>
        <v>0</v>
      </c>
      <c r="W798" s="58">
        <f t="shared" si="376"/>
        <v>0</v>
      </c>
      <c r="X798" s="58">
        <f t="shared" si="376"/>
        <v>0</v>
      </c>
      <c r="Y798" s="58">
        <f t="shared" si="376"/>
        <v>0</v>
      </c>
      <c r="Z798" s="58">
        <f t="shared" si="376"/>
        <v>0</v>
      </c>
      <c r="AA798" s="58">
        <f>SUM(G798:Z798)</f>
        <v>30528</v>
      </c>
      <c r="AB798" s="68" t="str">
        <f t="shared" si="370"/>
        <v>ok</v>
      </c>
    </row>
    <row r="799" spans="2:28" s="39" customFormat="1" hidden="1">
      <c r="B799" s="39" t="s">
        <v>1432</v>
      </c>
      <c r="E799" s="39" t="s">
        <v>442</v>
      </c>
      <c r="F799" s="58">
        <v>0</v>
      </c>
      <c r="G799" s="58">
        <f t="shared" si="375"/>
        <v>0</v>
      </c>
      <c r="H799" s="58">
        <f t="shared" si="375"/>
        <v>0</v>
      </c>
      <c r="I799" s="58">
        <f t="shared" si="375"/>
        <v>0</v>
      </c>
      <c r="J799" s="58">
        <f t="shared" si="375"/>
        <v>0</v>
      </c>
      <c r="K799" s="58">
        <f t="shared" si="375"/>
        <v>0</v>
      </c>
      <c r="L799" s="58">
        <f t="shared" si="375"/>
        <v>0</v>
      </c>
      <c r="M799" s="58">
        <f t="shared" si="375"/>
        <v>0</v>
      </c>
      <c r="N799" s="58">
        <f t="shared" si="375"/>
        <v>0</v>
      </c>
      <c r="O799" s="58">
        <f t="shared" si="375"/>
        <v>0</v>
      </c>
      <c r="P799" s="58">
        <f t="shared" si="375"/>
        <v>0</v>
      </c>
      <c r="Q799" s="58">
        <f t="shared" si="376"/>
        <v>0</v>
      </c>
      <c r="R799" s="58">
        <f t="shared" si="376"/>
        <v>0</v>
      </c>
      <c r="S799" s="58">
        <f t="shared" si="376"/>
        <v>0</v>
      </c>
      <c r="T799" s="58">
        <f t="shared" si="376"/>
        <v>0</v>
      </c>
      <c r="U799" s="58">
        <f t="shared" si="376"/>
        <v>0</v>
      </c>
      <c r="V799" s="58">
        <f t="shared" si="376"/>
        <v>0</v>
      </c>
      <c r="W799" s="58">
        <f t="shared" si="376"/>
        <v>0</v>
      </c>
      <c r="X799" s="58">
        <f t="shared" si="376"/>
        <v>0</v>
      </c>
      <c r="Y799" s="58">
        <f t="shared" si="376"/>
        <v>0</v>
      </c>
      <c r="Z799" s="58">
        <f t="shared" si="376"/>
        <v>0</v>
      </c>
      <c r="AA799" s="58">
        <f>SUM(G799:Z799)</f>
        <v>0</v>
      </c>
      <c r="AB799" s="68" t="str">
        <f t="shared" si="370"/>
        <v>ok</v>
      </c>
    </row>
    <row r="800" spans="2:28" s="47" customFormat="1">
      <c r="B800" s="47" t="s">
        <v>1295</v>
      </c>
      <c r="E800" s="47" t="s">
        <v>1373</v>
      </c>
      <c r="F800" s="103">
        <v>-3780611</v>
      </c>
      <c r="G800" s="103">
        <f t="shared" si="375"/>
        <v>-1789496.0285098953</v>
      </c>
      <c r="H800" s="103">
        <f t="shared" si="375"/>
        <v>-1385986.7199513169</v>
      </c>
      <c r="I800" s="103">
        <f t="shared" si="375"/>
        <v>-180610.63273644759</v>
      </c>
      <c r="J800" s="103">
        <f t="shared" si="375"/>
        <v>-1120846.9515801095</v>
      </c>
      <c r="K800" s="103">
        <f t="shared" si="375"/>
        <v>-195646.40570614341</v>
      </c>
      <c r="L800" s="103">
        <f t="shared" si="375"/>
        <v>992697.75191412761</v>
      </c>
      <c r="M800" s="103">
        <f t="shared" si="375"/>
        <v>0</v>
      </c>
      <c r="N800" s="103">
        <f t="shared" si="375"/>
        <v>0</v>
      </c>
      <c r="O800" s="103">
        <f t="shared" si="375"/>
        <v>0</v>
      </c>
      <c r="P800" s="103">
        <f t="shared" si="375"/>
        <v>-99929.26111185539</v>
      </c>
      <c r="Q800" s="103">
        <f t="shared" si="376"/>
        <v>-42324.848038927732</v>
      </c>
      <c r="R800" s="103">
        <f t="shared" si="376"/>
        <v>73441.765441289361</v>
      </c>
      <c r="S800" s="103">
        <f t="shared" si="376"/>
        <v>-31393.759613475228</v>
      </c>
      <c r="T800" s="103">
        <f t="shared" si="376"/>
        <v>-218.21150678662852</v>
      </c>
      <c r="U800" s="103">
        <f t="shared" si="376"/>
        <v>-297.69860046186892</v>
      </c>
      <c r="V800" s="103">
        <f t="shared" si="376"/>
        <v>0</v>
      </c>
      <c r="W800" s="103">
        <f t="shared" si="376"/>
        <v>0</v>
      </c>
      <c r="X800" s="103">
        <f t="shared" si="376"/>
        <v>0</v>
      </c>
      <c r="Y800" s="103">
        <f t="shared" si="376"/>
        <v>0</v>
      </c>
      <c r="Z800" s="103">
        <f t="shared" si="376"/>
        <v>0</v>
      </c>
      <c r="AA800" s="103">
        <f t="shared" si="371"/>
        <v>-3780611.0000000023</v>
      </c>
      <c r="AB800" s="101" t="str">
        <f t="shared" si="370"/>
        <v>ok</v>
      </c>
    </row>
    <row r="801" spans="1:54" s="39" customFormat="1">
      <c r="B801" s="39" t="s">
        <v>1296</v>
      </c>
      <c r="E801" s="39" t="s">
        <v>903</v>
      </c>
      <c r="F801" s="58">
        <v>28247</v>
      </c>
      <c r="G801" s="58">
        <f t="shared" si="375"/>
        <v>6153.0494619481906</v>
      </c>
      <c r="H801" s="58">
        <f t="shared" si="375"/>
        <v>7436.427365545871</v>
      </c>
      <c r="I801" s="58">
        <f t="shared" si="375"/>
        <v>950.99925921891258</v>
      </c>
      <c r="J801" s="58">
        <f t="shared" si="375"/>
        <v>8747.2902381292588</v>
      </c>
      <c r="K801" s="58">
        <f t="shared" si="375"/>
        <v>2439.7357161163281</v>
      </c>
      <c r="L801" s="58">
        <f t="shared" si="375"/>
        <v>692.53973118780345</v>
      </c>
      <c r="M801" s="58">
        <f t="shared" si="375"/>
        <v>0</v>
      </c>
      <c r="N801" s="58">
        <f t="shared" si="375"/>
        <v>0</v>
      </c>
      <c r="O801" s="58">
        <f t="shared" si="375"/>
        <v>0</v>
      </c>
      <c r="P801" s="58">
        <f t="shared" si="375"/>
        <v>627.71971244100723</v>
      </c>
      <c r="Q801" s="58">
        <f t="shared" si="376"/>
        <v>-93.433433097411594</v>
      </c>
      <c r="R801" s="58">
        <f t="shared" si="376"/>
        <v>-52.161067882896425</v>
      </c>
      <c r="S801" s="58">
        <f t="shared" si="376"/>
        <v>1326.2385873338098</v>
      </c>
      <c r="T801" s="58">
        <f t="shared" si="376"/>
        <v>8.813083786721629</v>
      </c>
      <c r="U801" s="58">
        <f t="shared" si="376"/>
        <v>9.7813452723826906</v>
      </c>
      <c r="V801" s="58">
        <f t="shared" si="376"/>
        <v>0</v>
      </c>
      <c r="W801" s="58">
        <f t="shared" si="376"/>
        <v>0</v>
      </c>
      <c r="X801" s="58">
        <f t="shared" si="376"/>
        <v>0</v>
      </c>
      <c r="Y801" s="58">
        <f t="shared" si="376"/>
        <v>0</v>
      </c>
      <c r="Z801" s="58">
        <f t="shared" si="376"/>
        <v>0</v>
      </c>
      <c r="AA801" s="58">
        <f t="shared" si="371"/>
        <v>28246.999999999978</v>
      </c>
      <c r="AB801" s="68" t="str">
        <f t="shared" si="370"/>
        <v>ok</v>
      </c>
    </row>
    <row r="802" spans="1:54" s="39" customFormat="1">
      <c r="B802" s="39" t="s">
        <v>1297</v>
      </c>
      <c r="E802" s="39" t="s">
        <v>903</v>
      </c>
      <c r="F802" s="58">
        <v>-608114</v>
      </c>
      <c r="G802" s="58">
        <f t="shared" si="375"/>
        <v>-132465.58999196949</v>
      </c>
      <c r="H802" s="58">
        <f t="shared" si="375"/>
        <v>-160094.7212437272</v>
      </c>
      <c r="I802" s="58">
        <f t="shared" si="375"/>
        <v>-20473.535721338543</v>
      </c>
      <c r="J802" s="58">
        <f t="shared" si="375"/>
        <v>-188315.56115232545</v>
      </c>
      <c r="K802" s="58">
        <f t="shared" si="375"/>
        <v>-52523.717395488537</v>
      </c>
      <c r="L802" s="58">
        <f t="shared" si="375"/>
        <v>-14909.303858517362</v>
      </c>
      <c r="M802" s="58">
        <f t="shared" si="375"/>
        <v>0</v>
      </c>
      <c r="N802" s="58">
        <f t="shared" si="375"/>
        <v>0</v>
      </c>
      <c r="O802" s="58">
        <f t="shared" si="375"/>
        <v>0</v>
      </c>
      <c r="P802" s="58">
        <f t="shared" si="375"/>
        <v>-13513.829617706329</v>
      </c>
      <c r="Q802" s="58">
        <f t="shared" si="376"/>
        <v>2011.476572188174</v>
      </c>
      <c r="R802" s="58">
        <f t="shared" si="376"/>
        <v>1122.9467070676417</v>
      </c>
      <c r="S802" s="58">
        <f t="shared" si="376"/>
        <v>-28551.855145605285</v>
      </c>
      <c r="T802" s="58">
        <f t="shared" si="376"/>
        <v>-189.73199397735817</v>
      </c>
      <c r="U802" s="58">
        <f t="shared" si="376"/>
        <v>-210.57715859984168</v>
      </c>
      <c r="V802" s="58">
        <f t="shared" si="376"/>
        <v>0</v>
      </c>
      <c r="W802" s="58">
        <f t="shared" si="376"/>
        <v>0</v>
      </c>
      <c r="X802" s="58">
        <f t="shared" si="376"/>
        <v>0</v>
      </c>
      <c r="Y802" s="58">
        <f t="shared" si="376"/>
        <v>0</v>
      </c>
      <c r="Z802" s="58">
        <f t="shared" si="376"/>
        <v>0</v>
      </c>
      <c r="AA802" s="58">
        <f t="shared" si="371"/>
        <v>-608113.99999999942</v>
      </c>
      <c r="AB802" s="68" t="str">
        <f t="shared" si="370"/>
        <v>ok</v>
      </c>
    </row>
    <row r="803" spans="1:54" s="39" customFormat="1" hidden="1">
      <c r="B803" s="39" t="s">
        <v>1298</v>
      </c>
      <c r="E803" s="39" t="s">
        <v>903</v>
      </c>
      <c r="F803" s="58">
        <v>0</v>
      </c>
      <c r="G803" s="57">
        <f t="shared" si="375"/>
        <v>0</v>
      </c>
      <c r="H803" s="57">
        <f t="shared" si="375"/>
        <v>0</v>
      </c>
      <c r="I803" s="57">
        <f t="shared" si="375"/>
        <v>0</v>
      </c>
      <c r="J803" s="57">
        <f t="shared" si="375"/>
        <v>0</v>
      </c>
      <c r="K803" s="57">
        <f t="shared" si="375"/>
        <v>0</v>
      </c>
      <c r="L803" s="57">
        <f t="shared" si="375"/>
        <v>0</v>
      </c>
      <c r="M803" s="57">
        <f t="shared" si="375"/>
        <v>0</v>
      </c>
      <c r="N803" s="57">
        <f t="shared" si="375"/>
        <v>0</v>
      </c>
      <c r="O803" s="57">
        <f t="shared" si="375"/>
        <v>0</v>
      </c>
      <c r="P803" s="57">
        <f t="shared" si="375"/>
        <v>0</v>
      </c>
      <c r="Q803" s="57">
        <f t="shared" si="376"/>
        <v>0</v>
      </c>
      <c r="R803" s="57">
        <f t="shared" si="376"/>
        <v>0</v>
      </c>
      <c r="S803" s="57">
        <f t="shared" si="376"/>
        <v>0</v>
      </c>
      <c r="T803" s="57">
        <f t="shared" si="376"/>
        <v>0</v>
      </c>
      <c r="U803" s="57">
        <f t="shared" si="376"/>
        <v>0</v>
      </c>
      <c r="V803" s="57">
        <f t="shared" si="376"/>
        <v>0</v>
      </c>
      <c r="W803" s="57">
        <f t="shared" si="376"/>
        <v>0</v>
      </c>
      <c r="X803" s="58">
        <f t="shared" si="376"/>
        <v>0</v>
      </c>
      <c r="Y803" s="58">
        <f t="shared" si="376"/>
        <v>0</v>
      </c>
      <c r="Z803" s="58">
        <f t="shared" si="376"/>
        <v>0</v>
      </c>
      <c r="AA803" s="59">
        <f t="shared" si="371"/>
        <v>0</v>
      </c>
      <c r="AB803" s="68" t="str">
        <f t="shared" si="370"/>
        <v>ok</v>
      </c>
    </row>
    <row r="804" spans="1:54" s="39" customFormat="1">
      <c r="B804" s="39" t="s">
        <v>1299</v>
      </c>
      <c r="E804" s="39" t="s">
        <v>442</v>
      </c>
      <c r="F804" s="58">
        <v>-85392</v>
      </c>
      <c r="G804" s="57">
        <f t="shared" si="375"/>
        <v>-41562.786009636322</v>
      </c>
      <c r="H804" s="57">
        <f t="shared" si="375"/>
        <v>-11115.411527117896</v>
      </c>
      <c r="I804" s="57">
        <f t="shared" si="375"/>
        <v>-1130.8855769508734</v>
      </c>
      <c r="J804" s="57">
        <f t="shared" si="375"/>
        <v>-13096.524628369569</v>
      </c>
      <c r="K804" s="57">
        <f t="shared" si="375"/>
        <v>-8771.6043411346818</v>
      </c>
      <c r="L804" s="57">
        <f t="shared" si="375"/>
        <v>-3252.0135194234163</v>
      </c>
      <c r="M804" s="57">
        <f t="shared" si="375"/>
        <v>0</v>
      </c>
      <c r="N804" s="57">
        <f t="shared" si="375"/>
        <v>0</v>
      </c>
      <c r="O804" s="57">
        <f t="shared" si="375"/>
        <v>0</v>
      </c>
      <c r="P804" s="57">
        <f t="shared" si="375"/>
        <v>-2298.0366948767696</v>
      </c>
      <c r="Q804" s="57">
        <f t="shared" si="376"/>
        <v>-1235.7258125202211</v>
      </c>
      <c r="R804" s="57">
        <f t="shared" si="376"/>
        <v>-273.44140634298492</v>
      </c>
      <c r="S804" s="57">
        <f t="shared" si="376"/>
        <v>-2624.4873182172942</v>
      </c>
      <c r="T804" s="57">
        <f t="shared" si="376"/>
        <v>-10.919964150137858</v>
      </c>
      <c r="U804" s="57">
        <f t="shared" si="376"/>
        <v>-20.163201259833073</v>
      </c>
      <c r="V804" s="57">
        <f t="shared" si="376"/>
        <v>0</v>
      </c>
      <c r="W804" s="57">
        <f t="shared" si="376"/>
        <v>0</v>
      </c>
      <c r="X804" s="58">
        <f t="shared" si="376"/>
        <v>0</v>
      </c>
      <c r="Y804" s="58">
        <f t="shared" si="376"/>
        <v>0</v>
      </c>
      <c r="Z804" s="58">
        <f t="shared" si="376"/>
        <v>0</v>
      </c>
      <c r="AA804" s="59">
        <f t="shared" si="371"/>
        <v>-85391.999999999985</v>
      </c>
      <c r="AB804" s="68" t="str">
        <f t="shared" si="370"/>
        <v>ok</v>
      </c>
    </row>
    <row r="805" spans="1:54" s="39" customFormat="1">
      <c r="B805" s="39" t="s">
        <v>1300</v>
      </c>
      <c r="E805" s="39" t="s">
        <v>442</v>
      </c>
      <c r="F805" s="104">
        <v>326330</v>
      </c>
      <c r="G805" s="92">
        <f t="shared" si="375"/>
        <v>158834.36338913039</v>
      </c>
      <c r="H805" s="92">
        <f t="shared" si="375"/>
        <v>42478.127267711061</v>
      </c>
      <c r="I805" s="92">
        <f t="shared" si="375"/>
        <v>4321.7384570730101</v>
      </c>
      <c r="J805" s="92">
        <f t="shared" si="375"/>
        <v>50049.054735523721</v>
      </c>
      <c r="K805" s="92">
        <f t="shared" si="375"/>
        <v>33521.145360718576</v>
      </c>
      <c r="L805" s="92">
        <f t="shared" si="375"/>
        <v>12427.739973222824</v>
      </c>
      <c r="M805" s="92">
        <f t="shared" si="375"/>
        <v>0</v>
      </c>
      <c r="N805" s="92">
        <f t="shared" si="375"/>
        <v>0</v>
      </c>
      <c r="O805" s="92">
        <f t="shared" si="375"/>
        <v>0</v>
      </c>
      <c r="P805" s="92">
        <f t="shared" si="375"/>
        <v>8782.0675782173548</v>
      </c>
      <c r="Q805" s="92">
        <f t="shared" si="376"/>
        <v>4722.3909078101433</v>
      </c>
      <c r="R805" s="92">
        <f t="shared" si="376"/>
        <v>1044.9706545332849</v>
      </c>
      <c r="S805" s="92">
        <f t="shared" si="376"/>
        <v>10029.615731612441</v>
      </c>
      <c r="T805" s="92">
        <f t="shared" si="376"/>
        <v>41.731214880954738</v>
      </c>
      <c r="U805" s="92">
        <f t="shared" si="376"/>
        <v>77.054729566251254</v>
      </c>
      <c r="V805" s="92">
        <f t="shared" si="376"/>
        <v>0</v>
      </c>
      <c r="W805" s="92">
        <f t="shared" si="376"/>
        <v>0</v>
      </c>
      <c r="X805" s="58">
        <f t="shared" si="376"/>
        <v>0</v>
      </c>
      <c r="Y805" s="58">
        <f t="shared" si="376"/>
        <v>0</v>
      </c>
      <c r="Z805" s="58">
        <f t="shared" si="376"/>
        <v>0</v>
      </c>
      <c r="AA805" s="93">
        <f t="shared" si="371"/>
        <v>326330.00000000006</v>
      </c>
      <c r="AB805" s="105" t="str">
        <f t="shared" si="370"/>
        <v>ok</v>
      </c>
    </row>
    <row r="806" spans="1:54" s="39" customFormat="1">
      <c r="A806" s="39" t="s">
        <v>749</v>
      </c>
      <c r="F806" s="58">
        <f t="shared" ref="F806:Z806" si="377">SUM(F771:F805)</f>
        <v>-58640127</v>
      </c>
      <c r="G806" s="58">
        <f t="shared" si="377"/>
        <v>-25487933.032452017</v>
      </c>
      <c r="H806" s="58">
        <f t="shared" si="377"/>
        <v>-8711563.1637249533</v>
      </c>
      <c r="I806" s="58">
        <f t="shared" si="377"/>
        <v>-1177411.1837127625</v>
      </c>
      <c r="J806" s="58">
        <f t="shared" si="377"/>
        <v>-11123163.814310623</v>
      </c>
      <c r="K806" s="58">
        <f t="shared" si="377"/>
        <v>-7421972.2854512287</v>
      </c>
      <c r="L806" s="58">
        <f t="shared" si="377"/>
        <v>-1462462.7016684781</v>
      </c>
      <c r="M806" s="58">
        <f t="shared" si="377"/>
        <v>0</v>
      </c>
      <c r="N806" s="58">
        <f t="shared" si="377"/>
        <v>0</v>
      </c>
      <c r="O806" s="58">
        <f>SUM(O771:O805)</f>
        <v>0</v>
      </c>
      <c r="P806" s="58">
        <f t="shared" si="377"/>
        <v>-2002114.3831486341</v>
      </c>
      <c r="Q806" s="58">
        <f t="shared" si="377"/>
        <v>-840465.48332966527</v>
      </c>
      <c r="R806" s="58">
        <f t="shared" si="377"/>
        <v>-139056.43969970811</v>
      </c>
      <c r="S806" s="58">
        <f t="shared" si="377"/>
        <v>-249542.83497443426</v>
      </c>
      <c r="T806" s="58">
        <f t="shared" si="377"/>
        <v>-13822.229986108781</v>
      </c>
      <c r="U806" s="58">
        <f t="shared" si="377"/>
        <v>-10619.447541383872</v>
      </c>
      <c r="V806" s="58">
        <f t="shared" si="377"/>
        <v>0</v>
      </c>
      <c r="W806" s="58">
        <f t="shared" si="377"/>
        <v>0</v>
      </c>
      <c r="X806" s="58">
        <f t="shared" si="377"/>
        <v>0</v>
      </c>
      <c r="Y806" s="58">
        <f t="shared" si="377"/>
        <v>0</v>
      </c>
      <c r="Z806" s="58">
        <f t="shared" si="377"/>
        <v>0</v>
      </c>
      <c r="AA806" s="111">
        <f>SUM(G806:Z806)</f>
        <v>-58640127.000000007</v>
      </c>
      <c r="AB806" s="101" t="str">
        <f t="shared" si="370"/>
        <v>ok</v>
      </c>
    </row>
    <row r="807" spans="1:54" s="39" customFormat="1">
      <c r="AA807" s="111"/>
      <c r="AB807" s="101"/>
      <c r="AF807" s="106"/>
      <c r="AG807" s="106"/>
      <c r="AH807" s="106"/>
      <c r="AI807" s="106"/>
      <c r="AJ807" s="106"/>
      <c r="AK807" s="106"/>
      <c r="AL807" s="106"/>
      <c r="AM807" s="106"/>
      <c r="AN807" s="106"/>
      <c r="AO807" s="106"/>
      <c r="AP807" s="106"/>
      <c r="AQ807" s="106"/>
      <c r="AR807" s="106"/>
      <c r="AS807" s="106"/>
      <c r="AT807" s="106"/>
      <c r="AU807" s="106"/>
      <c r="AV807" s="106"/>
      <c r="AW807" s="106"/>
      <c r="AX807" s="106"/>
      <c r="AY807" s="106"/>
      <c r="AZ807" s="106"/>
      <c r="BA807" s="106"/>
      <c r="BB807" s="106"/>
    </row>
    <row r="808" spans="1:54" s="39" customFormat="1">
      <c r="A808" s="39" t="s">
        <v>1225</v>
      </c>
      <c r="D808" s="39" t="s">
        <v>1185</v>
      </c>
      <c r="F808" s="59">
        <f t="shared" ref="F808:Z808" si="378">SUM(F757:F805)</f>
        <v>867018609.29469991</v>
      </c>
      <c r="G808" s="59">
        <f t="shared" si="378"/>
        <v>359791950.20914841</v>
      </c>
      <c r="H808" s="59">
        <f t="shared" si="378"/>
        <v>118074304.51193875</v>
      </c>
      <c r="I808" s="59">
        <f t="shared" si="378"/>
        <v>15344266.238856995</v>
      </c>
      <c r="J808" s="59">
        <f t="shared" si="378"/>
        <v>160648084.04948542</v>
      </c>
      <c r="K808" s="59">
        <f t="shared" si="378"/>
        <v>113965156.22983803</v>
      </c>
      <c r="L808" s="59">
        <f t="shared" si="378"/>
        <v>39198666.021787189</v>
      </c>
      <c r="M808" s="59">
        <f t="shared" si="378"/>
        <v>0</v>
      </c>
      <c r="N808" s="59">
        <f t="shared" si="378"/>
        <v>0</v>
      </c>
      <c r="O808" s="59">
        <f>SUM(O757:O805)</f>
        <v>0</v>
      </c>
      <c r="P808" s="59">
        <f t="shared" si="378"/>
        <v>29691491.030764826</v>
      </c>
      <c r="Q808" s="59">
        <f t="shared" si="378"/>
        <v>13317962.522754906</v>
      </c>
      <c r="R808" s="59">
        <f t="shared" si="378"/>
        <v>3379991.3619847978</v>
      </c>
      <c r="S808" s="59">
        <f t="shared" si="378"/>
        <v>13156170.051789608</v>
      </c>
      <c r="T808" s="59">
        <f t="shared" si="378"/>
        <v>208525.23652739031</v>
      </c>
      <c r="U808" s="59">
        <f t="shared" si="378"/>
        <v>242041.82982342507</v>
      </c>
      <c r="V808" s="59">
        <f t="shared" si="378"/>
        <v>0</v>
      </c>
      <c r="W808" s="59">
        <f t="shared" si="378"/>
        <v>0</v>
      </c>
      <c r="X808" s="59">
        <f t="shared" si="378"/>
        <v>0</v>
      </c>
      <c r="Y808" s="59">
        <f t="shared" si="378"/>
        <v>0</v>
      </c>
      <c r="Z808" s="59">
        <f t="shared" si="378"/>
        <v>0</v>
      </c>
      <c r="AA808" s="59">
        <f>SUM(G808:Z808)</f>
        <v>867018609.29469979</v>
      </c>
      <c r="AB808" s="68" t="str">
        <f>IF(ABS(F808-AA808)&lt;0.01,"ok","err")</f>
        <v>ok</v>
      </c>
    </row>
    <row r="809" spans="1:54" s="39" customFormat="1"/>
    <row r="810" spans="1:54" s="39" customFormat="1">
      <c r="A810" s="44" t="s">
        <v>992</v>
      </c>
      <c r="F810" s="59">
        <f t="shared" ref="F810:AA810" si="379">F750-F808</f>
        <v>116247636.30530012</v>
      </c>
      <c r="G810" s="59">
        <f t="shared" si="379"/>
        <v>32804339.753172934</v>
      </c>
      <c r="H810" s="59">
        <f t="shared" si="379"/>
        <v>25348322.953311592</v>
      </c>
      <c r="I810" s="59">
        <f t="shared" si="379"/>
        <v>3127837.4405067135</v>
      </c>
      <c r="J810" s="59">
        <f t="shared" si="379"/>
        <v>30772474.220128685</v>
      </c>
      <c r="K810" s="59">
        <f t="shared" si="379"/>
        <v>10913737.724784151</v>
      </c>
      <c r="L810" s="59">
        <f t="shared" si="379"/>
        <v>5168901.3985447735</v>
      </c>
      <c r="M810" s="59">
        <f t="shared" si="379"/>
        <v>0</v>
      </c>
      <c r="N810" s="59">
        <f t="shared" si="379"/>
        <v>0</v>
      </c>
      <c r="O810" s="59">
        <f t="shared" si="379"/>
        <v>0</v>
      </c>
      <c r="P810" s="59">
        <f t="shared" si="379"/>
        <v>2754637.08156332</v>
      </c>
      <c r="Q810" s="59">
        <f t="shared" si="379"/>
        <v>152497.31271957234</v>
      </c>
      <c r="R810" s="59">
        <f t="shared" si="379"/>
        <v>74445.888640975114</v>
      </c>
      <c r="S810" s="59">
        <f t="shared" si="379"/>
        <v>5060925.7949483693</v>
      </c>
      <c r="T810" s="59">
        <f t="shared" si="379"/>
        <v>31459.999103918119</v>
      </c>
      <c r="U810" s="59">
        <f t="shared" si="379"/>
        <v>38056.737875244784</v>
      </c>
      <c r="V810" s="59">
        <f t="shared" si="379"/>
        <v>0</v>
      </c>
      <c r="W810" s="59">
        <f t="shared" si="379"/>
        <v>0</v>
      </c>
      <c r="X810" s="59">
        <f t="shared" si="379"/>
        <v>0</v>
      </c>
      <c r="Y810" s="59">
        <f t="shared" si="379"/>
        <v>0</v>
      </c>
      <c r="Z810" s="59">
        <f t="shared" si="379"/>
        <v>0</v>
      </c>
      <c r="AA810" s="59">
        <f t="shared" si="379"/>
        <v>116247636.30530024</v>
      </c>
      <c r="AB810" s="68" t="str">
        <f>IF(ABS(F810-AA810)&lt;0.01,"ok","err")</f>
        <v>ok</v>
      </c>
    </row>
    <row r="811" spans="1:54" s="39" customFormat="1">
      <c r="A811" s="44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68"/>
    </row>
    <row r="812" spans="1:54" s="39" customFormat="1">
      <c r="A812" s="44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68"/>
    </row>
    <row r="813" spans="1:54" s="39" customFormat="1">
      <c r="A813" s="44" t="s">
        <v>224</v>
      </c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68"/>
    </row>
    <row r="814" spans="1:54" s="39" customFormat="1">
      <c r="A814" s="44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68"/>
    </row>
    <row r="815" spans="1:54" s="39" customFormat="1">
      <c r="A815" s="44" t="s">
        <v>992</v>
      </c>
      <c r="F815" s="59">
        <f>F810</f>
        <v>116247636.30530012</v>
      </c>
      <c r="G815" s="59">
        <f t="shared" ref="G815:U815" si="380">G810</f>
        <v>32804339.753172934</v>
      </c>
      <c r="H815" s="59">
        <f t="shared" si="380"/>
        <v>25348322.953311592</v>
      </c>
      <c r="I815" s="59">
        <f t="shared" si="380"/>
        <v>3127837.4405067135</v>
      </c>
      <c r="J815" s="59">
        <f t="shared" si="380"/>
        <v>30772474.220128685</v>
      </c>
      <c r="K815" s="59">
        <f t="shared" si="380"/>
        <v>10913737.724784151</v>
      </c>
      <c r="L815" s="59">
        <f t="shared" si="380"/>
        <v>5168901.3985447735</v>
      </c>
      <c r="M815" s="59">
        <f t="shared" si="380"/>
        <v>0</v>
      </c>
      <c r="N815" s="59">
        <f t="shared" si="380"/>
        <v>0</v>
      </c>
      <c r="O815" s="59">
        <f>O810</f>
        <v>0</v>
      </c>
      <c r="P815" s="59">
        <f t="shared" si="380"/>
        <v>2754637.08156332</v>
      </c>
      <c r="Q815" s="59">
        <f t="shared" si="380"/>
        <v>152497.31271957234</v>
      </c>
      <c r="R815" s="59">
        <f t="shared" si="380"/>
        <v>74445.888640975114</v>
      </c>
      <c r="S815" s="59">
        <f t="shared" si="380"/>
        <v>5060925.7949483693</v>
      </c>
      <c r="T815" s="59">
        <f t="shared" si="380"/>
        <v>31459.999103918119</v>
      </c>
      <c r="U815" s="59">
        <f t="shared" si="380"/>
        <v>38056.737875244784</v>
      </c>
      <c r="V815" s="59"/>
      <c r="W815" s="59"/>
      <c r="X815" s="59"/>
      <c r="Y815" s="59"/>
      <c r="Z815" s="59"/>
      <c r="AA815" s="59"/>
      <c r="AB815" s="68"/>
    </row>
    <row r="816" spans="1:54" s="39" customFormat="1"/>
    <row r="817" spans="1:31" s="39" customFormat="1">
      <c r="A817" s="44" t="s">
        <v>1208</v>
      </c>
      <c r="F817" s="59">
        <f t="shared" ref="F817:Z817" si="381">F702</f>
        <v>1920997668.0954001</v>
      </c>
      <c r="G817" s="59">
        <f t="shared" si="381"/>
        <v>931649506.04860032</v>
      </c>
      <c r="H817" s="59">
        <f t="shared" si="381"/>
        <v>249679632.1040495</v>
      </c>
      <c r="I817" s="59">
        <f t="shared" si="381"/>
        <v>25673930.589226916</v>
      </c>
      <c r="J817" s="59">
        <f t="shared" si="381"/>
        <v>295829169.94481355</v>
      </c>
      <c r="K817" s="59">
        <f t="shared" si="381"/>
        <v>199460877.01519188</v>
      </c>
      <c r="L817" s="59">
        <f t="shared" si="381"/>
        <v>73518291.243939444</v>
      </c>
      <c r="M817" s="59">
        <f t="shared" si="381"/>
        <v>0</v>
      </c>
      <c r="N817" s="59">
        <f t="shared" si="381"/>
        <v>0</v>
      </c>
      <c r="O817" s="59">
        <f t="shared" si="381"/>
        <v>0</v>
      </c>
      <c r="P817" s="59">
        <f t="shared" si="381"/>
        <v>52220129.381343223</v>
      </c>
      <c r="Q817" s="59">
        <f t="shared" si="381"/>
        <v>27854540.21840094</v>
      </c>
      <c r="R817" s="59">
        <f t="shared" si="381"/>
        <v>6215142.1370129138</v>
      </c>
      <c r="S817" s="59">
        <f t="shared" si="381"/>
        <v>58181818.592106752</v>
      </c>
      <c r="T817" s="59">
        <f t="shared" si="381"/>
        <v>256691.40437409433</v>
      </c>
      <c r="U817" s="59">
        <f t="shared" si="381"/>
        <v>457939.41634078015</v>
      </c>
      <c r="V817" s="59">
        <f t="shared" si="381"/>
        <v>0</v>
      </c>
      <c r="W817" s="59">
        <f t="shared" si="381"/>
        <v>0</v>
      </c>
      <c r="X817" s="59">
        <f t="shared" si="381"/>
        <v>0</v>
      </c>
      <c r="Y817" s="59">
        <f t="shared" si="381"/>
        <v>0</v>
      </c>
      <c r="Z817" s="59">
        <f t="shared" si="381"/>
        <v>0</v>
      </c>
      <c r="AA817" s="59">
        <f>SUM(G817:Z817)</f>
        <v>1920997668.0954003</v>
      </c>
      <c r="AB817" s="68" t="str">
        <f>IF(ABS(F817-AA817)&lt;0.01,"ok","err")</f>
        <v>ok</v>
      </c>
    </row>
    <row r="818" spans="1:31" s="39" customFormat="1">
      <c r="A818" s="44" t="s">
        <v>1473</v>
      </c>
      <c r="E818" s="39" t="s">
        <v>1198</v>
      </c>
      <c r="F818" s="58">
        <v>-20091143</v>
      </c>
      <c r="G818" s="58">
        <f t="shared" ref="G818:P820" si="382">IF(VLOOKUP($E818,$D$6:$AN$1197,3,)=0,0,(VLOOKUP($E818,$D$6:$AN$1197,G$2,)/VLOOKUP($E818,$D$6:$AN$1197,3,))*$F818)</f>
        <v>-8409743.7624865156</v>
      </c>
      <c r="H818" s="58">
        <f t="shared" si="382"/>
        <v>-2741349.2412704588</v>
      </c>
      <c r="I818" s="58">
        <f t="shared" si="382"/>
        <v>-339662.65640822094</v>
      </c>
      <c r="J818" s="58">
        <f t="shared" si="382"/>
        <v>-3770824.893416842</v>
      </c>
      <c r="K818" s="58">
        <f t="shared" si="382"/>
        <v>-2605171.2122304589</v>
      </c>
      <c r="L818" s="58">
        <f t="shared" si="382"/>
        <v>-946071.69453039824</v>
      </c>
      <c r="M818" s="58">
        <f t="shared" si="382"/>
        <v>0</v>
      </c>
      <c r="N818" s="58">
        <f t="shared" si="382"/>
        <v>0</v>
      </c>
      <c r="O818" s="58">
        <f t="shared" si="382"/>
        <v>0</v>
      </c>
      <c r="P818" s="58">
        <f t="shared" si="382"/>
        <v>-761232.47281114152</v>
      </c>
      <c r="Q818" s="58">
        <f t="shared" ref="Q818:Z820" si="383">IF(VLOOKUP($E818,$D$6:$AN$1197,3,)=0,0,(VLOOKUP($E818,$D$6:$AN$1197,Q$2,)/VLOOKUP($E818,$D$6:$AN$1197,3,))*$F818)</f>
        <v>-367535.28810754226</v>
      </c>
      <c r="R818" s="58">
        <f t="shared" si="383"/>
        <v>-80632.274713599443</v>
      </c>
      <c r="S818" s="58">
        <f t="shared" si="383"/>
        <v>-62348.17871994224</v>
      </c>
      <c r="T818" s="58">
        <f t="shared" si="383"/>
        <v>-2355.7718842524814</v>
      </c>
      <c r="U818" s="58">
        <f t="shared" si="383"/>
        <v>-4215.5534206283492</v>
      </c>
      <c r="V818" s="58">
        <f t="shared" si="383"/>
        <v>0</v>
      </c>
      <c r="W818" s="58">
        <f t="shared" si="383"/>
        <v>0</v>
      </c>
      <c r="X818" s="58">
        <f t="shared" si="383"/>
        <v>0</v>
      </c>
      <c r="Y818" s="58">
        <f t="shared" si="383"/>
        <v>0</v>
      </c>
      <c r="Z818" s="58">
        <f t="shared" si="383"/>
        <v>0</v>
      </c>
      <c r="AA818" s="58">
        <f>SUM(G818:Z818)</f>
        <v>-20091142.999999993</v>
      </c>
      <c r="AB818" s="68" t="str">
        <f>IF(ABS(F818-AA818)&lt;0.01,"ok","err")</f>
        <v>ok</v>
      </c>
    </row>
    <row r="819" spans="1:31" s="39" customFormat="1">
      <c r="A819" s="44" t="s">
        <v>1269</v>
      </c>
      <c r="E819" s="39" t="s">
        <v>552</v>
      </c>
      <c r="F819" s="58">
        <f>-696536</f>
        <v>-696536</v>
      </c>
      <c r="G819" s="58">
        <f t="shared" si="382"/>
        <v>-325859.58016201737</v>
      </c>
      <c r="H819" s="58">
        <f t="shared" si="382"/>
        <v>-91793.247315580578</v>
      </c>
      <c r="I819" s="58">
        <f t="shared" si="382"/>
        <v>-9927.8738315967676</v>
      </c>
      <c r="J819" s="58">
        <f t="shared" si="382"/>
        <v>-113423.41803867968</v>
      </c>
      <c r="K819" s="58">
        <f t="shared" si="382"/>
        <v>-76722.833181913797</v>
      </c>
      <c r="L819" s="58">
        <f t="shared" si="382"/>
        <v>-28256.594028178719</v>
      </c>
      <c r="M819" s="58">
        <f t="shared" si="382"/>
        <v>0</v>
      </c>
      <c r="N819" s="58">
        <f t="shared" si="382"/>
        <v>0</v>
      </c>
      <c r="O819" s="58">
        <f t="shared" si="382"/>
        <v>0</v>
      </c>
      <c r="P819" s="58">
        <f t="shared" si="382"/>
        <v>-20852.549760780952</v>
      </c>
      <c r="Q819" s="58">
        <f t="shared" si="383"/>
        <v>-10813.578465791632</v>
      </c>
      <c r="R819" s="58">
        <f t="shared" si="383"/>
        <v>-2386.1802073418289</v>
      </c>
      <c r="S819" s="58">
        <f t="shared" si="383"/>
        <v>-16253.509953366412</v>
      </c>
      <c r="T819" s="58">
        <f t="shared" si="383"/>
        <v>-87.019095556336566</v>
      </c>
      <c r="U819" s="58">
        <f t="shared" si="383"/>
        <v>-159.6159591958008</v>
      </c>
      <c r="V819" s="58">
        <f t="shared" si="383"/>
        <v>0</v>
      </c>
      <c r="W819" s="58">
        <f t="shared" si="383"/>
        <v>0</v>
      </c>
      <c r="X819" s="58">
        <f t="shared" si="383"/>
        <v>0</v>
      </c>
      <c r="Y819" s="58">
        <f t="shared" si="383"/>
        <v>0</v>
      </c>
      <c r="Z819" s="58">
        <f t="shared" si="383"/>
        <v>0</v>
      </c>
      <c r="AA819" s="58">
        <f>SUM(G819:Z819)</f>
        <v>-696535.99999999988</v>
      </c>
      <c r="AB819" s="68" t="str">
        <f>IF(ABS(F819-AA819)&lt;0.01,"ok","err")</f>
        <v>ok</v>
      </c>
    </row>
    <row r="820" spans="1:31" s="39" customFormat="1">
      <c r="A820" s="44" t="s">
        <v>0</v>
      </c>
      <c r="E820" s="39" t="s">
        <v>744</v>
      </c>
      <c r="F820" s="58">
        <v>-5766234</v>
      </c>
      <c r="G820" s="58">
        <f t="shared" si="382"/>
        <v>-3048981.7984679793</v>
      </c>
      <c r="H820" s="58">
        <f t="shared" si="382"/>
        <v>-820324.74775253946</v>
      </c>
      <c r="I820" s="58">
        <f t="shared" si="382"/>
        <v>-69741.742952860513</v>
      </c>
      <c r="J820" s="58">
        <f t="shared" si="382"/>
        <v>-800433.52642785397</v>
      </c>
      <c r="K820" s="58">
        <f t="shared" si="382"/>
        <v>-527047.45489609533</v>
      </c>
      <c r="L820" s="58">
        <f t="shared" si="382"/>
        <v>-197108.23583613971</v>
      </c>
      <c r="M820" s="58">
        <f t="shared" si="382"/>
        <v>0</v>
      </c>
      <c r="N820" s="58">
        <f t="shared" si="382"/>
        <v>0</v>
      </c>
      <c r="O820" s="58">
        <f t="shared" si="382"/>
        <v>0</v>
      </c>
      <c r="P820" s="58">
        <f t="shared" si="382"/>
        <v>-136603.19649422201</v>
      </c>
      <c r="Q820" s="58">
        <f t="shared" si="383"/>
        <v>-73603.761802471141</v>
      </c>
      <c r="R820" s="58">
        <f t="shared" si="383"/>
        <v>-16643.811531211231</v>
      </c>
      <c r="S820" s="58">
        <f t="shared" si="383"/>
        <v>-73321.102209685996</v>
      </c>
      <c r="T820" s="58">
        <f t="shared" si="383"/>
        <v>-730.81281127072748</v>
      </c>
      <c r="U820" s="58">
        <f t="shared" si="383"/>
        <v>-1693.8088176706351</v>
      </c>
      <c r="V820" s="58">
        <f t="shared" si="383"/>
        <v>0</v>
      </c>
      <c r="W820" s="58">
        <f t="shared" si="383"/>
        <v>0</v>
      </c>
      <c r="X820" s="58">
        <f t="shared" si="383"/>
        <v>0</v>
      </c>
      <c r="Y820" s="58">
        <f t="shared" si="383"/>
        <v>0</v>
      </c>
      <c r="Z820" s="58">
        <f t="shared" si="383"/>
        <v>0</v>
      </c>
      <c r="AA820" s="58">
        <f>SUM(G820:Z820)</f>
        <v>-5766234</v>
      </c>
      <c r="AB820" s="68" t="str">
        <f>IF(ABS(F820-AA820)&lt;0.01,"ok","err")</f>
        <v>ok</v>
      </c>
    </row>
    <row r="821" spans="1:31" s="39" customFormat="1">
      <c r="A821" s="44" t="s">
        <v>1012</v>
      </c>
      <c r="F821" s="59">
        <f t="shared" ref="F821:Z821" si="384">SUM(F817:F820)</f>
        <v>1894443755.0954001</v>
      </c>
      <c r="G821" s="59">
        <f t="shared" si="384"/>
        <v>919864920.90748382</v>
      </c>
      <c r="H821" s="59">
        <f t="shared" si="384"/>
        <v>246026164.86771092</v>
      </c>
      <c r="I821" s="59">
        <f t="shared" si="384"/>
        <v>25254598.316034239</v>
      </c>
      <c r="J821" s="59">
        <f t="shared" si="384"/>
        <v>291144488.1069302</v>
      </c>
      <c r="K821" s="59">
        <f t="shared" si="384"/>
        <v>196251935.5148834</v>
      </c>
      <c r="L821" s="59">
        <f t="shared" si="384"/>
        <v>72346854.719544739</v>
      </c>
      <c r="M821" s="59">
        <f t="shared" si="384"/>
        <v>0</v>
      </c>
      <c r="N821" s="59">
        <f t="shared" si="384"/>
        <v>0</v>
      </c>
      <c r="O821" s="59">
        <f t="shared" si="384"/>
        <v>0</v>
      </c>
      <c r="P821" s="59">
        <f t="shared" si="384"/>
        <v>51301441.16227708</v>
      </c>
      <c r="Q821" s="59">
        <f t="shared" si="384"/>
        <v>27402587.590025134</v>
      </c>
      <c r="R821" s="59">
        <f t="shared" si="384"/>
        <v>6115479.8705607615</v>
      </c>
      <c r="S821" s="59">
        <f t="shared" si="384"/>
        <v>58029895.801223755</v>
      </c>
      <c r="T821" s="59">
        <f t="shared" si="384"/>
        <v>253517.80058301476</v>
      </c>
      <c r="U821" s="59">
        <f t="shared" si="384"/>
        <v>451870.43814328534</v>
      </c>
      <c r="V821" s="59">
        <f t="shared" si="384"/>
        <v>0</v>
      </c>
      <c r="W821" s="59">
        <f t="shared" si="384"/>
        <v>0</v>
      </c>
      <c r="X821" s="59">
        <f t="shared" si="384"/>
        <v>0</v>
      </c>
      <c r="Y821" s="59">
        <f t="shared" si="384"/>
        <v>0</v>
      </c>
      <c r="Z821" s="59">
        <f t="shared" si="384"/>
        <v>0</v>
      </c>
      <c r="AA821" s="59">
        <f>SUM(G821:Z821)</f>
        <v>1894443755.0954003</v>
      </c>
      <c r="AB821" s="68" t="str">
        <f>IF(ABS(F821-AA821)&lt;0.01,"ok","err")</f>
        <v>ok</v>
      </c>
    </row>
    <row r="822" spans="1:31" s="39" customFormat="1" ht="14.4" thickBot="1">
      <c r="AD822" s="39" t="s">
        <v>1527</v>
      </c>
      <c r="AE822" s="39" t="s">
        <v>1528</v>
      </c>
    </row>
    <row r="823" spans="1:31" s="39" customFormat="1" ht="14.4" thickBot="1">
      <c r="A823" s="107" t="s">
        <v>1226</v>
      </c>
      <c r="B823" s="108"/>
      <c r="C823" s="108"/>
      <c r="D823" s="108"/>
      <c r="E823" s="108"/>
      <c r="F823" s="109">
        <f t="shared" ref="F823:Z823" si="385">F810/F821</f>
        <v>6.1362410994063074E-2</v>
      </c>
      <c r="G823" s="109">
        <f t="shared" si="385"/>
        <v>3.5662127131459838E-2</v>
      </c>
      <c r="H823" s="109">
        <f t="shared" si="385"/>
        <v>0.10303100471830494</v>
      </c>
      <c r="I823" s="109">
        <f t="shared" si="385"/>
        <v>0.12385219520679677</v>
      </c>
      <c r="J823" s="109">
        <f t="shared" si="385"/>
        <v>0.10569485419496148</v>
      </c>
      <c r="K823" s="109">
        <f t="shared" si="385"/>
        <v>5.5610853957445285E-2</v>
      </c>
      <c r="L823" s="109">
        <f t="shared" si="385"/>
        <v>7.1446110803050272E-2</v>
      </c>
      <c r="M823" s="109"/>
      <c r="N823" s="109"/>
      <c r="O823" s="109"/>
      <c r="P823" s="109">
        <f t="shared" si="385"/>
        <v>5.369512082223641E-2</v>
      </c>
      <c r="Q823" s="109">
        <f t="shared" si="385"/>
        <v>5.5650698029365356E-3</v>
      </c>
      <c r="R823" s="109">
        <f t="shared" si="385"/>
        <v>1.2173351922773768E-2</v>
      </c>
      <c r="S823" s="109">
        <f t="shared" si="385"/>
        <v>8.7212388116017309E-2</v>
      </c>
      <c r="T823" s="109">
        <f t="shared" si="385"/>
        <v>0.12409384678933619</v>
      </c>
      <c r="U823" s="109">
        <f t="shared" si="385"/>
        <v>8.4220463794042716E-2</v>
      </c>
      <c r="V823" s="109" t="e">
        <f t="shared" si="385"/>
        <v>#DIV/0!</v>
      </c>
      <c r="W823" s="109" t="e">
        <f t="shared" si="385"/>
        <v>#DIV/0!</v>
      </c>
      <c r="X823" s="109" t="e">
        <f t="shared" si="385"/>
        <v>#DIV/0!</v>
      </c>
      <c r="Y823" s="109" t="e">
        <f t="shared" si="385"/>
        <v>#DIV/0!</v>
      </c>
      <c r="Z823" s="109" t="e">
        <f t="shared" si="385"/>
        <v>#DIV/0!</v>
      </c>
      <c r="AA823" s="96"/>
      <c r="AB823" s="96"/>
      <c r="AD823" s="109">
        <f>SUM(Q810:R810)/SUM(Q821:R821)</f>
        <v>6.7707722596898334E-3</v>
      </c>
      <c r="AE823" s="109">
        <f>SUM(S810:U810)/SUM(S821:U821)</f>
        <v>8.7348560848670653E-2</v>
      </c>
    </row>
    <row r="824" spans="1:31" s="39" customFormat="1" ht="15" customHeight="1">
      <c r="A824" s="96"/>
      <c r="B824" s="96"/>
      <c r="C824" s="96"/>
      <c r="D824" s="96"/>
      <c r="E824" s="96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10"/>
      <c r="S824" s="110"/>
      <c r="T824" s="100"/>
      <c r="U824" s="100"/>
      <c r="V824" s="100"/>
      <c r="W824" s="100"/>
      <c r="X824" s="100"/>
      <c r="Y824" s="100"/>
      <c r="Z824" s="100"/>
      <c r="AA824" s="96"/>
      <c r="AB824" s="96"/>
    </row>
    <row r="825" spans="1:31" s="298" customFormat="1" ht="14.25" customHeight="1">
      <c r="A825" s="300" t="s">
        <v>1515</v>
      </c>
      <c r="S825" s="299">
        <f>SUM(S810:U810)/SUM(S821:U821)</f>
        <v>8.7348560848670653E-2</v>
      </c>
    </row>
    <row r="826" spans="1:31" s="62" customFormat="1" ht="14.25" customHeight="1">
      <c r="B826" s="216" t="s">
        <v>1379</v>
      </c>
      <c r="G826" s="62">
        <f t="shared" ref="G826:U826" si="386">G670/G1058</f>
        <v>8.6539367473534759E-2</v>
      </c>
      <c r="H826" s="62">
        <f t="shared" si="386"/>
        <v>9.5279948557339192E-2</v>
      </c>
      <c r="I826" s="62">
        <f t="shared" si="386"/>
        <v>7.2879597385146141E-2</v>
      </c>
      <c r="J826" s="62">
        <f t="shared" si="386"/>
        <v>7.6380806889126476E-2</v>
      </c>
      <c r="K826" s="62">
        <f t="shared" si="386"/>
        <v>5.9564895050949217E-2</v>
      </c>
      <c r="L826" s="62">
        <f t="shared" si="386"/>
        <v>6.8286280309309874E-2</v>
      </c>
      <c r="M826" s="62" t="e">
        <f t="shared" si="386"/>
        <v>#DIV/0!</v>
      </c>
      <c r="N826" s="62" t="e">
        <f t="shared" si="386"/>
        <v>#DIV/0!</v>
      </c>
      <c r="O826" s="62" t="e">
        <f t="shared" si="386"/>
        <v>#DIV/0!</v>
      </c>
      <c r="P826" s="62">
        <f t="shared" si="386"/>
        <v>5.5513488071043011E-2</v>
      </c>
      <c r="Q826" s="62">
        <f t="shared" si="386"/>
        <v>5.5614039399545401E-2</v>
      </c>
      <c r="R826" s="62">
        <f t="shared" si="386"/>
        <v>5.3086154193118427E-2</v>
      </c>
      <c r="S826" s="62">
        <f t="shared" si="386"/>
        <v>0.16574214609954607</v>
      </c>
      <c r="T826" s="62">
        <f t="shared" si="386"/>
        <v>5.911032538407799E-2</v>
      </c>
      <c r="U826" s="62">
        <f t="shared" si="386"/>
        <v>8.3574907958969533E-2</v>
      </c>
    </row>
    <row r="827" spans="1:31" s="58" customFormat="1" ht="14.25" customHeight="1">
      <c r="B827" s="217" t="s">
        <v>1374</v>
      </c>
      <c r="G827" s="58">
        <f>G1058/G1064</f>
        <v>1010.5794315575378</v>
      </c>
      <c r="H827" s="58">
        <f t="shared" ref="H827:U827" si="387">H1058/H1064</f>
        <v>2761.0835836298384</v>
      </c>
      <c r="I827" s="58">
        <f t="shared" si="387"/>
        <v>234133.62745098039</v>
      </c>
      <c r="J827" s="58">
        <f t="shared" si="387"/>
        <v>66804.942296678128</v>
      </c>
      <c r="K827" s="58">
        <f t="shared" si="387"/>
        <v>1708356.8396739131</v>
      </c>
      <c r="L827" s="58">
        <f t="shared" si="387"/>
        <v>282592.66563786007</v>
      </c>
      <c r="M827" s="58" t="e">
        <f t="shared" si="387"/>
        <v>#DIV/0!</v>
      </c>
      <c r="N827" s="58" t="e">
        <f t="shared" si="387"/>
        <v>#DIV/0!</v>
      </c>
      <c r="O827" s="58" t="e">
        <f>O1058/O1064</f>
        <v>#DIV/0!</v>
      </c>
      <c r="P827" s="58">
        <f t="shared" si="387"/>
        <v>3968791.4545454546</v>
      </c>
      <c r="Q827" s="58">
        <f t="shared" si="387"/>
        <v>17975416.666666668</v>
      </c>
      <c r="R827" s="58">
        <f t="shared" si="387"/>
        <v>2238800</v>
      </c>
      <c r="S827" s="58">
        <f t="shared" si="387"/>
        <v>90.60104938788615</v>
      </c>
      <c r="T827" s="58">
        <f t="shared" si="387"/>
        <v>1801.0857843137255</v>
      </c>
      <c r="U827" s="58">
        <f t="shared" si="387"/>
        <v>251.77799607072691</v>
      </c>
    </row>
    <row r="828" spans="1:31" s="110" customFormat="1" ht="14.25" customHeight="1">
      <c r="B828" s="218" t="s">
        <v>1375</v>
      </c>
      <c r="G828" s="110">
        <f>G1060/(G1092*8760)</f>
        <v>0.706224415445875</v>
      </c>
      <c r="H828" s="110">
        <f t="shared" ref="H828:U828" si="388">H1060/(H1092*8760)</f>
        <v>0.59738919602223139</v>
      </c>
      <c r="I828" s="110">
        <f t="shared" si="388"/>
        <v>0.97706292661878325</v>
      </c>
      <c r="J828" s="110">
        <f t="shared" si="388"/>
        <v>0.83742076103430307</v>
      </c>
      <c r="K828" s="110">
        <f t="shared" si="388"/>
        <v>1.0410771314650658</v>
      </c>
      <c r="L828" s="110">
        <f t="shared" si="388"/>
        <v>0.85343520269036388</v>
      </c>
      <c r="M828" s="110" t="e">
        <f t="shared" si="388"/>
        <v>#DIV/0!</v>
      </c>
      <c r="N828" s="110" t="e">
        <f t="shared" si="388"/>
        <v>#DIV/0!</v>
      </c>
      <c r="O828" s="110" t="e">
        <f t="shared" si="388"/>
        <v>#DIV/0!</v>
      </c>
      <c r="P828" s="110">
        <f t="shared" si="388"/>
        <v>0.8140377991338551</v>
      </c>
      <c r="Q828" s="110">
        <f t="shared" si="388"/>
        <v>0.81643650819193014</v>
      </c>
      <c r="R828" s="110">
        <f t="shared" si="388"/>
        <v>1.1337031586810207</v>
      </c>
      <c r="S828" s="110" t="e">
        <f t="shared" si="388"/>
        <v>#DIV/0!</v>
      </c>
      <c r="T828" s="110">
        <f t="shared" si="388"/>
        <v>35.546718122738667</v>
      </c>
      <c r="U828" s="110">
        <f t="shared" si="388"/>
        <v>0.9438940235898472</v>
      </c>
    </row>
    <row r="829" spans="1:31" s="110" customFormat="1" ht="14.25" customHeight="1">
      <c r="B829" s="218" t="s">
        <v>1376</v>
      </c>
      <c r="G829" s="110">
        <f>G1060/(G1091*8760)</f>
        <v>0.37153290975389591</v>
      </c>
      <c r="H829" s="110">
        <f t="shared" ref="H829:U829" si="389">H1060/(H1091*8760)</f>
        <v>0.4634354623599804</v>
      </c>
      <c r="I829" s="110">
        <f t="shared" si="389"/>
        <v>0.68810097412957427</v>
      </c>
      <c r="J829" s="110">
        <f t="shared" si="389"/>
        <v>0.56947183240085597</v>
      </c>
      <c r="K829" s="110">
        <f t="shared" si="389"/>
        <v>0.78855147667881431</v>
      </c>
      <c r="L829" s="110">
        <f t="shared" si="389"/>
        <v>0.64665022814434425</v>
      </c>
      <c r="M829" s="110" t="e">
        <f t="shared" si="389"/>
        <v>#DIV/0!</v>
      </c>
      <c r="N829" s="110" t="e">
        <f t="shared" si="389"/>
        <v>#DIV/0!</v>
      </c>
      <c r="O829" s="110" t="e">
        <f t="shared" si="389"/>
        <v>#DIV/0!</v>
      </c>
      <c r="P829" s="110">
        <f t="shared" si="389"/>
        <v>0.85447507557595004</v>
      </c>
      <c r="Q829" s="110">
        <f t="shared" si="389"/>
        <v>0.4977549782897227</v>
      </c>
      <c r="R829" s="110">
        <f t="shared" si="389"/>
        <v>0.69221555380059352</v>
      </c>
      <c r="S829" s="110" t="e">
        <f t="shared" si="389"/>
        <v>#DIV/0!</v>
      </c>
      <c r="T829" s="110">
        <f t="shared" si="389"/>
        <v>18.704162312506508</v>
      </c>
      <c r="U829" s="110">
        <f t="shared" si="389"/>
        <v>0.9438940235898472</v>
      </c>
    </row>
    <row r="830" spans="1:31" s="110" customFormat="1" ht="14.25" customHeight="1">
      <c r="B830" s="218" t="s">
        <v>1377</v>
      </c>
      <c r="G830" s="110">
        <f>G1060/(G1087*8760)</f>
        <v>0.32745408991281105</v>
      </c>
      <c r="H830" s="110">
        <f t="shared" ref="H830:U830" si="390">H1060/(H1087*8760)</f>
        <v>0.3854026484651405</v>
      </c>
      <c r="I830" s="110">
        <f t="shared" si="390"/>
        <v>0.61595899328053128</v>
      </c>
      <c r="J830" s="110">
        <f t="shared" si="390"/>
        <v>0.51966845957544905</v>
      </c>
      <c r="K830" s="110">
        <f t="shared" si="390"/>
        <v>0.53110751965766956</v>
      </c>
      <c r="L830" s="110">
        <f t="shared" si="390"/>
        <v>0.55508531556351515</v>
      </c>
      <c r="M830" s="110" t="e">
        <f t="shared" si="390"/>
        <v>#DIV/0!</v>
      </c>
      <c r="N830" s="110" t="e">
        <f t="shared" si="390"/>
        <v>#DIV/0!</v>
      </c>
      <c r="O830" s="110" t="e">
        <f t="shared" si="390"/>
        <v>#DIV/0!</v>
      </c>
      <c r="P830" s="110">
        <f t="shared" si="390"/>
        <v>0.60039812120385094</v>
      </c>
      <c r="Q830" s="110">
        <f t="shared" si="390"/>
        <v>0.43207808352147836</v>
      </c>
      <c r="R830" s="110">
        <f t="shared" si="390"/>
        <v>0.51427914862736368</v>
      </c>
      <c r="S830" s="110">
        <f t="shared" si="390"/>
        <v>0.47133595922346166</v>
      </c>
      <c r="T830" s="110">
        <f t="shared" si="390"/>
        <v>0.46418491312106225</v>
      </c>
      <c r="U830" s="110">
        <f t="shared" si="390"/>
        <v>0.9438940235898472</v>
      </c>
    </row>
    <row r="831" spans="1:31" s="110" customFormat="1" ht="14.25" customHeight="1">
      <c r="B831" s="218" t="s">
        <v>1378</v>
      </c>
      <c r="G831" s="110">
        <f>G1060/(G1090*8760)</f>
        <v>0.1610666947382785</v>
      </c>
      <c r="H831" s="110">
        <f t="shared" ref="H831:U831" si="391">H1060/(H1090*8760)</f>
        <v>0.27901337553858319</v>
      </c>
      <c r="I831" s="110" t="e">
        <f t="shared" si="391"/>
        <v>#DIV/0!</v>
      </c>
      <c r="J831" s="110">
        <f t="shared" si="391"/>
        <v>0.46009286897930635</v>
      </c>
      <c r="K831" s="110" t="e">
        <f t="shared" si="391"/>
        <v>#DIV/0!</v>
      </c>
      <c r="L831" s="110">
        <f t="shared" si="391"/>
        <v>0.43911872035710198</v>
      </c>
      <c r="M831" s="110" t="e">
        <f t="shared" si="391"/>
        <v>#DIV/0!</v>
      </c>
      <c r="N831" s="110" t="e">
        <f t="shared" si="391"/>
        <v>#DIV/0!</v>
      </c>
      <c r="O831" s="110" t="e">
        <f t="shared" si="391"/>
        <v>#DIV/0!</v>
      </c>
      <c r="P831" s="110" t="e">
        <f t="shared" si="391"/>
        <v>#DIV/0!</v>
      </c>
      <c r="Q831" s="110" t="e">
        <f t="shared" si="391"/>
        <v>#DIV/0!</v>
      </c>
      <c r="R831" s="110" t="e">
        <f t="shared" si="391"/>
        <v>#DIV/0!</v>
      </c>
      <c r="S831" s="110">
        <f t="shared" si="391"/>
        <v>0.49747809730960707</v>
      </c>
      <c r="T831" s="110">
        <f t="shared" si="391"/>
        <v>0.47461433277408932</v>
      </c>
      <c r="U831" s="110">
        <f t="shared" si="391"/>
        <v>0.99624608249922164</v>
      </c>
    </row>
    <row r="832" spans="1:31" s="39" customFormat="1" ht="14.25" customHeight="1">
      <c r="B832" s="167"/>
    </row>
    <row r="833" spans="1:27" s="39" customFormat="1" ht="14.25" customHeight="1">
      <c r="B833" s="167" t="s">
        <v>1385</v>
      </c>
      <c r="E833" s="169">
        <f>$F670</f>
        <v>908666505.76999998</v>
      </c>
      <c r="F833" s="110">
        <f>SUM(G833:U833)</f>
        <v>1</v>
      </c>
      <c r="G833" s="110">
        <f t="shared" ref="G833:U833" si="392">G670/$F670</f>
        <v>0.40165369261903999</v>
      </c>
      <c r="H833" s="110">
        <f t="shared" si="392"/>
        <v>0.15037135551760689</v>
      </c>
      <c r="I833" s="110">
        <f t="shared" si="392"/>
        <v>1.9154261417682051E-2</v>
      </c>
      <c r="J833" s="110">
        <f t="shared" si="392"/>
        <v>0.1960932074912648</v>
      </c>
      <c r="K833" s="110">
        <f t="shared" si="392"/>
        <v>0.12363274878222179</v>
      </c>
      <c r="L833" s="110">
        <f t="shared" si="392"/>
        <v>4.1284410076923968E-2</v>
      </c>
      <c r="M833" s="110">
        <f t="shared" si="392"/>
        <v>0</v>
      </c>
      <c r="N833" s="110">
        <f t="shared" si="392"/>
        <v>0</v>
      </c>
      <c r="O833" s="110">
        <f t="shared" si="392"/>
        <v>0</v>
      </c>
      <c r="P833" s="110">
        <f t="shared" si="392"/>
        <v>3.2005617185570254E-2</v>
      </c>
      <c r="Q833" s="110">
        <f t="shared" si="392"/>
        <v>1.3202012281187135E-2</v>
      </c>
      <c r="R833" s="110">
        <f t="shared" si="392"/>
        <v>3.1390865076117097E-3</v>
      </c>
      <c r="S833" s="110">
        <f t="shared" si="392"/>
        <v>1.8941703707030862E-2</v>
      </c>
      <c r="T833" s="110">
        <f t="shared" si="392"/>
        <v>2.3901403078241482E-4</v>
      </c>
      <c r="U833" s="110">
        <f t="shared" si="392"/>
        <v>2.8289038307815275E-4</v>
      </c>
    </row>
    <row r="834" spans="1:27" s="39" customFormat="1" ht="14.25" customHeight="1">
      <c r="B834" s="167" t="s">
        <v>1380</v>
      </c>
      <c r="E834" s="169">
        <f>$F682</f>
        <v>1047904225.6</v>
      </c>
      <c r="F834" s="110">
        <f>SUM(G834:U834)</f>
        <v>1</v>
      </c>
      <c r="G834" s="110">
        <f t="shared" ref="G834:U834" si="393">G682/$F682</f>
        <v>0.40182546584490192</v>
      </c>
      <c r="H834" s="110">
        <f t="shared" si="393"/>
        <v>0.1472806199713261</v>
      </c>
      <c r="I834" s="110">
        <f t="shared" si="393"/>
        <v>1.902455295688632E-2</v>
      </c>
      <c r="J834" s="110">
        <f t="shared" si="393"/>
        <v>0.19494127664210198</v>
      </c>
      <c r="K834" s="110">
        <f t="shared" si="393"/>
        <v>0.12654158335325175</v>
      </c>
      <c r="L834" s="110">
        <f t="shared" si="393"/>
        <v>4.2142307542422E-2</v>
      </c>
      <c r="M834" s="110">
        <f t="shared" si="393"/>
        <v>0</v>
      </c>
      <c r="N834" s="110">
        <f t="shared" si="393"/>
        <v>0</v>
      </c>
      <c r="O834" s="110">
        <f t="shared" si="393"/>
        <v>0</v>
      </c>
      <c r="P834" s="110">
        <f t="shared" si="393"/>
        <v>3.3027192415247271E-2</v>
      </c>
      <c r="Q834" s="110">
        <f t="shared" si="393"/>
        <v>1.3729567523249355E-2</v>
      </c>
      <c r="R834" s="110">
        <f t="shared" si="393"/>
        <v>3.3135073193020234E-3</v>
      </c>
      <c r="S834" s="110">
        <f t="shared" si="393"/>
        <v>1.7653748932108412E-2</v>
      </c>
      <c r="T834" s="110">
        <f t="shared" si="393"/>
        <v>2.4241061523088122E-4</v>
      </c>
      <c r="U834" s="110">
        <f t="shared" si="393"/>
        <v>2.7776688397197015E-4</v>
      </c>
    </row>
    <row r="835" spans="1:27" s="39" customFormat="1" ht="14.25" customHeight="1">
      <c r="B835" s="167" t="s">
        <v>1381</v>
      </c>
      <c r="E835" s="169">
        <f>$F685</f>
        <v>728886233.41999996</v>
      </c>
      <c r="F835" s="110">
        <f>SUM(G835:U835)</f>
        <v>1</v>
      </c>
      <c r="G835" s="110">
        <f t="shared" ref="G835:U835" si="394">G685/$F685</f>
        <v>0.41886813596711431</v>
      </c>
      <c r="H835" s="110">
        <f t="shared" si="394"/>
        <v>0.12882999281967661</v>
      </c>
      <c r="I835" s="110">
        <f t="shared" si="394"/>
        <v>1.7439493334728468E-2</v>
      </c>
      <c r="J835" s="110">
        <f t="shared" si="394"/>
        <v>0.1812099051930727</v>
      </c>
      <c r="K835" s="110">
        <f t="shared" si="394"/>
        <v>0.13877325386872763</v>
      </c>
      <c r="L835" s="110">
        <f t="shared" si="394"/>
        <v>4.5968094855713501E-2</v>
      </c>
      <c r="M835" s="110">
        <f t="shared" si="394"/>
        <v>0</v>
      </c>
      <c r="N835" s="110">
        <f t="shared" si="394"/>
        <v>0</v>
      </c>
      <c r="O835" s="110">
        <f t="shared" si="394"/>
        <v>0</v>
      </c>
      <c r="P835" s="110">
        <f t="shared" si="394"/>
        <v>3.7311564139466638E-2</v>
      </c>
      <c r="Q835" s="110">
        <f t="shared" si="394"/>
        <v>1.6569897355073158E-2</v>
      </c>
      <c r="R835" s="110">
        <f t="shared" si="394"/>
        <v>4.2779935371762686E-3</v>
      </c>
      <c r="S835" s="110">
        <f t="shared" si="394"/>
        <v>1.0217761236974298E-2</v>
      </c>
      <c r="T835" s="110">
        <f t="shared" si="394"/>
        <v>2.5793640143724684E-4</v>
      </c>
      <c r="U835" s="110">
        <f t="shared" si="394"/>
        <v>2.7597129083919492E-4</v>
      </c>
    </row>
    <row r="836" spans="1:27" s="39" customFormat="1" ht="14.25" customHeight="1">
      <c r="B836" s="167" t="s">
        <v>1176</v>
      </c>
      <c r="E836" s="121">
        <f>$F686</f>
        <v>121970362.90470001</v>
      </c>
      <c r="F836" s="110">
        <f>SUM(G836:U836)</f>
        <v>1</v>
      </c>
      <c r="G836" s="110">
        <f t="shared" ref="G836:U836" si="395">G686/$F686</f>
        <v>0.46782877003057616</v>
      </c>
      <c r="H836" s="110">
        <f t="shared" si="395"/>
        <v>0.13178535971662711</v>
      </c>
      <c r="I836" s="110">
        <f t="shared" si="395"/>
        <v>1.4253209929704663E-2</v>
      </c>
      <c r="J836" s="110">
        <f t="shared" si="395"/>
        <v>0.16283927613027852</v>
      </c>
      <c r="K836" s="110">
        <f t="shared" si="395"/>
        <v>0.11014912823158286</v>
      </c>
      <c r="L836" s="110">
        <f t="shared" si="395"/>
        <v>4.0567313144157256E-2</v>
      </c>
      <c r="M836" s="110">
        <f t="shared" si="395"/>
        <v>0</v>
      </c>
      <c r="N836" s="110">
        <f t="shared" si="395"/>
        <v>0</v>
      </c>
      <c r="O836" s="110">
        <f t="shared" si="395"/>
        <v>0</v>
      </c>
      <c r="P836" s="110">
        <f t="shared" si="395"/>
        <v>2.9937504681424868E-2</v>
      </c>
      <c r="Q836" s="110">
        <f t="shared" si="395"/>
        <v>1.552479479279123E-2</v>
      </c>
      <c r="R836" s="110">
        <f t="shared" si="395"/>
        <v>3.4257815925405563E-3</v>
      </c>
      <c r="S836" s="110">
        <f t="shared" si="395"/>
        <v>2.3334773727942865E-2</v>
      </c>
      <c r="T836" s="110">
        <f t="shared" si="395"/>
        <v>1.2493122474120012E-4</v>
      </c>
      <c r="U836" s="110">
        <f t="shared" si="395"/>
        <v>2.2915679763257148E-4</v>
      </c>
    </row>
    <row r="837" spans="1:27" s="39" customFormat="1" ht="14.25" customHeight="1">
      <c r="B837" s="167" t="s">
        <v>1222</v>
      </c>
      <c r="E837" s="169">
        <f>$F698</f>
        <v>925658736.29469991</v>
      </c>
      <c r="F837" s="110">
        <f>SUM(G837:U837)</f>
        <v>1.0000000000000002</v>
      </c>
      <c r="G837" s="110">
        <f t="shared" ref="G837:U837" si="396">G698/$F698</f>
        <v>0.41622238102978354</v>
      </c>
      <c r="H837" s="110">
        <f t="shared" si="396"/>
        <v>0.13696826130888384</v>
      </c>
      <c r="I837" s="110">
        <f t="shared" si="396"/>
        <v>1.784856208315393E-2</v>
      </c>
      <c r="J837" s="110">
        <f t="shared" si="396"/>
        <v>0.18556649565192426</v>
      </c>
      <c r="K837" s="110">
        <f t="shared" si="396"/>
        <v>0.13113594001304113</v>
      </c>
      <c r="L837" s="110">
        <f t="shared" si="396"/>
        <v>4.3926694719284176E-2</v>
      </c>
      <c r="M837" s="110">
        <f t="shared" si="396"/>
        <v>0</v>
      </c>
      <c r="N837" s="110">
        <f t="shared" si="396"/>
        <v>0</v>
      </c>
      <c r="O837" s="110">
        <f t="shared" si="396"/>
        <v>0</v>
      </c>
      <c r="P837" s="110">
        <f t="shared" si="396"/>
        <v>3.423897400977291E-2</v>
      </c>
      <c r="Q837" s="110">
        <f t="shared" si="396"/>
        <v>1.5295515994111449E-2</v>
      </c>
      <c r="R837" s="110">
        <f t="shared" si="396"/>
        <v>3.8016686535805085E-3</v>
      </c>
      <c r="S837" s="110">
        <f t="shared" si="396"/>
        <v>1.448234901387685E-2</v>
      </c>
      <c r="T837" s="110">
        <f t="shared" si="396"/>
        <v>2.402045784211243E-4</v>
      </c>
      <c r="U837" s="110">
        <f t="shared" si="396"/>
        <v>2.7295294416620699E-4</v>
      </c>
    </row>
    <row r="838" spans="1:27" s="39" customFormat="1" ht="14.25" customHeight="1">
      <c r="B838" s="167"/>
      <c r="E838" s="110"/>
      <c r="G838" s="110"/>
    </row>
    <row r="839" spans="1:27" s="39" customFormat="1" ht="14.25" customHeight="1">
      <c r="B839" s="167" t="s">
        <v>1382</v>
      </c>
      <c r="E839" s="169">
        <f>SUM($F732:$F748)</f>
        <v>-64637980</v>
      </c>
      <c r="F839" s="110">
        <f>SUM(G839:U839)</f>
        <v>1.0000000000000002</v>
      </c>
      <c r="G839" s="110">
        <f t="shared" ref="G839:U839" si="397">SUM(G732:G748)/SUM($F732:$F748)</f>
        <v>0.440581739253607</v>
      </c>
      <c r="H839" s="110">
        <f t="shared" si="397"/>
        <v>0.16883814363768912</v>
      </c>
      <c r="I839" s="110">
        <f t="shared" si="397"/>
        <v>2.2646217507237148E-2</v>
      </c>
      <c r="J839" s="110">
        <f t="shared" si="397"/>
        <v>0.19894231328861298</v>
      </c>
      <c r="K839" s="110">
        <f t="shared" si="397"/>
        <v>0.11950506428828593</v>
      </c>
      <c r="L839" s="110">
        <f t="shared" si="397"/>
        <v>-3.1941788727493509E-3</v>
      </c>
      <c r="M839" s="110">
        <f t="shared" si="397"/>
        <v>0</v>
      </c>
      <c r="N839" s="110">
        <f t="shared" si="397"/>
        <v>0</v>
      </c>
      <c r="O839" s="110">
        <f t="shared" si="397"/>
        <v>0</v>
      </c>
      <c r="P839" s="110">
        <f t="shared" si="397"/>
        <v>3.3466491052377215E-2</v>
      </c>
      <c r="Q839" s="110">
        <f t="shared" si="397"/>
        <v>1.4183797015300438E-2</v>
      </c>
      <c r="R839" s="110">
        <f t="shared" si="397"/>
        <v>2.7539645928517219E-4</v>
      </c>
      <c r="S839" s="110">
        <f t="shared" si="397"/>
        <v>4.3680550799996137E-3</v>
      </c>
      <c r="T839" s="110">
        <f t="shared" si="397"/>
        <v>2.1717684246054368E-4</v>
      </c>
      <c r="U839" s="110">
        <f t="shared" si="397"/>
        <v>1.6978444789429549E-4</v>
      </c>
      <c r="V839" s="86"/>
      <c r="W839" s="86"/>
      <c r="X839" s="58"/>
      <c r="Y839" s="58"/>
      <c r="Z839" s="58"/>
      <c r="AA839" s="86"/>
    </row>
    <row r="840" spans="1:27" s="39" customFormat="1" ht="14.25" customHeight="1">
      <c r="B840" s="167" t="s">
        <v>1383</v>
      </c>
      <c r="D840" s="59"/>
      <c r="E840" s="86">
        <f>F806</f>
        <v>-58640127</v>
      </c>
      <c r="F840" s="110">
        <f>SUM(G840:U840)</f>
        <v>0.99999999999999989</v>
      </c>
      <c r="G840" s="110">
        <f t="shared" ref="G840:U840" si="398">G806/$F806</f>
        <v>0.43465003123973484</v>
      </c>
      <c r="H840" s="110">
        <f t="shared" si="398"/>
        <v>0.14855975949241981</v>
      </c>
      <c r="I840" s="110">
        <f t="shared" si="398"/>
        <v>2.0078591980415776E-2</v>
      </c>
      <c r="J840" s="110">
        <f t="shared" si="398"/>
        <v>0.18968519311546891</v>
      </c>
      <c r="K840" s="110">
        <f t="shared" si="398"/>
        <v>0.12656814821446805</v>
      </c>
      <c r="L840" s="110">
        <f t="shared" si="398"/>
        <v>2.4939623709690772E-2</v>
      </c>
      <c r="M840" s="110">
        <f t="shared" si="398"/>
        <v>0</v>
      </c>
      <c r="N840" s="110">
        <f t="shared" si="398"/>
        <v>0</v>
      </c>
      <c r="O840" s="110">
        <f t="shared" si="398"/>
        <v>0</v>
      </c>
      <c r="P840" s="110">
        <f t="shared" si="398"/>
        <v>3.4142395072722716E-2</v>
      </c>
      <c r="Q840" s="110">
        <f t="shared" si="398"/>
        <v>1.4332599984472498E-2</v>
      </c>
      <c r="R840" s="110">
        <f t="shared" si="398"/>
        <v>2.3713529764304245E-3</v>
      </c>
      <c r="S840" s="110">
        <f t="shared" si="398"/>
        <v>4.2554961549526359E-3</v>
      </c>
      <c r="T840" s="110">
        <f t="shared" si="398"/>
        <v>2.357128248734656E-4</v>
      </c>
      <c r="U840" s="110">
        <f t="shared" si="398"/>
        <v>1.8109523435008712E-4</v>
      </c>
      <c r="V840" s="121"/>
      <c r="W840" s="121"/>
      <c r="X840" s="121"/>
      <c r="Y840" s="121"/>
      <c r="Z840" s="121"/>
    </row>
    <row r="841" spans="1:27" s="39" customFormat="1" ht="14.25" customHeight="1">
      <c r="B841" s="167"/>
      <c r="D841" s="59"/>
      <c r="E841" s="86"/>
      <c r="F841" s="110"/>
      <c r="G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1"/>
      <c r="W841" s="121"/>
      <c r="X841" s="121"/>
      <c r="Y841" s="121"/>
      <c r="Z841" s="121"/>
    </row>
    <row r="842" spans="1:27" s="39" customFormat="1" ht="14.25" customHeight="1">
      <c r="B842" s="167" t="s">
        <v>1069</v>
      </c>
      <c r="D842" s="59"/>
      <c r="E842" s="86">
        <f>F821</f>
        <v>1894443755.0954001</v>
      </c>
      <c r="F842" s="110">
        <f>SUM(G842:U842)</f>
        <v>1</v>
      </c>
      <c r="G842" s="110">
        <f>G821/$F821</f>
        <v>0.48555937247192721</v>
      </c>
      <c r="H842" s="110">
        <f t="shared" ref="H842:U842" si="399">H821/$F821</f>
        <v>0.12986723105712977</v>
      </c>
      <c r="I842" s="110">
        <f t="shared" si="399"/>
        <v>1.3330877862226356E-2</v>
      </c>
      <c r="J842" s="110">
        <f t="shared" si="399"/>
        <v>0.15368336342731315</v>
      </c>
      <c r="K842" s="110">
        <f t="shared" si="399"/>
        <v>0.10359343474148199</v>
      </c>
      <c r="L842" s="110">
        <f t="shared" si="399"/>
        <v>3.8188969466608158E-2</v>
      </c>
      <c r="M842" s="110">
        <f t="shared" si="399"/>
        <v>0</v>
      </c>
      <c r="N842" s="110">
        <f t="shared" si="399"/>
        <v>0</v>
      </c>
      <c r="O842" s="110">
        <f>O821/$F821</f>
        <v>0</v>
      </c>
      <c r="P842" s="110">
        <f t="shared" si="399"/>
        <v>2.7079949470283245E-2</v>
      </c>
      <c r="Q842" s="110">
        <f t="shared" si="399"/>
        <v>1.4464714255211657E-2</v>
      </c>
      <c r="R842" s="110">
        <f t="shared" si="399"/>
        <v>3.2281137162886099E-3</v>
      </c>
      <c r="S842" s="110">
        <f t="shared" si="399"/>
        <v>3.0631627698179668E-2</v>
      </c>
      <c r="T842" s="110">
        <f t="shared" si="399"/>
        <v>1.3382176161268411E-4</v>
      </c>
      <c r="U842" s="110">
        <f t="shared" si="399"/>
        <v>2.3852407173763262E-4</v>
      </c>
      <c r="V842" s="121"/>
      <c r="W842" s="121"/>
      <c r="X842" s="121"/>
      <c r="Y842" s="121"/>
      <c r="Z842" s="121"/>
    </row>
    <row r="843" spans="1:27" s="39" customFormat="1" ht="14.25" customHeight="1">
      <c r="B843" s="167"/>
      <c r="D843" s="59"/>
      <c r="E843" s="86"/>
      <c r="F843" s="110"/>
      <c r="G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1"/>
      <c r="W843" s="121"/>
      <c r="X843" s="121"/>
      <c r="Y843" s="121"/>
      <c r="Z843" s="121"/>
    </row>
    <row r="844" spans="1:27" s="39" customFormat="1" ht="14.25" customHeight="1">
      <c r="B844" s="167"/>
      <c r="D844" s="59"/>
      <c r="E844" s="86"/>
      <c r="F844" s="110"/>
      <c r="G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1"/>
      <c r="W844" s="121"/>
      <c r="X844" s="121"/>
      <c r="Y844" s="121"/>
      <c r="Z844" s="121"/>
    </row>
    <row r="845" spans="1:27" s="39" customFormat="1" ht="14.25" customHeight="1">
      <c r="B845" s="167" t="s">
        <v>1384</v>
      </c>
      <c r="D845" s="59"/>
      <c r="E845" s="86"/>
      <c r="F845" s="110">
        <f t="shared" ref="F845:U845" si="400">(F174+F177+F183)/F225</f>
        <v>0.74585239196970754</v>
      </c>
      <c r="G845" s="110">
        <f t="shared" si="400"/>
        <v>0.65284931975717264</v>
      </c>
      <c r="H845" s="110">
        <f t="shared" si="400"/>
        <v>0.70797850821677122</v>
      </c>
      <c r="I845" s="110">
        <f t="shared" si="400"/>
        <v>0.85334044880941096</v>
      </c>
      <c r="J845" s="110">
        <f t="shared" si="400"/>
        <v>0.8285192765796825</v>
      </c>
      <c r="K845" s="110">
        <f t="shared" si="400"/>
        <v>0.8668246490414605</v>
      </c>
      <c r="L845" s="110">
        <f t="shared" si="400"/>
        <v>0.84111334429750029</v>
      </c>
      <c r="M845" s="110" t="e">
        <f t="shared" si="400"/>
        <v>#DIV/0!</v>
      </c>
      <c r="N845" s="110" t="e">
        <f t="shared" si="400"/>
        <v>#DIV/0!</v>
      </c>
      <c r="O845" s="110" t="e">
        <f t="shared" si="400"/>
        <v>#DIV/0!</v>
      </c>
      <c r="P845" s="110">
        <f t="shared" si="400"/>
        <v>0.87499968690218433</v>
      </c>
      <c r="Q845" s="110">
        <f t="shared" si="400"/>
        <v>0.82709333831054255</v>
      </c>
      <c r="R845" s="110">
        <f t="shared" si="400"/>
        <v>0.86092494411859299</v>
      </c>
      <c r="S845" s="110">
        <f t="shared" si="400"/>
        <v>0.65937234892053576</v>
      </c>
      <c r="T845" s="110">
        <f t="shared" si="400"/>
        <v>0.92745191255715631</v>
      </c>
      <c r="U845" s="110">
        <f t="shared" si="400"/>
        <v>0.72306672861879684</v>
      </c>
      <c r="V845" s="121"/>
      <c r="W845" s="121"/>
      <c r="X845" s="121"/>
      <c r="Y845" s="121"/>
      <c r="Z845" s="121"/>
    </row>
    <row r="846" spans="1:27" s="298" customFormat="1" ht="14.25" customHeight="1">
      <c r="A846" s="300" t="s">
        <v>1522</v>
      </c>
      <c r="S846" s="299" t="e">
        <f>SUM(S832:U832)/SUM(S843:U843)</f>
        <v>#DIV/0!</v>
      </c>
    </row>
    <row r="847" spans="1:27" s="39" customFormat="1" ht="15" customHeight="1">
      <c r="A847" s="44" t="s">
        <v>906</v>
      </c>
    </row>
    <row r="848" spans="1:27" s="39" customFormat="1" ht="14.25" customHeight="1"/>
    <row r="849" spans="1:28" s="39" customFormat="1" ht="14.25" customHeight="1">
      <c r="A849" s="39" t="s">
        <v>901</v>
      </c>
      <c r="F849" s="59">
        <f t="shared" ref="F849:Z849" si="401">F750</f>
        <v>983266245.60000002</v>
      </c>
      <c r="G849" s="59">
        <f t="shared" si="401"/>
        <v>392596289.96232134</v>
      </c>
      <c r="H849" s="59">
        <f t="shared" si="401"/>
        <v>143422627.46525034</v>
      </c>
      <c r="I849" s="59">
        <f t="shared" si="401"/>
        <v>18472103.679363709</v>
      </c>
      <c r="J849" s="59">
        <f t="shared" si="401"/>
        <v>191420558.2696141</v>
      </c>
      <c r="K849" s="59">
        <f t="shared" si="401"/>
        <v>124878893.95462218</v>
      </c>
      <c r="L849" s="59">
        <f t="shared" si="401"/>
        <v>44367567.420331962</v>
      </c>
      <c r="M849" s="59">
        <f t="shared" si="401"/>
        <v>0</v>
      </c>
      <c r="N849" s="59">
        <f t="shared" si="401"/>
        <v>0</v>
      </c>
      <c r="O849" s="59">
        <f t="shared" si="401"/>
        <v>0</v>
      </c>
      <c r="P849" s="59">
        <f t="shared" si="401"/>
        <v>32446128.112328146</v>
      </c>
      <c r="Q849" s="59">
        <f t="shared" si="401"/>
        <v>13470459.835474478</v>
      </c>
      <c r="R849" s="59">
        <f t="shared" si="401"/>
        <v>3454437.2506257729</v>
      </c>
      <c r="S849" s="59">
        <f t="shared" si="401"/>
        <v>18217095.846737977</v>
      </c>
      <c r="T849" s="59">
        <f t="shared" si="401"/>
        <v>239985.23563130843</v>
      </c>
      <c r="U849" s="59">
        <f t="shared" si="401"/>
        <v>280098.56769866985</v>
      </c>
      <c r="V849" s="59">
        <f t="shared" si="401"/>
        <v>0</v>
      </c>
      <c r="W849" s="59">
        <f t="shared" si="401"/>
        <v>0</v>
      </c>
      <c r="X849" s="59">
        <f t="shared" si="401"/>
        <v>0</v>
      </c>
      <c r="Y849" s="59">
        <f t="shared" si="401"/>
        <v>0</v>
      </c>
      <c r="Z849" s="59">
        <f t="shared" si="401"/>
        <v>0</v>
      </c>
      <c r="AA849" s="59">
        <f>SUM(G849:Z849)</f>
        <v>983266245.60000002</v>
      </c>
      <c r="AB849" s="68" t="str">
        <f>IF(ABS(F849-AA849)&lt;0.01,"ok","err")</f>
        <v>ok</v>
      </c>
    </row>
    <row r="850" spans="1:28" s="39" customFormat="1" ht="14.25" customHeight="1"/>
    <row r="851" spans="1:28" s="39" customFormat="1" ht="14.25" customHeight="1">
      <c r="A851" s="39" t="s">
        <v>1222</v>
      </c>
      <c r="F851" s="59">
        <f t="shared" ref="F851:Z851" si="402">F757+F758+F760+F763+F764+F765+F767+F768+F806</f>
        <v>813126413.46469986</v>
      </c>
      <c r="G851" s="59">
        <f t="shared" si="402"/>
        <v>347354840.90418518</v>
      </c>
      <c r="H851" s="59">
        <f t="shared" si="402"/>
        <v>104175296.27632903</v>
      </c>
      <c r="I851" s="59">
        <f t="shared" si="402"/>
        <v>13579742.207140202</v>
      </c>
      <c r="J851" s="59">
        <f t="shared" si="402"/>
        <v>144354031.78021979</v>
      </c>
      <c r="K851" s="59">
        <f t="shared" si="402"/>
        <v>109333011.62576112</v>
      </c>
      <c r="L851" s="59">
        <f t="shared" si="402"/>
        <v>37868176.027398854</v>
      </c>
      <c r="M851" s="59">
        <f t="shared" si="402"/>
        <v>0</v>
      </c>
      <c r="N851" s="59">
        <f t="shared" si="402"/>
        <v>0</v>
      </c>
      <c r="O851" s="59">
        <f t="shared" si="402"/>
        <v>0</v>
      </c>
      <c r="P851" s="59">
        <f t="shared" si="402"/>
        <v>28507154.121208962</v>
      </c>
      <c r="Q851" s="59">
        <f t="shared" si="402"/>
        <v>13467476.035696097</v>
      </c>
      <c r="R851" s="59">
        <f t="shared" si="402"/>
        <v>3470771.3689589263</v>
      </c>
      <c r="S851" s="59">
        <f t="shared" si="402"/>
        <v>10600292.761280304</v>
      </c>
      <c r="T851" s="59">
        <f t="shared" si="402"/>
        <v>192069.26519629158</v>
      </c>
      <c r="U851" s="59">
        <f t="shared" si="402"/>
        <v>223551.09132517548</v>
      </c>
      <c r="V851" s="59">
        <f t="shared" si="402"/>
        <v>0</v>
      </c>
      <c r="W851" s="59">
        <f t="shared" si="402"/>
        <v>0</v>
      </c>
      <c r="X851" s="59">
        <f t="shared" si="402"/>
        <v>0</v>
      </c>
      <c r="Y851" s="59">
        <f t="shared" si="402"/>
        <v>0</v>
      </c>
      <c r="Z851" s="59">
        <f t="shared" si="402"/>
        <v>0</v>
      </c>
      <c r="AA851" s="59">
        <f>SUM(G851:Z851)</f>
        <v>813126413.46469998</v>
      </c>
      <c r="AB851" s="68" t="str">
        <f>IF(ABS(F851-AA851)&lt;0.01,"ok","err")</f>
        <v>ok</v>
      </c>
    </row>
    <row r="852" spans="1:28" s="39" customFormat="1" ht="14.25" customHeight="1"/>
    <row r="853" spans="1:28" s="39" customFormat="1" ht="14.25" customHeight="1">
      <c r="A853" s="39" t="s">
        <v>902</v>
      </c>
      <c r="D853" s="39" t="s">
        <v>907</v>
      </c>
      <c r="F853" s="111">
        <f t="shared" ref="F853:Z853" si="403">F666</f>
        <v>34922372.929999985</v>
      </c>
      <c r="G853" s="111">
        <f t="shared" si="403"/>
        <v>16773109.076710684</v>
      </c>
      <c r="H853" s="111">
        <f t="shared" si="403"/>
        <v>4561055.1221019588</v>
      </c>
      <c r="I853" s="111">
        <f t="shared" si="403"/>
        <v>474301.43491385673</v>
      </c>
      <c r="J853" s="111">
        <f t="shared" si="403"/>
        <v>5467061.1647117203</v>
      </c>
      <c r="K853" s="111">
        <f t="shared" si="403"/>
        <v>3674102.9858968677</v>
      </c>
      <c r="L853" s="111">
        <f t="shared" si="403"/>
        <v>1359047.7518076538</v>
      </c>
      <c r="M853" s="111">
        <f t="shared" si="403"/>
        <v>0</v>
      </c>
      <c r="N853" s="111">
        <f t="shared" si="403"/>
        <v>0</v>
      </c>
      <c r="O853" s="111">
        <f t="shared" si="403"/>
        <v>0</v>
      </c>
      <c r="P853" s="111">
        <f t="shared" si="403"/>
        <v>975188.79024457908</v>
      </c>
      <c r="Q853" s="111">
        <f t="shared" si="403"/>
        <v>517685.05879723479</v>
      </c>
      <c r="R853" s="111">
        <f t="shared" si="403"/>
        <v>114441.87393004847</v>
      </c>
      <c r="S853" s="111">
        <f t="shared" si="403"/>
        <v>993775.25747413095</v>
      </c>
      <c r="T853" s="111">
        <f t="shared" si="403"/>
        <v>4430.7680392336097</v>
      </c>
      <c r="U853" s="111">
        <f t="shared" si="403"/>
        <v>8173.6453720168229</v>
      </c>
      <c r="V853" s="111">
        <f t="shared" si="403"/>
        <v>0</v>
      </c>
      <c r="W853" s="111">
        <f t="shared" si="403"/>
        <v>0</v>
      </c>
      <c r="X853" s="111">
        <f t="shared" si="403"/>
        <v>0</v>
      </c>
      <c r="Y853" s="111">
        <f t="shared" si="403"/>
        <v>0</v>
      </c>
      <c r="Z853" s="111">
        <f t="shared" si="403"/>
        <v>0</v>
      </c>
      <c r="AA853" s="111">
        <f>SUM(G853:Z853)</f>
        <v>34922372.929999985</v>
      </c>
      <c r="AB853" s="68" t="str">
        <f>IF(ABS(F853-AA853)&lt;0.01,"ok","err")</f>
        <v>ok</v>
      </c>
    </row>
    <row r="854" spans="1:28" s="39" customFormat="1" ht="14.25" customHeight="1">
      <c r="F854" s="111"/>
      <c r="G854" s="111"/>
      <c r="H854" s="111"/>
      <c r="I854" s="111"/>
      <c r="J854" s="111"/>
      <c r="K854" s="111"/>
      <c r="L854" s="111"/>
      <c r="M854" s="111"/>
      <c r="N854" s="111"/>
      <c r="O854" s="111"/>
      <c r="P854" s="111"/>
      <c r="Q854" s="111"/>
      <c r="R854" s="111"/>
      <c r="S854" s="111"/>
      <c r="T854" s="111"/>
      <c r="U854" s="111"/>
      <c r="V854" s="111"/>
      <c r="W854" s="111"/>
      <c r="X854" s="111"/>
      <c r="Y854" s="111"/>
      <c r="Z854" s="111"/>
      <c r="AA854" s="111"/>
      <c r="AB854" s="68"/>
    </row>
    <row r="855" spans="1:28" s="39" customFormat="1" ht="14.25" customHeight="1">
      <c r="A855" s="39" t="s">
        <v>908</v>
      </c>
      <c r="E855" s="39" t="s">
        <v>907</v>
      </c>
      <c r="F855" s="93">
        <v>0</v>
      </c>
      <c r="G855" s="92">
        <f t="shared" ref="G855:Z855" si="404">IF(VLOOKUP($E855,$D$6:$AN$1197,3,)=0,0,(VLOOKUP($E855,$D$6:$AN$1197,G$2,)/VLOOKUP($E855,$D$6:$AN$1197,3,))*$F855)</f>
        <v>0</v>
      </c>
      <c r="H855" s="92">
        <f t="shared" si="404"/>
        <v>0</v>
      </c>
      <c r="I855" s="92">
        <f t="shared" si="404"/>
        <v>0</v>
      </c>
      <c r="J855" s="92">
        <f t="shared" si="404"/>
        <v>0</v>
      </c>
      <c r="K855" s="92">
        <f t="shared" si="404"/>
        <v>0</v>
      </c>
      <c r="L855" s="92">
        <f t="shared" si="404"/>
        <v>0</v>
      </c>
      <c r="M855" s="92">
        <f t="shared" si="404"/>
        <v>0</v>
      </c>
      <c r="N855" s="92">
        <f t="shared" si="404"/>
        <v>0</v>
      </c>
      <c r="O855" s="92">
        <f t="shared" si="404"/>
        <v>0</v>
      </c>
      <c r="P855" s="92">
        <f t="shared" si="404"/>
        <v>0</v>
      </c>
      <c r="Q855" s="92">
        <f t="shared" si="404"/>
        <v>0</v>
      </c>
      <c r="R855" s="92">
        <f t="shared" si="404"/>
        <v>0</v>
      </c>
      <c r="S855" s="92">
        <f t="shared" si="404"/>
        <v>0</v>
      </c>
      <c r="T855" s="92">
        <f t="shared" si="404"/>
        <v>0</v>
      </c>
      <c r="U855" s="92">
        <f t="shared" si="404"/>
        <v>0</v>
      </c>
      <c r="V855" s="92">
        <f t="shared" si="404"/>
        <v>0</v>
      </c>
      <c r="W855" s="92">
        <f t="shared" si="404"/>
        <v>0</v>
      </c>
      <c r="X855" s="58">
        <f t="shared" si="404"/>
        <v>0</v>
      </c>
      <c r="Y855" s="58">
        <f t="shared" si="404"/>
        <v>0</v>
      </c>
      <c r="Z855" s="58">
        <f t="shared" si="404"/>
        <v>0</v>
      </c>
      <c r="AA855" s="93">
        <f>SUM(G855:Z855)</f>
        <v>0</v>
      </c>
      <c r="AB855" s="68" t="str">
        <f>IF(ABS(F855-AA855)&lt;0.01,"ok","err")</f>
        <v>ok</v>
      </c>
    </row>
    <row r="856" spans="1:28" s="39" customFormat="1" ht="14.25" customHeight="1"/>
    <row r="857" spans="1:28" s="39" customFormat="1" ht="14.25" customHeight="1">
      <c r="A857" s="39" t="s">
        <v>900</v>
      </c>
      <c r="D857" s="39" t="s">
        <v>909</v>
      </c>
      <c r="F857" s="59">
        <f>F849-F851-F853-F855</f>
        <v>135217459.20530018</v>
      </c>
      <c r="G857" s="59">
        <f t="shared" ref="G857:Z857" si="405">G849-G851-G853-G855</f>
        <v>28468339.981425479</v>
      </c>
      <c r="H857" s="59">
        <f t="shared" si="405"/>
        <v>34686276.066819355</v>
      </c>
      <c r="I857" s="59">
        <f t="shared" si="405"/>
        <v>4418060.0373096503</v>
      </c>
      <c r="J857" s="59">
        <f t="shared" si="405"/>
        <v>41599465.324682586</v>
      </c>
      <c r="K857" s="59">
        <f t="shared" si="405"/>
        <v>11871779.342964191</v>
      </c>
      <c r="L857" s="59">
        <f t="shared" si="405"/>
        <v>5140343.6411254536</v>
      </c>
      <c r="M857" s="59">
        <f t="shared" si="405"/>
        <v>0</v>
      </c>
      <c r="N857" s="59">
        <f t="shared" si="405"/>
        <v>0</v>
      </c>
      <c r="O857" s="59">
        <f>O849-O851-O853-O855</f>
        <v>0</v>
      </c>
      <c r="P857" s="59">
        <f t="shared" si="405"/>
        <v>2963785.2008746043</v>
      </c>
      <c r="Q857" s="59">
        <f t="shared" si="405"/>
        <v>-514701.25901885342</v>
      </c>
      <c r="R857" s="59">
        <f t="shared" si="405"/>
        <v>-130775.9922632019</v>
      </c>
      <c r="S857" s="59">
        <f t="shared" si="405"/>
        <v>6623027.8279835423</v>
      </c>
      <c r="T857" s="59">
        <f t="shared" si="405"/>
        <v>43485.202395783235</v>
      </c>
      <c r="U857" s="59">
        <f t="shared" si="405"/>
        <v>48373.831001477549</v>
      </c>
      <c r="V857" s="59">
        <f t="shared" si="405"/>
        <v>0</v>
      </c>
      <c r="W857" s="59">
        <f t="shared" si="405"/>
        <v>0</v>
      </c>
      <c r="X857" s="59">
        <f t="shared" si="405"/>
        <v>0</v>
      </c>
      <c r="Y857" s="59">
        <f t="shared" si="405"/>
        <v>0</v>
      </c>
      <c r="Z857" s="59">
        <f t="shared" si="405"/>
        <v>0</v>
      </c>
      <c r="AA857" s="59">
        <f>SUM(G857:Z857)</f>
        <v>135217459.20530009</v>
      </c>
      <c r="AB857" s="68" t="str">
        <f>IF(ABS(F857-AA857)&lt;0.01,"ok","err")</f>
        <v>ok</v>
      </c>
    </row>
    <row r="858" spans="1:28" s="39" customFormat="1" ht="14.25" customHeight="1"/>
    <row r="859" spans="1:28" s="39" customFormat="1" ht="14.25" customHeight="1"/>
    <row r="860" spans="1:28" s="39" customFormat="1" ht="15" customHeight="1">
      <c r="A860" s="44" t="s">
        <v>1493</v>
      </c>
    </row>
    <row r="861" spans="1:28" s="39" customFormat="1" ht="14.25" customHeight="1"/>
    <row r="862" spans="1:28" s="39" customFormat="1" ht="15" customHeight="1">
      <c r="A862" s="44" t="s">
        <v>1218</v>
      </c>
    </row>
    <row r="863" spans="1:28" s="39" customFormat="1" ht="14.25" customHeight="1"/>
    <row r="864" spans="1:28" s="39" customFormat="1" ht="14.25" customHeight="1">
      <c r="A864" s="39" t="s">
        <v>135</v>
      </c>
      <c r="F864" s="59">
        <f>F750</f>
        <v>983266245.60000002</v>
      </c>
      <c r="G864" s="59">
        <f t="shared" ref="G864:U864" si="406">G750</f>
        <v>392596289.96232134</v>
      </c>
      <c r="H864" s="59">
        <f t="shared" si="406"/>
        <v>143422627.46525034</v>
      </c>
      <c r="I864" s="59">
        <f t="shared" si="406"/>
        <v>18472103.679363709</v>
      </c>
      <c r="J864" s="59">
        <f t="shared" si="406"/>
        <v>191420558.2696141</v>
      </c>
      <c r="K864" s="59">
        <f t="shared" si="406"/>
        <v>124878893.95462218</v>
      </c>
      <c r="L864" s="59">
        <f t="shared" si="406"/>
        <v>44367567.420331962</v>
      </c>
      <c r="M864" s="59">
        <f t="shared" si="406"/>
        <v>0</v>
      </c>
      <c r="N864" s="59">
        <f t="shared" si="406"/>
        <v>0</v>
      </c>
      <c r="O864" s="59">
        <f t="shared" si="406"/>
        <v>0</v>
      </c>
      <c r="P864" s="59">
        <f t="shared" si="406"/>
        <v>32446128.112328146</v>
      </c>
      <c r="Q864" s="59">
        <f t="shared" si="406"/>
        <v>13470459.835474478</v>
      </c>
      <c r="R864" s="59">
        <f t="shared" si="406"/>
        <v>3454437.2506257729</v>
      </c>
      <c r="S864" s="59">
        <f t="shared" si="406"/>
        <v>18217095.846737977</v>
      </c>
      <c r="T864" s="59">
        <f t="shared" si="406"/>
        <v>239985.23563130843</v>
      </c>
      <c r="U864" s="59">
        <f t="shared" si="406"/>
        <v>280098.56769866985</v>
      </c>
      <c r="V864" s="59">
        <f>V844</f>
        <v>0</v>
      </c>
      <c r="W864" s="59">
        <f>W844</f>
        <v>0</v>
      </c>
      <c r="X864" s="59">
        <f>X844</f>
        <v>0</v>
      </c>
      <c r="Y864" s="59">
        <f>Y844</f>
        <v>0</v>
      </c>
      <c r="Z864" s="59">
        <f>Z844</f>
        <v>0</v>
      </c>
      <c r="AA864" s="59">
        <f>ROUND(SUM(G864:Z864),2)</f>
        <v>983266245.60000002</v>
      </c>
      <c r="AB864" s="68" t="str">
        <f>IF(ABS(F864-AA864)&lt;0.01,"ok","err")</f>
        <v>ok</v>
      </c>
    </row>
    <row r="865" spans="1:28" s="39" customFormat="1" ht="14.25" customHeight="1"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68"/>
    </row>
    <row r="866" spans="1:28" s="39" customFormat="1" ht="14.25" customHeight="1">
      <c r="A866" s="39" t="s">
        <v>136</v>
      </c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68"/>
    </row>
    <row r="867" spans="1:28" s="39" customFormat="1" ht="14.25" customHeight="1">
      <c r="A867" s="39" t="s">
        <v>998</v>
      </c>
      <c r="F867" s="57">
        <f t="shared" ref="F867:Z867" si="407">($F$823*F821-F815)/(1-$E$877)</f>
        <v>0</v>
      </c>
      <c r="G867" s="57">
        <f t="shared" si="407"/>
        <v>37745183.151543155</v>
      </c>
      <c r="H867" s="57">
        <f t="shared" si="407"/>
        <v>-16367777.01932539</v>
      </c>
      <c r="I867" s="57">
        <f t="shared" si="407"/>
        <v>-2519701.2404853818</v>
      </c>
      <c r="J867" s="57">
        <f t="shared" si="407"/>
        <v>-20607713.047606405</v>
      </c>
      <c r="K867" s="57">
        <f t="shared" si="407"/>
        <v>1802183.2091602262</v>
      </c>
      <c r="L867" s="57">
        <f t="shared" si="407"/>
        <v>-1164767.1741494013</v>
      </c>
      <c r="M867" s="57">
        <f t="shared" si="407"/>
        <v>0</v>
      </c>
      <c r="N867" s="57">
        <f t="shared" si="407"/>
        <v>0</v>
      </c>
      <c r="O867" s="57">
        <f t="shared" si="407"/>
        <v>0</v>
      </c>
      <c r="P867" s="57">
        <f t="shared" si="407"/>
        <v>628016.4572827426</v>
      </c>
      <c r="Q867" s="57">
        <f t="shared" si="407"/>
        <v>2441207.1816919027</v>
      </c>
      <c r="R867" s="57">
        <f t="shared" si="407"/>
        <v>480284.54926395207</v>
      </c>
      <c r="S867" s="57">
        <f t="shared" si="407"/>
        <v>-2395033.0640130257</v>
      </c>
      <c r="T867" s="57">
        <f t="shared" si="407"/>
        <v>-25391.785795627588</v>
      </c>
      <c r="U867" s="57">
        <f t="shared" si="407"/>
        <v>-16491.217566936637</v>
      </c>
      <c r="V867" s="57">
        <f t="shared" si="407"/>
        <v>0</v>
      </c>
      <c r="W867" s="57">
        <f t="shared" si="407"/>
        <v>0</v>
      </c>
      <c r="X867" s="57">
        <f t="shared" si="407"/>
        <v>0</v>
      </c>
      <c r="Y867" s="57">
        <f t="shared" si="407"/>
        <v>0</v>
      </c>
      <c r="Z867" s="57">
        <f t="shared" si="407"/>
        <v>0</v>
      </c>
      <c r="AA867" s="59">
        <f>SUM(G867:Z867)</f>
        <v>-1.8891296349465847E-7</v>
      </c>
      <c r="AB867" s="68" t="str">
        <f>IF(ABS(F867-AA867)&lt;0.01,"ok","err")</f>
        <v>ok</v>
      </c>
    </row>
    <row r="868" spans="1:28" s="39" customFormat="1" ht="14.25" customHeight="1"/>
    <row r="869" spans="1:28" s="39" customFormat="1" ht="14.25" customHeight="1">
      <c r="A869" s="39" t="s">
        <v>137</v>
      </c>
      <c r="F869" s="59">
        <f t="shared" ref="F869:Z869" si="408">SUM(F864:F867)</f>
        <v>983266245.60000002</v>
      </c>
      <c r="G869" s="59">
        <f t="shared" si="408"/>
        <v>430341473.11386448</v>
      </c>
      <c r="H869" s="59">
        <f t="shared" si="408"/>
        <v>127054850.44592495</v>
      </c>
      <c r="I869" s="59">
        <f t="shared" si="408"/>
        <v>15952402.438878328</v>
      </c>
      <c r="J869" s="59">
        <f t="shared" si="408"/>
        <v>170812845.22200769</v>
      </c>
      <c r="K869" s="59">
        <f t="shared" si="408"/>
        <v>126681077.1637824</v>
      </c>
      <c r="L869" s="59">
        <f t="shared" si="408"/>
        <v>43202800.246182561</v>
      </c>
      <c r="M869" s="59">
        <f t="shared" si="408"/>
        <v>0</v>
      </c>
      <c r="N869" s="59">
        <f t="shared" si="408"/>
        <v>0</v>
      </c>
      <c r="O869" s="59">
        <f t="shared" si="408"/>
        <v>0</v>
      </c>
      <c r="P869" s="59">
        <f t="shared" si="408"/>
        <v>33074144.56961089</v>
      </c>
      <c r="Q869" s="59">
        <f t="shared" si="408"/>
        <v>15911667.01716638</v>
      </c>
      <c r="R869" s="59">
        <f t="shared" si="408"/>
        <v>3934721.7998897247</v>
      </c>
      <c r="S869" s="59">
        <f t="shared" si="408"/>
        <v>15822062.78272495</v>
      </c>
      <c r="T869" s="59">
        <f t="shared" si="408"/>
        <v>214593.44983568083</v>
      </c>
      <c r="U869" s="59">
        <f t="shared" si="408"/>
        <v>263607.35013173323</v>
      </c>
      <c r="V869" s="59">
        <f t="shared" si="408"/>
        <v>0</v>
      </c>
      <c r="W869" s="59">
        <f t="shared" si="408"/>
        <v>0</v>
      </c>
      <c r="X869" s="59">
        <f t="shared" si="408"/>
        <v>0</v>
      </c>
      <c r="Y869" s="59">
        <f t="shared" si="408"/>
        <v>0</v>
      </c>
      <c r="Z869" s="59">
        <f t="shared" si="408"/>
        <v>0</v>
      </c>
      <c r="AA869" s="59">
        <f>ROUND(SUM(G869:Z869),2)</f>
        <v>983266245.60000002</v>
      </c>
      <c r="AB869" s="68" t="str">
        <f>IF(ABS(F869-AA869)&lt;0.01,"ok","err")</f>
        <v>ok</v>
      </c>
    </row>
    <row r="870" spans="1:28" s="39" customFormat="1" ht="14.25" customHeight="1"/>
    <row r="871" spans="1:28" s="39" customFormat="1" ht="15" customHeight="1">
      <c r="A871" s="44" t="s">
        <v>1222</v>
      </c>
    </row>
    <row r="872" spans="1:28" s="39" customFormat="1" ht="14.25" customHeight="1"/>
    <row r="873" spans="1:28" s="39" customFormat="1" ht="14.25" customHeight="1">
      <c r="A873" s="39" t="s">
        <v>1225</v>
      </c>
      <c r="F873" s="59">
        <f>F808</f>
        <v>867018609.29469991</v>
      </c>
      <c r="G873" s="59">
        <f t="shared" ref="G873:Z873" si="409">G808</f>
        <v>359791950.20914841</v>
      </c>
      <c r="H873" s="59">
        <f t="shared" si="409"/>
        <v>118074304.51193875</v>
      </c>
      <c r="I873" s="59">
        <f t="shared" si="409"/>
        <v>15344266.238856995</v>
      </c>
      <c r="J873" s="59">
        <f t="shared" si="409"/>
        <v>160648084.04948542</v>
      </c>
      <c r="K873" s="59">
        <f t="shared" si="409"/>
        <v>113965156.22983803</v>
      </c>
      <c r="L873" s="59">
        <f t="shared" si="409"/>
        <v>39198666.021787189</v>
      </c>
      <c r="M873" s="59">
        <f t="shared" si="409"/>
        <v>0</v>
      </c>
      <c r="N873" s="59">
        <f t="shared" si="409"/>
        <v>0</v>
      </c>
      <c r="O873" s="59">
        <f t="shared" si="409"/>
        <v>0</v>
      </c>
      <c r="P873" s="59">
        <f t="shared" si="409"/>
        <v>29691491.030764826</v>
      </c>
      <c r="Q873" s="59">
        <f t="shared" si="409"/>
        <v>13317962.522754906</v>
      </c>
      <c r="R873" s="59">
        <f t="shared" si="409"/>
        <v>3379991.3619847978</v>
      </c>
      <c r="S873" s="59">
        <f t="shared" si="409"/>
        <v>13156170.051789608</v>
      </c>
      <c r="T873" s="59">
        <f t="shared" si="409"/>
        <v>208525.23652739031</v>
      </c>
      <c r="U873" s="59">
        <f t="shared" si="409"/>
        <v>242041.82982342507</v>
      </c>
      <c r="V873" s="59">
        <f t="shared" si="409"/>
        <v>0</v>
      </c>
      <c r="W873" s="59">
        <f t="shared" si="409"/>
        <v>0</v>
      </c>
      <c r="X873" s="59">
        <f t="shared" si="409"/>
        <v>0</v>
      </c>
      <c r="Y873" s="59">
        <f t="shared" si="409"/>
        <v>0</v>
      </c>
      <c r="Z873" s="59">
        <f t="shared" si="409"/>
        <v>0</v>
      </c>
      <c r="AA873" s="59">
        <f>ROUND(SUM(G873:Z873),2)</f>
        <v>867018609.28999996</v>
      </c>
      <c r="AB873" s="68" t="str">
        <f>IF(ABS(F873-AA873)&lt;0.01,"ok","err")</f>
        <v>ok</v>
      </c>
    </row>
    <row r="874" spans="1:28" s="39" customFormat="1" ht="14.25" customHeight="1"/>
    <row r="875" spans="1:28" s="39" customFormat="1" ht="14.25" customHeight="1">
      <c r="A875" s="39" t="s">
        <v>770</v>
      </c>
      <c r="F875" s="86">
        <f t="shared" ref="F875:Z875" si="410">F847</f>
        <v>0</v>
      </c>
      <c r="G875" s="86">
        <f t="shared" si="410"/>
        <v>0</v>
      </c>
      <c r="H875" s="86">
        <f t="shared" si="410"/>
        <v>0</v>
      </c>
      <c r="I875" s="86">
        <f t="shared" si="410"/>
        <v>0</v>
      </c>
      <c r="J875" s="86">
        <f t="shared" si="410"/>
        <v>0</v>
      </c>
      <c r="K875" s="86">
        <f t="shared" si="410"/>
        <v>0</v>
      </c>
      <c r="L875" s="86">
        <f t="shared" si="410"/>
        <v>0</v>
      </c>
      <c r="M875" s="86">
        <f t="shared" si="410"/>
        <v>0</v>
      </c>
      <c r="N875" s="86">
        <f t="shared" si="410"/>
        <v>0</v>
      </c>
      <c r="O875" s="86">
        <f t="shared" si="410"/>
        <v>0</v>
      </c>
      <c r="P875" s="86">
        <f t="shared" si="410"/>
        <v>0</v>
      </c>
      <c r="Q875" s="86">
        <f t="shared" si="410"/>
        <v>0</v>
      </c>
      <c r="R875" s="86">
        <f t="shared" si="410"/>
        <v>0</v>
      </c>
      <c r="S875" s="86">
        <f t="shared" si="410"/>
        <v>0</v>
      </c>
      <c r="T875" s="86">
        <f t="shared" si="410"/>
        <v>0</v>
      </c>
      <c r="U875" s="86">
        <f t="shared" si="410"/>
        <v>0</v>
      </c>
      <c r="V875" s="86">
        <f t="shared" si="410"/>
        <v>0</v>
      </c>
      <c r="W875" s="86">
        <f t="shared" si="410"/>
        <v>0</v>
      </c>
      <c r="X875" s="86">
        <f t="shared" si="410"/>
        <v>0</v>
      </c>
      <c r="Y875" s="86">
        <f t="shared" si="410"/>
        <v>0</v>
      </c>
      <c r="Z875" s="86">
        <f t="shared" si="410"/>
        <v>0</v>
      </c>
      <c r="AA875" s="59">
        <f>ROUND(SUM(G875:Z875),2)</f>
        <v>0</v>
      </c>
      <c r="AB875" s="68" t="str">
        <f>IF(ABS(F875-AA875)&lt;0.01,"ok","err")</f>
        <v>ok</v>
      </c>
    </row>
    <row r="876" spans="1:28" s="39" customFormat="1" ht="14.25" customHeight="1">
      <c r="F876" s="86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  <c r="Z876" s="86"/>
      <c r="AA876" s="59"/>
      <c r="AB876" s="68"/>
    </row>
    <row r="877" spans="1:28" s="39" customFormat="1" ht="14.25" customHeight="1">
      <c r="A877" s="39" t="s">
        <v>771</v>
      </c>
      <c r="E877" s="39">
        <v>0.37367400000000001</v>
      </c>
      <c r="F877" s="86">
        <f>F867*$E$877</f>
        <v>0</v>
      </c>
      <c r="G877" s="86">
        <f>G867*$E$877</f>
        <v>14104393.568969738</v>
      </c>
      <c r="H877" s="86">
        <f>H867*$E$877</f>
        <v>-6116212.7099193959</v>
      </c>
      <c r="I877" s="86">
        <f t="shared" ref="I877:Z877" si="411">I867*$E$877</f>
        <v>-941546.8413371346</v>
      </c>
      <c r="J877" s="86">
        <f t="shared" si="411"/>
        <v>-7700566.5653512757</v>
      </c>
      <c r="K877" s="86">
        <f t="shared" si="411"/>
        <v>673429.00849973841</v>
      </c>
      <c r="L877" s="86">
        <f t="shared" si="411"/>
        <v>-435243.20903310337</v>
      </c>
      <c r="M877" s="86">
        <f t="shared" si="411"/>
        <v>0</v>
      </c>
      <c r="N877" s="86">
        <f t="shared" si="411"/>
        <v>0</v>
      </c>
      <c r="O877" s="86">
        <f t="shared" si="411"/>
        <v>0</v>
      </c>
      <c r="P877" s="86">
        <f t="shared" si="411"/>
        <v>234673.42165867155</v>
      </c>
      <c r="Q877" s="86">
        <f t="shared" si="411"/>
        <v>912215.65241154004</v>
      </c>
      <c r="R877" s="86">
        <f t="shared" si="411"/>
        <v>179469.84866165803</v>
      </c>
      <c r="S877" s="86">
        <f t="shared" si="411"/>
        <v>-894961.58516200341</v>
      </c>
      <c r="T877" s="86">
        <f t="shared" si="411"/>
        <v>-9488.2501653953441</v>
      </c>
      <c r="U877" s="86">
        <f t="shared" si="411"/>
        <v>-6162.339233107481</v>
      </c>
      <c r="V877" s="86">
        <f t="shared" si="411"/>
        <v>0</v>
      </c>
      <c r="W877" s="86">
        <f t="shared" si="411"/>
        <v>0</v>
      </c>
      <c r="X877" s="86">
        <f t="shared" si="411"/>
        <v>0</v>
      </c>
      <c r="Y877" s="86">
        <f t="shared" si="411"/>
        <v>0</v>
      </c>
      <c r="Z877" s="86">
        <f t="shared" si="411"/>
        <v>0</v>
      </c>
      <c r="AA877" s="59">
        <f>ROUND(SUM(G877:Z877),2)</f>
        <v>0</v>
      </c>
      <c r="AB877" s="68" t="str">
        <f>IF(ABS(F877-AA877)&lt;0.01,"ok","err")</f>
        <v>ok</v>
      </c>
    </row>
    <row r="878" spans="1:28" s="39" customFormat="1" ht="14.25" customHeight="1">
      <c r="A878" s="45"/>
      <c r="F878" s="58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9"/>
      <c r="AB878" s="68"/>
    </row>
    <row r="879" spans="1:28" s="39" customFormat="1" ht="14.25" customHeight="1">
      <c r="A879" s="39" t="s">
        <v>138</v>
      </c>
      <c r="F879" s="59">
        <f t="shared" ref="F879:N879" si="412">SUM(F873:F878)</f>
        <v>867018609.29469991</v>
      </c>
      <c r="G879" s="59">
        <f t="shared" si="412"/>
        <v>373896343.77811813</v>
      </c>
      <c r="H879" s="59">
        <f t="shared" si="412"/>
        <v>111958091.80201936</v>
      </c>
      <c r="I879" s="59">
        <f t="shared" si="412"/>
        <v>14402719.39751986</v>
      </c>
      <c r="J879" s="59">
        <f t="shared" si="412"/>
        <v>152947517.48413414</v>
      </c>
      <c r="K879" s="59">
        <f t="shared" si="412"/>
        <v>114638585.23833777</v>
      </c>
      <c r="L879" s="59">
        <f t="shared" si="412"/>
        <v>38763422.812754087</v>
      </c>
      <c r="M879" s="59">
        <f t="shared" si="412"/>
        <v>0</v>
      </c>
      <c r="N879" s="59">
        <f t="shared" si="412"/>
        <v>0</v>
      </c>
      <c r="O879" s="59">
        <f>SUM(O873:O878)</f>
        <v>0</v>
      </c>
      <c r="P879" s="59">
        <f t="shared" ref="P879:Z879" si="413">SUM(P873:P878)</f>
        <v>29926164.452423498</v>
      </c>
      <c r="Q879" s="59">
        <f t="shared" si="413"/>
        <v>14230178.175166447</v>
      </c>
      <c r="R879" s="59">
        <f t="shared" si="413"/>
        <v>3559461.2106464556</v>
      </c>
      <c r="S879" s="59">
        <f t="shared" si="413"/>
        <v>12261208.466627605</v>
      </c>
      <c r="T879" s="59">
        <f t="shared" si="413"/>
        <v>199036.98636199496</v>
      </c>
      <c r="U879" s="59">
        <f t="shared" si="413"/>
        <v>235879.49059031758</v>
      </c>
      <c r="V879" s="59">
        <f t="shared" si="413"/>
        <v>0</v>
      </c>
      <c r="W879" s="59">
        <f t="shared" si="413"/>
        <v>0</v>
      </c>
      <c r="X879" s="59">
        <f t="shared" si="413"/>
        <v>0</v>
      </c>
      <c r="Y879" s="59">
        <f t="shared" si="413"/>
        <v>0</v>
      </c>
      <c r="Z879" s="59">
        <f t="shared" si="413"/>
        <v>0</v>
      </c>
      <c r="AA879" s="59">
        <f>ROUND(SUM(G879:Z879),2)</f>
        <v>867018609.28999996</v>
      </c>
      <c r="AB879" s="68" t="str">
        <f>IF(ABS(F879-AA879)&lt;0.01,"ok","err")</f>
        <v>ok</v>
      </c>
    </row>
    <row r="880" spans="1:28" s="39" customFormat="1" ht="14.25" customHeight="1"/>
    <row r="881" spans="1:36" s="39" customFormat="1" ht="14.25" customHeight="1"/>
    <row r="882" spans="1:36" s="39" customFormat="1" ht="15" customHeight="1">
      <c r="A882" s="44" t="s">
        <v>992</v>
      </c>
      <c r="F882" s="59">
        <f t="shared" ref="F882:Z882" si="414">F869-F879</f>
        <v>116247636.30530012</v>
      </c>
      <c r="G882" s="59">
        <f t="shared" si="414"/>
        <v>56445129.335746348</v>
      </c>
      <c r="H882" s="59">
        <f t="shared" si="414"/>
        <v>15096758.643905595</v>
      </c>
      <c r="I882" s="59">
        <f t="shared" si="414"/>
        <v>1549683.0413584672</v>
      </c>
      <c r="J882" s="59">
        <f t="shared" si="414"/>
        <v>17865327.737873554</v>
      </c>
      <c r="K882" s="59">
        <f t="shared" si="414"/>
        <v>12042491.925444633</v>
      </c>
      <c r="L882" s="59">
        <f t="shared" si="414"/>
        <v>4439377.4334284738</v>
      </c>
      <c r="M882" s="59">
        <f t="shared" si="414"/>
        <v>0</v>
      </c>
      <c r="N882" s="59">
        <f t="shared" si="414"/>
        <v>0</v>
      </c>
      <c r="O882" s="59">
        <f t="shared" si="414"/>
        <v>0</v>
      </c>
      <c r="P882" s="59">
        <f t="shared" si="414"/>
        <v>3147980.117187392</v>
      </c>
      <c r="Q882" s="59">
        <f t="shared" si="414"/>
        <v>1681488.8419999331</v>
      </c>
      <c r="R882" s="59">
        <f t="shared" si="414"/>
        <v>375260.58924326906</v>
      </c>
      <c r="S882" s="59">
        <f t="shared" si="414"/>
        <v>3560854.3160973452</v>
      </c>
      <c r="T882" s="59">
        <f t="shared" si="414"/>
        <v>15556.463473685872</v>
      </c>
      <c r="U882" s="59">
        <f t="shared" si="414"/>
        <v>27727.859541415644</v>
      </c>
      <c r="V882" s="59">
        <f t="shared" si="414"/>
        <v>0</v>
      </c>
      <c r="W882" s="59">
        <f t="shared" si="414"/>
        <v>0</v>
      </c>
      <c r="X882" s="59">
        <f t="shared" si="414"/>
        <v>0</v>
      </c>
      <c r="Y882" s="59">
        <f t="shared" si="414"/>
        <v>0</v>
      </c>
      <c r="Z882" s="59">
        <f t="shared" si="414"/>
        <v>0</v>
      </c>
      <c r="AA882" s="59">
        <f>ROUND(SUM(G882:Z882),2)</f>
        <v>116247636.31</v>
      </c>
      <c r="AB882" s="68" t="str">
        <f>IF(ABS(F882-AA882)&lt;0.01,"ok","err")</f>
        <v>ok</v>
      </c>
    </row>
    <row r="883" spans="1:36" s="39" customFormat="1" ht="14.25" customHeight="1"/>
    <row r="884" spans="1:36" s="39" customFormat="1" ht="15" customHeight="1">
      <c r="A884" s="44" t="s">
        <v>1208</v>
      </c>
      <c r="F884" s="59">
        <f>F821</f>
        <v>1894443755.0954001</v>
      </c>
      <c r="G884" s="59">
        <f t="shared" ref="G884:Z884" si="415">G821</f>
        <v>919864920.90748382</v>
      </c>
      <c r="H884" s="59">
        <f t="shared" si="415"/>
        <v>246026164.86771092</v>
      </c>
      <c r="I884" s="59">
        <f t="shared" si="415"/>
        <v>25254598.316034239</v>
      </c>
      <c r="J884" s="59">
        <f t="shared" si="415"/>
        <v>291144488.1069302</v>
      </c>
      <c r="K884" s="59">
        <f t="shared" si="415"/>
        <v>196251935.5148834</v>
      </c>
      <c r="L884" s="59">
        <f t="shared" si="415"/>
        <v>72346854.719544739</v>
      </c>
      <c r="M884" s="59">
        <f t="shared" si="415"/>
        <v>0</v>
      </c>
      <c r="N884" s="59">
        <f t="shared" si="415"/>
        <v>0</v>
      </c>
      <c r="O884" s="59">
        <f t="shared" si="415"/>
        <v>0</v>
      </c>
      <c r="P884" s="59">
        <f t="shared" si="415"/>
        <v>51301441.16227708</v>
      </c>
      <c r="Q884" s="59">
        <f t="shared" si="415"/>
        <v>27402587.590025134</v>
      </c>
      <c r="R884" s="59">
        <f t="shared" si="415"/>
        <v>6115479.8705607615</v>
      </c>
      <c r="S884" s="59">
        <f t="shared" si="415"/>
        <v>58029895.801223755</v>
      </c>
      <c r="T884" s="59">
        <f t="shared" si="415"/>
        <v>253517.80058301476</v>
      </c>
      <c r="U884" s="59">
        <f t="shared" si="415"/>
        <v>451870.43814328534</v>
      </c>
      <c r="V884" s="59">
        <f t="shared" si="415"/>
        <v>0</v>
      </c>
      <c r="W884" s="59">
        <f t="shared" si="415"/>
        <v>0</v>
      </c>
      <c r="X884" s="59">
        <f t="shared" si="415"/>
        <v>0</v>
      </c>
      <c r="Y884" s="59">
        <f t="shared" si="415"/>
        <v>0</v>
      </c>
      <c r="Z884" s="59">
        <f t="shared" si="415"/>
        <v>0</v>
      </c>
      <c r="AA884" s="59">
        <f>ROUND(SUM(G884:Z884),2)</f>
        <v>1894443755.0999999</v>
      </c>
      <c r="AB884" s="68" t="str">
        <f>IF(ABS(F884-AA884)&lt;0.01,"ok","err")</f>
        <v>ok</v>
      </c>
    </row>
    <row r="885" spans="1:36" s="39" customFormat="1" ht="15" customHeight="1" thickBot="1"/>
    <row r="886" spans="1:36" s="39" customFormat="1" ht="15.75" customHeight="1" thickBot="1">
      <c r="A886" s="107" t="s">
        <v>1226</v>
      </c>
      <c r="B886" s="108"/>
      <c r="C886" s="108"/>
      <c r="D886" s="108"/>
      <c r="E886" s="108"/>
      <c r="F886" s="109">
        <f t="shared" ref="F886:N886" si="416">F882/F884</f>
        <v>6.1362410994063074E-2</v>
      </c>
      <c r="G886" s="109">
        <f t="shared" si="416"/>
        <v>6.1362410994063074E-2</v>
      </c>
      <c r="H886" s="109">
        <f t="shared" si="416"/>
        <v>6.136241099406306E-2</v>
      </c>
      <c r="I886" s="109">
        <f t="shared" si="416"/>
        <v>6.1362410994063116E-2</v>
      </c>
      <c r="J886" s="109">
        <f t="shared" si="416"/>
        <v>6.1362410994063053E-2</v>
      </c>
      <c r="K886" s="109">
        <f t="shared" si="416"/>
        <v>6.1362410994063046E-2</v>
      </c>
      <c r="L886" s="109">
        <f t="shared" si="416"/>
        <v>6.1362410994063039E-2</v>
      </c>
      <c r="M886" s="109" t="e">
        <f t="shared" si="416"/>
        <v>#DIV/0!</v>
      </c>
      <c r="N886" s="109" t="e">
        <f t="shared" si="416"/>
        <v>#DIV/0!</v>
      </c>
      <c r="O886" s="109" t="e">
        <f>O882/O884</f>
        <v>#DIV/0!</v>
      </c>
      <c r="P886" s="109">
        <f>P882/P884</f>
        <v>6.1362410994063095E-2</v>
      </c>
      <c r="Q886" s="109">
        <f>Q882/Q884</f>
        <v>6.1362410994063019E-2</v>
      </c>
      <c r="R886" s="109">
        <f t="shared" ref="R886:Z886" si="417">R882/R884</f>
        <v>6.1362410994063067E-2</v>
      </c>
      <c r="S886" s="109">
        <f t="shared" si="417"/>
        <v>6.1362410994063039E-2</v>
      </c>
      <c r="T886" s="109">
        <f t="shared" si="417"/>
        <v>6.136241099406306E-2</v>
      </c>
      <c r="U886" s="109">
        <f t="shared" si="417"/>
        <v>6.1362410994063102E-2</v>
      </c>
      <c r="V886" s="109" t="e">
        <f t="shared" si="417"/>
        <v>#DIV/0!</v>
      </c>
      <c r="W886" s="109" t="e">
        <f t="shared" si="417"/>
        <v>#DIV/0!</v>
      </c>
      <c r="X886" s="109" t="e">
        <f t="shared" si="417"/>
        <v>#DIV/0!</v>
      </c>
      <c r="Y886" s="109" t="e">
        <f t="shared" si="417"/>
        <v>#DIV/0!</v>
      </c>
      <c r="Z886" s="109" t="e">
        <f t="shared" si="417"/>
        <v>#DIV/0!</v>
      </c>
      <c r="AA886" s="96"/>
      <c r="AB886" s="96"/>
    </row>
    <row r="887" spans="1:36" s="39" customFormat="1" ht="14.25" customHeight="1"/>
    <row r="888" spans="1:36" s="39" customFormat="1" ht="14.25" customHeight="1"/>
    <row r="889" spans="1:36" s="39" customFormat="1" ht="15" customHeight="1">
      <c r="A889" s="44" t="s">
        <v>996</v>
      </c>
      <c r="B889" s="44"/>
      <c r="F889" s="59">
        <f t="shared" ref="F889:Z889" si="418">F867</f>
        <v>0</v>
      </c>
      <c r="G889" s="59">
        <f t="shared" si="418"/>
        <v>37745183.151543155</v>
      </c>
      <c r="H889" s="59">
        <f t="shared" si="418"/>
        <v>-16367777.01932539</v>
      </c>
      <c r="I889" s="59">
        <f t="shared" si="418"/>
        <v>-2519701.2404853818</v>
      </c>
      <c r="J889" s="59">
        <f t="shared" si="418"/>
        <v>-20607713.047606405</v>
      </c>
      <c r="K889" s="59">
        <f t="shared" si="418"/>
        <v>1802183.2091602262</v>
      </c>
      <c r="L889" s="59">
        <f t="shared" si="418"/>
        <v>-1164767.1741494013</v>
      </c>
      <c r="M889" s="59">
        <f t="shared" si="418"/>
        <v>0</v>
      </c>
      <c r="N889" s="59">
        <f t="shared" si="418"/>
        <v>0</v>
      </c>
      <c r="O889" s="59">
        <f t="shared" si="418"/>
        <v>0</v>
      </c>
      <c r="P889" s="59">
        <f t="shared" si="418"/>
        <v>628016.4572827426</v>
      </c>
      <c r="Q889" s="59">
        <f t="shared" si="418"/>
        <v>2441207.1816919027</v>
      </c>
      <c r="R889" s="59">
        <f t="shared" si="418"/>
        <v>480284.54926395207</v>
      </c>
      <c r="S889" s="59">
        <f t="shared" si="418"/>
        <v>-2395033.0640130257</v>
      </c>
      <c r="T889" s="59">
        <f t="shared" si="418"/>
        <v>-25391.785795627588</v>
      </c>
      <c r="U889" s="59">
        <f t="shared" si="418"/>
        <v>-16491.217566936637</v>
      </c>
      <c r="V889" s="59">
        <f t="shared" si="418"/>
        <v>0</v>
      </c>
      <c r="W889" s="59">
        <f t="shared" si="418"/>
        <v>0</v>
      </c>
      <c r="X889" s="59">
        <f t="shared" si="418"/>
        <v>0</v>
      </c>
      <c r="Y889" s="59">
        <f t="shared" si="418"/>
        <v>0</v>
      </c>
      <c r="Z889" s="59">
        <f t="shared" si="418"/>
        <v>0</v>
      </c>
      <c r="AA889" s="59">
        <f>ROUND(SUM(G889:Z889),2)</f>
        <v>0</v>
      </c>
      <c r="AB889" s="68" t="str">
        <f>IF(ABS(F889-AA889)&lt;0.01,"ok","err")</f>
        <v>ok</v>
      </c>
    </row>
    <row r="890" spans="1:36" s="39" customFormat="1" ht="15" customHeight="1">
      <c r="A890" s="44"/>
      <c r="B890" s="44"/>
    </row>
    <row r="891" spans="1:36" s="39" customFormat="1" ht="15" customHeight="1">
      <c r="A891" s="44" t="s">
        <v>997</v>
      </c>
      <c r="B891" s="44"/>
      <c r="F891" s="110">
        <f t="shared" ref="F891:Z891" si="419">F889/F864</f>
        <v>0</v>
      </c>
      <c r="G891" s="110">
        <f t="shared" si="419"/>
        <v>9.6142485592937407E-2</v>
      </c>
      <c r="H891" s="110">
        <f t="shared" si="419"/>
        <v>-0.11412269673619746</v>
      </c>
      <c r="I891" s="110">
        <f t="shared" si="419"/>
        <v>-0.13640575454869769</v>
      </c>
      <c r="J891" s="110">
        <f t="shared" si="419"/>
        <v>-0.10765673882624786</v>
      </c>
      <c r="K891" s="110">
        <f t="shared" si="419"/>
        <v>1.443144755762406E-2</v>
      </c>
      <c r="L891" s="110">
        <f t="shared" si="419"/>
        <v>-2.6252671531764731E-2</v>
      </c>
      <c r="M891" s="110" t="e">
        <f t="shared" si="419"/>
        <v>#DIV/0!</v>
      </c>
      <c r="N891" s="110" t="e">
        <f t="shared" si="419"/>
        <v>#DIV/0!</v>
      </c>
      <c r="O891" s="110" t="e">
        <f t="shared" si="419"/>
        <v>#DIV/0!</v>
      </c>
      <c r="P891" s="110">
        <f t="shared" si="419"/>
        <v>1.9355667188040323E-2</v>
      </c>
      <c r="Q891" s="110">
        <f t="shared" si="419"/>
        <v>0.18122671471563129</v>
      </c>
      <c r="R891" s="110">
        <f t="shared" si="419"/>
        <v>0.1390340927967206</v>
      </c>
      <c r="S891" s="110">
        <f t="shared" si="419"/>
        <v>-0.13147172766519147</v>
      </c>
      <c r="T891" s="110">
        <f t="shared" si="419"/>
        <v>-0.10580561645316058</v>
      </c>
      <c r="U891" s="110">
        <f t="shared" si="419"/>
        <v>-5.8876479456610058E-2</v>
      </c>
      <c r="V891" s="110" t="e">
        <f t="shared" si="419"/>
        <v>#DIV/0!</v>
      </c>
      <c r="W891" s="110" t="e">
        <f t="shared" si="419"/>
        <v>#DIV/0!</v>
      </c>
      <c r="X891" s="110" t="e">
        <f t="shared" si="419"/>
        <v>#DIV/0!</v>
      </c>
      <c r="Y891" s="110" t="e">
        <f t="shared" si="419"/>
        <v>#DIV/0!</v>
      </c>
      <c r="Z891" s="110" t="e">
        <f t="shared" si="419"/>
        <v>#DIV/0!</v>
      </c>
    </row>
    <row r="892" spans="1:36" s="39" customFormat="1" ht="15" customHeight="1">
      <c r="A892" s="44"/>
      <c r="B892" s="44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</row>
    <row r="893" spans="1:36" s="39" customFormat="1" ht="15" customHeight="1">
      <c r="A893" s="44" t="s">
        <v>1455</v>
      </c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</row>
    <row r="894" spans="1:36" s="39" customFormat="1" ht="14.25" customHeight="1">
      <c r="F894" s="296"/>
      <c r="G894" s="296"/>
      <c r="H894" s="296"/>
      <c r="I894" s="296"/>
      <c r="J894" s="296"/>
      <c r="K894" s="296"/>
      <c r="L894" s="296"/>
      <c r="M894" s="296"/>
      <c r="N894" s="296"/>
      <c r="O894" s="296"/>
      <c r="P894" s="296"/>
      <c r="Q894" s="296"/>
      <c r="R894" s="296"/>
      <c r="S894" s="296"/>
      <c r="T894" s="296"/>
      <c r="U894" s="296"/>
      <c r="AA894" s="59"/>
      <c r="AB894" s="68"/>
    </row>
    <row r="895" spans="1:36" s="39" customFormat="1" ht="15" customHeight="1">
      <c r="A895" s="44" t="s">
        <v>1218</v>
      </c>
      <c r="AH895" s="211"/>
      <c r="AI895" s="211"/>
      <c r="AJ895" s="211"/>
    </row>
    <row r="896" spans="1:36" s="39" customFormat="1" ht="14.25" customHeight="1"/>
    <row r="897" spans="1:36" s="39" customFormat="1" ht="14.25" customHeight="1">
      <c r="A897" s="39" t="s">
        <v>1</v>
      </c>
      <c r="F897" s="59">
        <f t="shared" ref="F897:Z897" si="420">F750</f>
        <v>983266245.60000002</v>
      </c>
      <c r="G897" s="59">
        <f t="shared" si="420"/>
        <v>392596289.96232134</v>
      </c>
      <c r="H897" s="59">
        <f t="shared" si="420"/>
        <v>143422627.46525034</v>
      </c>
      <c r="I897" s="59">
        <f t="shared" si="420"/>
        <v>18472103.679363709</v>
      </c>
      <c r="J897" s="59">
        <f t="shared" si="420"/>
        <v>191420558.2696141</v>
      </c>
      <c r="K897" s="59">
        <f t="shared" si="420"/>
        <v>124878893.95462218</v>
      </c>
      <c r="L897" s="59">
        <f t="shared" si="420"/>
        <v>44367567.420331962</v>
      </c>
      <c r="M897" s="59">
        <f t="shared" si="420"/>
        <v>0</v>
      </c>
      <c r="N897" s="59">
        <f t="shared" si="420"/>
        <v>0</v>
      </c>
      <c r="O897" s="59">
        <f t="shared" si="420"/>
        <v>0</v>
      </c>
      <c r="P897" s="59">
        <f t="shared" si="420"/>
        <v>32446128.112328146</v>
      </c>
      <c r="Q897" s="59">
        <f t="shared" si="420"/>
        <v>13470459.835474478</v>
      </c>
      <c r="R897" s="59">
        <f t="shared" si="420"/>
        <v>3454437.2506257729</v>
      </c>
      <c r="S897" s="59">
        <f t="shared" si="420"/>
        <v>18217095.846737977</v>
      </c>
      <c r="T897" s="59">
        <f t="shared" si="420"/>
        <v>239985.23563130843</v>
      </c>
      <c r="U897" s="59">
        <f t="shared" si="420"/>
        <v>280098.56769866985</v>
      </c>
      <c r="V897" s="59">
        <f t="shared" si="420"/>
        <v>0</v>
      </c>
      <c r="W897" s="59">
        <f t="shared" si="420"/>
        <v>0</v>
      </c>
      <c r="X897" s="59">
        <f t="shared" si="420"/>
        <v>0</v>
      </c>
      <c r="Y897" s="59">
        <f t="shared" si="420"/>
        <v>0</v>
      </c>
      <c r="Z897" s="59">
        <f t="shared" si="420"/>
        <v>0</v>
      </c>
      <c r="AA897" s="59">
        <f>ROUND(SUM(G897:Z897),2)</f>
        <v>983266245.60000002</v>
      </c>
      <c r="AB897" s="68" t="str">
        <f>IF(ABS(F897-AA897)&lt;0.01,"ok","err")</f>
        <v>ok</v>
      </c>
      <c r="AH897" s="57"/>
      <c r="AI897" s="57"/>
      <c r="AJ897" s="110"/>
    </row>
    <row r="898" spans="1:36" s="39" customFormat="1" ht="14.25" customHeight="1"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68"/>
      <c r="AH898" s="58"/>
      <c r="AI898" s="58"/>
      <c r="AJ898" s="110"/>
    </row>
    <row r="899" spans="1:36" s="39" customFormat="1" ht="14.25" customHeight="1">
      <c r="A899" s="39" t="s">
        <v>136</v>
      </c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68"/>
      <c r="AH899" s="58"/>
      <c r="AI899" s="58"/>
      <c r="AJ899" s="110"/>
    </row>
    <row r="900" spans="1:36" s="39" customFormat="1" ht="14.25" customHeight="1">
      <c r="A900" s="39" t="s">
        <v>993</v>
      </c>
      <c r="F900" s="59">
        <v>61774462</v>
      </c>
      <c r="G900" s="57">
        <v>24208044</v>
      </c>
      <c r="H900" s="57">
        <v>9056955</v>
      </c>
      <c r="I900" s="57">
        <v>1158691</v>
      </c>
      <c r="J900" s="57">
        <v>11899906</v>
      </c>
      <c r="K900" s="57">
        <f>1652693+6049607+98377</f>
        <v>7800677</v>
      </c>
      <c r="L900" s="57">
        <f>2087850+673166</f>
        <v>2761016</v>
      </c>
      <c r="M900" s="57"/>
      <c r="N900" s="57"/>
      <c r="O900" s="57">
        <v>0</v>
      </c>
      <c r="P900" s="57">
        <f>2029903+607579</f>
        <v>2637482</v>
      </c>
      <c r="Q900" s="57">
        <v>818116</v>
      </c>
      <c r="R900" s="57">
        <v>209583</v>
      </c>
      <c r="S900" s="57">
        <v>1190660</v>
      </c>
      <c r="T900" s="57">
        <v>15564</v>
      </c>
      <c r="U900" s="57">
        <v>17768</v>
      </c>
      <c r="V900" s="57">
        <v>0</v>
      </c>
      <c r="W900" s="57">
        <v>0</v>
      </c>
      <c r="X900" s="57">
        <v>0</v>
      </c>
      <c r="Y900" s="57">
        <v>0</v>
      </c>
      <c r="Z900" s="57">
        <v>0</v>
      </c>
      <c r="AA900" s="59">
        <f>SUM(G900:Z900)</f>
        <v>61774462</v>
      </c>
      <c r="AB900" s="68" t="str">
        <f>IF(ABS(F900-AA900)&lt;0.01,"ok","err")</f>
        <v>ok</v>
      </c>
      <c r="AH900" s="58"/>
      <c r="AI900" s="58"/>
      <c r="AJ900" s="110"/>
    </row>
    <row r="901" spans="1:36" s="39" customFormat="1" ht="14.25" customHeight="1">
      <c r="A901" s="39" t="s">
        <v>994</v>
      </c>
      <c r="E901" s="39" t="s">
        <v>950</v>
      </c>
      <c r="F901" s="58">
        <v>294670</v>
      </c>
      <c r="G901" s="57">
        <f t="shared" ref="G901:Z901" si="421">IF(VLOOKUP($E901,$D$6:$AN$1197,3,)=0,0,(VLOOKUP($E901,$D$6:$AN$1197,G$2,)/VLOOKUP($E901,$D$6:$AN$1197,3,))*$F901)</f>
        <v>210054.57082464657</v>
      </c>
      <c r="H901" s="57">
        <f t="shared" si="421"/>
        <v>35973.08223326732</v>
      </c>
      <c r="I901" s="57">
        <f t="shared" si="421"/>
        <v>1351.9026495245039</v>
      </c>
      <c r="J901" s="57">
        <f t="shared" si="421"/>
        <v>22967.982544663217</v>
      </c>
      <c r="K901" s="57">
        <f t="shared" si="421"/>
        <v>12496.575148701686</v>
      </c>
      <c r="L901" s="57">
        <f t="shared" si="421"/>
        <v>5442.8225958484109</v>
      </c>
      <c r="M901" s="57">
        <f t="shared" si="421"/>
        <v>0</v>
      </c>
      <c r="N901" s="57">
        <f t="shared" si="421"/>
        <v>0</v>
      </c>
      <c r="O901" s="57">
        <f t="shared" si="421"/>
        <v>0</v>
      </c>
      <c r="P901" s="57">
        <f t="shared" si="421"/>
        <v>0</v>
      </c>
      <c r="Q901" s="57">
        <f t="shared" si="421"/>
        <v>1747.7022247017342</v>
      </c>
      <c r="R901" s="57">
        <f t="shared" si="421"/>
        <v>395.00883974201946</v>
      </c>
      <c r="S901" s="57">
        <f t="shared" si="421"/>
        <v>4118.6995868540798</v>
      </c>
      <c r="T901" s="57">
        <f t="shared" si="421"/>
        <v>47.185166591018728</v>
      </c>
      <c r="U901" s="57">
        <f t="shared" si="421"/>
        <v>74.468185459429378</v>
      </c>
      <c r="V901" s="57">
        <f t="shared" si="421"/>
        <v>0</v>
      </c>
      <c r="W901" s="57">
        <f t="shared" si="421"/>
        <v>0</v>
      </c>
      <c r="X901" s="58">
        <f t="shared" si="421"/>
        <v>0</v>
      </c>
      <c r="Y901" s="58">
        <f t="shared" si="421"/>
        <v>0</v>
      </c>
      <c r="Z901" s="58">
        <f t="shared" si="421"/>
        <v>0</v>
      </c>
      <c r="AA901" s="59">
        <f>SUM(G901:Z901)</f>
        <v>294670.00000000006</v>
      </c>
      <c r="AB901" s="68" t="str">
        <f>IF(ABS(F901-AA901)&lt;0.01,"ok","err")</f>
        <v>ok</v>
      </c>
      <c r="AH901" s="58"/>
      <c r="AI901" s="58"/>
      <c r="AJ901" s="110"/>
    </row>
    <row r="902" spans="1:36" s="39" customFormat="1" ht="14.25" customHeight="1">
      <c r="AH902" s="58"/>
      <c r="AI902" s="58"/>
      <c r="AJ902" s="110"/>
    </row>
    <row r="903" spans="1:36" s="39" customFormat="1" ht="14.25" customHeight="1">
      <c r="A903" s="39" t="s">
        <v>137</v>
      </c>
      <c r="F903" s="59">
        <f>SUM(F897:F901)</f>
        <v>1045335377.6</v>
      </c>
      <c r="G903" s="59">
        <f t="shared" ref="G903:P903" si="422">SUM(G897:G901)</f>
        <v>417014388.53314596</v>
      </c>
      <c r="H903" s="59">
        <f t="shared" si="422"/>
        <v>152515555.54748362</v>
      </c>
      <c r="I903" s="59">
        <f t="shared" si="422"/>
        <v>19632146.582013234</v>
      </c>
      <c r="J903" s="59">
        <f t="shared" si="422"/>
        <v>203343432.25215876</v>
      </c>
      <c r="K903" s="59">
        <f t="shared" si="422"/>
        <v>132692067.52977088</v>
      </c>
      <c r="L903" s="59">
        <f t="shared" si="422"/>
        <v>47134026.242927812</v>
      </c>
      <c r="M903" s="59">
        <f t="shared" si="422"/>
        <v>0</v>
      </c>
      <c r="N903" s="59">
        <f t="shared" si="422"/>
        <v>0</v>
      </c>
      <c r="O903" s="59">
        <f>SUM(O897:O901)</f>
        <v>0</v>
      </c>
      <c r="P903" s="59">
        <f t="shared" si="422"/>
        <v>35083610.112328142</v>
      </c>
      <c r="Q903" s="59">
        <f>SUM(Q897:Q901)</f>
        <v>14290323.53769918</v>
      </c>
      <c r="R903" s="59">
        <f t="shared" ref="R903:Z903" si="423">SUM(R897:R901)</f>
        <v>3664415.2594655147</v>
      </c>
      <c r="S903" s="59">
        <f t="shared" si="423"/>
        <v>19411874.546324831</v>
      </c>
      <c r="T903" s="59">
        <f t="shared" si="423"/>
        <v>255596.42079789945</v>
      </c>
      <c r="U903" s="59">
        <f t="shared" si="423"/>
        <v>297941.03588412929</v>
      </c>
      <c r="V903" s="59">
        <f t="shared" si="423"/>
        <v>0</v>
      </c>
      <c r="W903" s="59">
        <f t="shared" si="423"/>
        <v>0</v>
      </c>
      <c r="X903" s="59">
        <f t="shared" si="423"/>
        <v>0</v>
      </c>
      <c r="Y903" s="59">
        <f t="shared" si="423"/>
        <v>0</v>
      </c>
      <c r="Z903" s="59">
        <f t="shared" si="423"/>
        <v>0</v>
      </c>
      <c r="AA903" s="59">
        <f>ROUND(SUM(G903:Z903),2)</f>
        <v>1045335377.6</v>
      </c>
      <c r="AB903" s="68" t="str">
        <f>IF(ABS(F903-AA903)&lt;0.01,"ok","err")</f>
        <v>ok</v>
      </c>
    </row>
    <row r="904" spans="1:36" s="39" customFormat="1" ht="14.25" customHeight="1">
      <c r="AH904" s="57"/>
      <c r="AI904" s="57"/>
      <c r="AJ904" s="110"/>
    </row>
    <row r="905" spans="1:36" s="39" customFormat="1" ht="14.25" customHeight="1"/>
    <row r="906" spans="1:36" s="39" customFormat="1" ht="15" customHeight="1">
      <c r="A906" s="44" t="s">
        <v>1222</v>
      </c>
      <c r="F906" s="59"/>
    </row>
    <row r="907" spans="1:36" s="39" customFormat="1" ht="14.25" customHeight="1"/>
    <row r="908" spans="1:36" s="39" customFormat="1" ht="14.25" customHeight="1">
      <c r="A908" s="39" t="s">
        <v>1225</v>
      </c>
      <c r="F908" s="59">
        <f t="shared" ref="F908:Z908" si="424">F698</f>
        <v>925658736.29469991</v>
      </c>
      <c r="G908" s="59">
        <f t="shared" si="424"/>
        <v>385279883.24160051</v>
      </c>
      <c r="H908" s="59">
        <f t="shared" si="424"/>
        <v>126785867.67566366</v>
      </c>
      <c r="I908" s="59">
        <f t="shared" si="424"/>
        <v>16521677.422569763</v>
      </c>
      <c r="J908" s="59">
        <f t="shared" si="424"/>
        <v>171771247.86379614</v>
      </c>
      <c r="K908" s="59">
        <f t="shared" si="424"/>
        <v>121387128.51528923</v>
      </c>
      <c r="L908" s="59">
        <f t="shared" si="424"/>
        <v>40661128.72345566</v>
      </c>
      <c r="M908" s="59">
        <f t="shared" si="424"/>
        <v>0</v>
      </c>
      <c r="N908" s="59">
        <f t="shared" si="424"/>
        <v>0</v>
      </c>
      <c r="O908" s="59">
        <f t="shared" si="424"/>
        <v>0</v>
      </c>
      <c r="P908" s="59">
        <f t="shared" si="424"/>
        <v>31693605.413913466</v>
      </c>
      <c r="Q908" s="59">
        <f t="shared" si="424"/>
        <v>14158428.006084574</v>
      </c>
      <c r="R908" s="59">
        <f t="shared" si="424"/>
        <v>3519047.8016845067</v>
      </c>
      <c r="S908" s="59">
        <f t="shared" si="424"/>
        <v>13405712.886764038</v>
      </c>
      <c r="T908" s="59">
        <f t="shared" si="424"/>
        <v>222347.46651349906</v>
      </c>
      <c r="U908" s="59">
        <f t="shared" si="424"/>
        <v>252661.27736480895</v>
      </c>
      <c r="V908" s="59">
        <f t="shared" si="424"/>
        <v>0</v>
      </c>
      <c r="W908" s="59">
        <f t="shared" si="424"/>
        <v>0</v>
      </c>
      <c r="X908" s="59">
        <f t="shared" si="424"/>
        <v>0</v>
      </c>
      <c r="Y908" s="59">
        <f t="shared" si="424"/>
        <v>0</v>
      </c>
      <c r="Z908" s="59">
        <f t="shared" si="424"/>
        <v>0</v>
      </c>
      <c r="AA908" s="59">
        <f>ROUND(SUM(G908:Z908),2)</f>
        <v>925658736.28999996</v>
      </c>
      <c r="AB908" s="68" t="str">
        <f>IF(ABS(F908-AA908)&lt;0.01,"ok","err")</f>
        <v>ok</v>
      </c>
    </row>
    <row r="909" spans="1:36" s="39" customFormat="1" ht="14.25" customHeight="1"/>
    <row r="910" spans="1:36" s="39" customFormat="1" ht="14.25" customHeight="1">
      <c r="A910" s="39" t="s">
        <v>770</v>
      </c>
      <c r="F910" s="86">
        <f t="shared" ref="F910:Z910" si="425">F806</f>
        <v>-58640127</v>
      </c>
      <c r="G910" s="86">
        <f t="shared" si="425"/>
        <v>-25487933.032452017</v>
      </c>
      <c r="H910" s="86">
        <f t="shared" si="425"/>
        <v>-8711563.1637249533</v>
      </c>
      <c r="I910" s="86">
        <f t="shared" si="425"/>
        <v>-1177411.1837127625</v>
      </c>
      <c r="J910" s="86">
        <f t="shared" si="425"/>
        <v>-11123163.814310623</v>
      </c>
      <c r="K910" s="86">
        <f t="shared" si="425"/>
        <v>-7421972.2854512287</v>
      </c>
      <c r="L910" s="86">
        <f t="shared" si="425"/>
        <v>-1462462.7016684781</v>
      </c>
      <c r="M910" s="86">
        <f t="shared" si="425"/>
        <v>0</v>
      </c>
      <c r="N910" s="86">
        <f t="shared" si="425"/>
        <v>0</v>
      </c>
      <c r="O910" s="86">
        <f t="shared" si="425"/>
        <v>0</v>
      </c>
      <c r="P910" s="86">
        <f t="shared" si="425"/>
        <v>-2002114.3831486341</v>
      </c>
      <c r="Q910" s="86">
        <f t="shared" si="425"/>
        <v>-840465.48332966527</v>
      </c>
      <c r="R910" s="86">
        <f t="shared" si="425"/>
        <v>-139056.43969970811</v>
      </c>
      <c r="S910" s="86">
        <f t="shared" si="425"/>
        <v>-249542.83497443426</v>
      </c>
      <c r="T910" s="86">
        <f t="shared" si="425"/>
        <v>-13822.229986108781</v>
      </c>
      <c r="U910" s="86">
        <f t="shared" si="425"/>
        <v>-10619.447541383872</v>
      </c>
      <c r="V910" s="86">
        <f t="shared" si="425"/>
        <v>0</v>
      </c>
      <c r="W910" s="86">
        <f t="shared" si="425"/>
        <v>0</v>
      </c>
      <c r="X910" s="86">
        <f t="shared" si="425"/>
        <v>0</v>
      </c>
      <c r="Y910" s="86">
        <f t="shared" si="425"/>
        <v>0</v>
      </c>
      <c r="Z910" s="86">
        <f t="shared" si="425"/>
        <v>0</v>
      </c>
      <c r="AA910" s="59">
        <f>ROUND(SUM(G910:Z910),2)</f>
        <v>-58640127</v>
      </c>
      <c r="AB910" s="68" t="str">
        <f>IF(ABS(F910-AA910)&lt;0.01,"ok","err")</f>
        <v>ok</v>
      </c>
    </row>
    <row r="911" spans="1:36" s="39" customFormat="1" ht="14.25" customHeight="1">
      <c r="F911" s="86"/>
      <c r="G911" s="86"/>
      <c r="H911" s="86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  <c r="Z911" s="86"/>
      <c r="AA911" s="59"/>
      <c r="AB911" s="68"/>
    </row>
    <row r="912" spans="1:36" s="39" customFormat="1" ht="14.25" customHeight="1">
      <c r="A912" s="39" t="s">
        <v>771</v>
      </c>
      <c r="E912" s="295"/>
      <c r="F912" s="86">
        <f>(F900+F901)*$E$877</f>
        <v>23193620.830968</v>
      </c>
      <c r="G912" s="86">
        <f t="shared" ref="G912:Z912" si="426">(G900+G901)*$E$877</f>
        <v>9124408.5653543286</v>
      </c>
      <c r="H912" s="86">
        <f t="shared" si="426"/>
        <v>3397790.8082004339</v>
      </c>
      <c r="I912" s="86">
        <f t="shared" si="426"/>
        <v>433477.87160465837</v>
      </c>
      <c r="J912" s="86">
        <f t="shared" si="426"/>
        <v>4455268.0125533938</v>
      </c>
      <c r="K912" s="86">
        <f t="shared" si="426"/>
        <v>2919579.8225201159</v>
      </c>
      <c r="L912" s="86">
        <f t="shared" si="426"/>
        <v>1033753.7340746811</v>
      </c>
      <c r="M912" s="86">
        <f t="shared" si="426"/>
        <v>0</v>
      </c>
      <c r="N912" s="86">
        <f t="shared" si="426"/>
        <v>0</v>
      </c>
      <c r="O912" s="86">
        <f t="shared" si="426"/>
        <v>0</v>
      </c>
      <c r="P912" s="86">
        <f t="shared" si="426"/>
        <v>985558.44886800006</v>
      </c>
      <c r="Q912" s="86">
        <f t="shared" si="426"/>
        <v>306361.7490651132</v>
      </c>
      <c r="R912" s="86">
        <f t="shared" si="426"/>
        <v>78463.322475181762</v>
      </c>
      <c r="S912" s="86">
        <f t="shared" si="426"/>
        <v>446457.7357894181</v>
      </c>
      <c r="T912" s="86">
        <f t="shared" si="426"/>
        <v>5833.4940059407318</v>
      </c>
      <c r="U912" s="86">
        <f t="shared" si="426"/>
        <v>6667.2664567333677</v>
      </c>
      <c r="V912" s="86">
        <f t="shared" si="426"/>
        <v>0</v>
      </c>
      <c r="W912" s="86">
        <f t="shared" si="426"/>
        <v>0</v>
      </c>
      <c r="X912" s="86">
        <f t="shared" si="426"/>
        <v>0</v>
      </c>
      <c r="Y912" s="86">
        <f t="shared" si="426"/>
        <v>0</v>
      </c>
      <c r="Z912" s="86">
        <f t="shared" si="426"/>
        <v>0</v>
      </c>
      <c r="AA912" s="59">
        <f>ROUND(SUM(G912:Z912),2)</f>
        <v>23193620.829999998</v>
      </c>
      <c r="AB912" s="68" t="str">
        <f>IF(ABS(F912-AA912)&lt;0.01,"ok","err")</f>
        <v>ok</v>
      </c>
    </row>
    <row r="913" spans="1:28" s="39" customFormat="1" ht="14.25" customHeight="1">
      <c r="A913" s="45"/>
      <c r="F913" s="58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9"/>
      <c r="AB913" s="68"/>
    </row>
    <row r="914" spans="1:28" s="39" customFormat="1" ht="14.25" customHeight="1">
      <c r="A914" s="39" t="s">
        <v>138</v>
      </c>
      <c r="F914" s="59">
        <f t="shared" ref="F914:Z914" si="427">SUM(F908:F913)</f>
        <v>890212230.12566793</v>
      </c>
      <c r="G914" s="59">
        <f>SUM(G908:G913)</f>
        <v>368916358.77450287</v>
      </c>
      <c r="H914" s="59">
        <f t="shared" si="427"/>
        <v>121472095.32013914</v>
      </c>
      <c r="I914" s="59">
        <f t="shared" si="427"/>
        <v>15777744.11046166</v>
      </c>
      <c r="J914" s="59">
        <f t="shared" si="427"/>
        <v>165103352.06203893</v>
      </c>
      <c r="K914" s="59">
        <f t="shared" si="427"/>
        <v>116884736.05235812</v>
      </c>
      <c r="L914" s="59">
        <f t="shared" si="427"/>
        <v>40232419.755861863</v>
      </c>
      <c r="M914" s="59">
        <f t="shared" si="427"/>
        <v>0</v>
      </c>
      <c r="N914" s="59">
        <f t="shared" si="427"/>
        <v>0</v>
      </c>
      <c r="O914" s="59">
        <f>SUM(O908:O913)</f>
        <v>0</v>
      </c>
      <c r="P914" s="59">
        <f t="shared" si="427"/>
        <v>30677049.479632832</v>
      </c>
      <c r="Q914" s="59">
        <f t="shared" si="427"/>
        <v>13624324.271820022</v>
      </c>
      <c r="R914" s="59">
        <f t="shared" si="427"/>
        <v>3458454.6844599806</v>
      </c>
      <c r="S914" s="59">
        <f t="shared" si="427"/>
        <v>13602627.787579022</v>
      </c>
      <c r="T914" s="59">
        <f t="shared" si="427"/>
        <v>214358.73053333102</v>
      </c>
      <c r="U914" s="59">
        <f t="shared" si="427"/>
        <v>248709.09628015844</v>
      </c>
      <c r="V914" s="59">
        <f t="shared" si="427"/>
        <v>0</v>
      </c>
      <c r="W914" s="59">
        <f t="shared" si="427"/>
        <v>0</v>
      </c>
      <c r="X914" s="59">
        <f t="shared" si="427"/>
        <v>0</v>
      </c>
      <c r="Y914" s="59">
        <f t="shared" si="427"/>
        <v>0</v>
      </c>
      <c r="Z914" s="59">
        <f t="shared" si="427"/>
        <v>0</v>
      </c>
      <c r="AA914" s="59">
        <f>ROUND(SUM(G914:Z914),2)</f>
        <v>890212230.13</v>
      </c>
      <c r="AB914" s="68" t="str">
        <f>IF(ABS(F914-AA914)&lt;0.01,"ok","err")</f>
        <v>ok</v>
      </c>
    </row>
    <row r="915" spans="1:28" s="39" customFormat="1" ht="14.25" customHeight="1"/>
    <row r="916" spans="1:28" s="39" customFormat="1" ht="14.25" customHeight="1">
      <c r="G916" s="59"/>
      <c r="H916" s="59"/>
      <c r="I916" s="59"/>
    </row>
    <row r="917" spans="1:28" s="39" customFormat="1" ht="15" customHeight="1">
      <c r="A917" s="44" t="s">
        <v>992</v>
      </c>
      <c r="F917" s="59">
        <f t="shared" ref="F917:Z917" si="428">F903-F914</f>
        <v>155123147.47433209</v>
      </c>
      <c r="G917" s="59">
        <f>G903-G914</f>
        <v>48098029.758643091</v>
      </c>
      <c r="H917" s="59">
        <f t="shared" si="428"/>
        <v>31043460.227344483</v>
      </c>
      <c r="I917" s="59">
        <f t="shared" si="428"/>
        <v>3854402.4715515748</v>
      </c>
      <c r="J917" s="59">
        <f t="shared" si="428"/>
        <v>38240080.190119833</v>
      </c>
      <c r="K917" s="59">
        <f t="shared" si="428"/>
        <v>15807331.47741276</v>
      </c>
      <c r="L917" s="59">
        <f t="shared" si="428"/>
        <v>6901606.4870659485</v>
      </c>
      <c r="M917" s="59">
        <f t="shared" si="428"/>
        <v>0</v>
      </c>
      <c r="N917" s="59">
        <f t="shared" si="428"/>
        <v>0</v>
      </c>
      <c r="O917" s="59">
        <f>O903-O914</f>
        <v>0</v>
      </c>
      <c r="P917" s="59">
        <f t="shared" si="428"/>
        <v>4406560.6326953098</v>
      </c>
      <c r="Q917" s="59">
        <f t="shared" si="428"/>
        <v>665999.26587915793</v>
      </c>
      <c r="R917" s="59">
        <f t="shared" si="428"/>
        <v>205960.57500553411</v>
      </c>
      <c r="S917" s="59">
        <f t="shared" si="428"/>
        <v>5809246.7587458082</v>
      </c>
      <c r="T917" s="59">
        <f t="shared" si="428"/>
        <v>41237.690264568431</v>
      </c>
      <c r="U917" s="59">
        <f t="shared" si="428"/>
        <v>49231.939603970852</v>
      </c>
      <c r="V917" s="59">
        <f t="shared" si="428"/>
        <v>0</v>
      </c>
      <c r="W917" s="59">
        <f t="shared" si="428"/>
        <v>0</v>
      </c>
      <c r="X917" s="59">
        <f t="shared" si="428"/>
        <v>0</v>
      </c>
      <c r="Y917" s="59">
        <f t="shared" si="428"/>
        <v>0</v>
      </c>
      <c r="Z917" s="59">
        <f t="shared" si="428"/>
        <v>0</v>
      </c>
      <c r="AA917" s="59">
        <f>ROUND(SUM(G917:Z917),2)</f>
        <v>155123147.47</v>
      </c>
      <c r="AB917" s="68" t="str">
        <f>IF(ABS(F917-AA917)&lt;0.01,"ok","err")</f>
        <v>ok</v>
      </c>
    </row>
    <row r="918" spans="1:28" s="39" customFormat="1" ht="14.25" customHeight="1"/>
    <row r="919" spans="1:28" s="39" customFormat="1" ht="15" customHeight="1">
      <c r="A919" s="44" t="s">
        <v>1208</v>
      </c>
      <c r="F919" s="59">
        <f t="shared" ref="F919:Z919" si="429">F821</f>
        <v>1894443755.0954001</v>
      </c>
      <c r="G919" s="59">
        <f t="shared" si="429"/>
        <v>919864920.90748382</v>
      </c>
      <c r="H919" s="59">
        <f t="shared" si="429"/>
        <v>246026164.86771092</v>
      </c>
      <c r="I919" s="59">
        <f t="shared" si="429"/>
        <v>25254598.316034239</v>
      </c>
      <c r="J919" s="59">
        <f t="shared" si="429"/>
        <v>291144488.1069302</v>
      </c>
      <c r="K919" s="59">
        <f t="shared" si="429"/>
        <v>196251935.5148834</v>
      </c>
      <c r="L919" s="59">
        <f t="shared" si="429"/>
        <v>72346854.719544739</v>
      </c>
      <c r="M919" s="59">
        <f t="shared" si="429"/>
        <v>0</v>
      </c>
      <c r="N919" s="59">
        <f t="shared" si="429"/>
        <v>0</v>
      </c>
      <c r="O919" s="59">
        <f t="shared" si="429"/>
        <v>0</v>
      </c>
      <c r="P919" s="59">
        <f t="shared" si="429"/>
        <v>51301441.16227708</v>
      </c>
      <c r="Q919" s="59">
        <f t="shared" si="429"/>
        <v>27402587.590025134</v>
      </c>
      <c r="R919" s="59">
        <f t="shared" si="429"/>
        <v>6115479.8705607615</v>
      </c>
      <c r="S919" s="59">
        <f t="shared" si="429"/>
        <v>58029895.801223755</v>
      </c>
      <c r="T919" s="59">
        <f t="shared" si="429"/>
        <v>253517.80058301476</v>
      </c>
      <c r="U919" s="59">
        <f t="shared" si="429"/>
        <v>451870.43814328534</v>
      </c>
      <c r="V919" s="59">
        <f t="shared" si="429"/>
        <v>0</v>
      </c>
      <c r="W919" s="59">
        <f t="shared" si="429"/>
        <v>0</v>
      </c>
      <c r="X919" s="59">
        <f t="shared" si="429"/>
        <v>0</v>
      </c>
      <c r="Y919" s="59">
        <f t="shared" si="429"/>
        <v>0</v>
      </c>
      <c r="Z919" s="59">
        <f t="shared" si="429"/>
        <v>0</v>
      </c>
      <c r="AA919" s="59">
        <f>ROUND(SUM(G919:Z919),2)</f>
        <v>1894443755.0999999</v>
      </c>
      <c r="AB919" s="68" t="str">
        <f>IF(ABS(F919-AA919)&lt;0.01,"ok","err")</f>
        <v>ok</v>
      </c>
    </row>
    <row r="920" spans="1:28" s="39" customFormat="1" ht="15" customHeight="1" thickBot="1"/>
    <row r="921" spans="1:28" s="39" customFormat="1" ht="15.75" customHeight="1" thickBot="1">
      <c r="A921" s="107" t="s">
        <v>1226</v>
      </c>
      <c r="B921" s="108"/>
      <c r="C921" s="108"/>
      <c r="D921" s="108"/>
      <c r="E921" s="108"/>
      <c r="F921" s="109">
        <f t="shared" ref="F921:P921" si="430">F917/F919</f>
        <v>8.1883216145691495E-2</v>
      </c>
      <c r="G921" s="109">
        <f t="shared" si="430"/>
        <v>5.2288144341010902E-2</v>
      </c>
      <c r="H921" s="109">
        <f t="shared" si="430"/>
        <v>0.12617950714322054</v>
      </c>
      <c r="I921" s="109">
        <f t="shared" si="430"/>
        <v>0.15262180864323627</v>
      </c>
      <c r="J921" s="109">
        <f t="shared" si="430"/>
        <v>0.13134399499974458</v>
      </c>
      <c r="K921" s="109">
        <f t="shared" si="430"/>
        <v>8.0546117601036152E-2</v>
      </c>
      <c r="L921" s="109">
        <f t="shared" si="430"/>
        <v>9.5396082024854875E-2</v>
      </c>
      <c r="M921" s="109"/>
      <c r="N921" s="109"/>
      <c r="O921" s="109"/>
      <c r="P921" s="109">
        <f t="shared" si="430"/>
        <v>8.5895455037148877E-2</v>
      </c>
      <c r="Q921" s="109">
        <f>Q917/Q919</f>
        <v>2.4304247315738516E-2</v>
      </c>
      <c r="R921" s="109">
        <f t="shared" ref="R921:Z921" si="431">R917/R919</f>
        <v>3.3678563148740848E-2</v>
      </c>
      <c r="S921" s="109">
        <f t="shared" si="431"/>
        <v>0.10010782681128476</v>
      </c>
      <c r="T921" s="109">
        <f t="shared" si="431"/>
        <v>0.16266191237749039</v>
      </c>
      <c r="U921" s="109">
        <f t="shared" si="431"/>
        <v>0.10895145034550746</v>
      </c>
      <c r="V921" s="109" t="e">
        <f t="shared" si="431"/>
        <v>#DIV/0!</v>
      </c>
      <c r="W921" s="109" t="e">
        <f t="shared" si="431"/>
        <v>#DIV/0!</v>
      </c>
      <c r="X921" s="109" t="e">
        <f t="shared" si="431"/>
        <v>#DIV/0!</v>
      </c>
      <c r="Y921" s="109" t="e">
        <f t="shared" si="431"/>
        <v>#DIV/0!</v>
      </c>
      <c r="Z921" s="109" t="e">
        <f t="shared" si="431"/>
        <v>#DIV/0!</v>
      </c>
      <c r="AA921" s="96"/>
      <c r="AB921" s="96"/>
    </row>
    <row r="922" spans="1:28" s="39" customFormat="1" ht="14.25" customHeight="1"/>
    <row r="923" spans="1:28" s="39" customFormat="1" ht="14.25" customHeight="1"/>
    <row r="924" spans="1:28" s="39" customFormat="1" ht="15" customHeight="1">
      <c r="A924" s="44" t="s">
        <v>1494</v>
      </c>
    </row>
    <row r="925" spans="1:28" s="39" customFormat="1" ht="14.25" customHeight="1"/>
    <row r="926" spans="1:28" s="39" customFormat="1" ht="15" customHeight="1">
      <c r="A926" s="44" t="s">
        <v>1218</v>
      </c>
    </row>
    <row r="927" spans="1:28" s="39" customFormat="1" ht="14.25" customHeight="1"/>
    <row r="928" spans="1:28" s="39" customFormat="1" ht="14.25" customHeight="1">
      <c r="A928" s="85" t="s">
        <v>1503</v>
      </c>
      <c r="F928" s="59">
        <f>F903</f>
        <v>1045335377.6</v>
      </c>
      <c r="G928" s="59">
        <f t="shared" ref="G928:Z928" si="432">G903</f>
        <v>417014388.53314596</v>
      </c>
      <c r="H928" s="59">
        <f t="shared" si="432"/>
        <v>152515555.54748362</v>
      </c>
      <c r="I928" s="59">
        <f t="shared" si="432"/>
        <v>19632146.582013234</v>
      </c>
      <c r="J928" s="59">
        <f t="shared" si="432"/>
        <v>203343432.25215876</v>
      </c>
      <c r="K928" s="59">
        <f t="shared" si="432"/>
        <v>132692067.52977088</v>
      </c>
      <c r="L928" s="59">
        <f t="shared" si="432"/>
        <v>47134026.242927812</v>
      </c>
      <c r="M928" s="59">
        <f t="shared" si="432"/>
        <v>0</v>
      </c>
      <c r="N928" s="59">
        <f t="shared" si="432"/>
        <v>0</v>
      </c>
      <c r="O928" s="59">
        <f t="shared" si="432"/>
        <v>0</v>
      </c>
      <c r="P928" s="59">
        <f t="shared" si="432"/>
        <v>35083610.112328142</v>
      </c>
      <c r="Q928" s="59">
        <f t="shared" si="432"/>
        <v>14290323.53769918</v>
      </c>
      <c r="R928" s="59">
        <f t="shared" si="432"/>
        <v>3664415.2594655147</v>
      </c>
      <c r="S928" s="59">
        <f t="shared" si="432"/>
        <v>19411874.546324831</v>
      </c>
      <c r="T928" s="59">
        <f t="shared" si="432"/>
        <v>255596.42079789945</v>
      </c>
      <c r="U928" s="59">
        <f t="shared" si="432"/>
        <v>297941.03588412929</v>
      </c>
      <c r="V928" s="59">
        <f t="shared" si="432"/>
        <v>0</v>
      </c>
      <c r="W928" s="59">
        <f t="shared" si="432"/>
        <v>0</v>
      </c>
      <c r="X928" s="59">
        <f t="shared" si="432"/>
        <v>0</v>
      </c>
      <c r="Y928" s="59">
        <f t="shared" si="432"/>
        <v>0</v>
      </c>
      <c r="Z928" s="59">
        <f t="shared" si="432"/>
        <v>0</v>
      </c>
      <c r="AA928" s="59">
        <f>ROUND(SUM(G928:Z928),2)</f>
        <v>1045335377.6</v>
      </c>
      <c r="AB928" s="68" t="str">
        <f>IF(ABS(F928-AA928)&lt;0.01,"ok","err")</f>
        <v>ok</v>
      </c>
    </row>
    <row r="929" spans="1:28" s="39" customFormat="1" ht="14.25" customHeight="1"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68"/>
    </row>
    <row r="930" spans="1:28" s="39" customFormat="1" ht="14.25" customHeight="1">
      <c r="A930" s="39" t="s">
        <v>136</v>
      </c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68"/>
    </row>
    <row r="931" spans="1:28" s="39" customFormat="1" ht="14.25" customHeight="1">
      <c r="A931" s="39" t="s">
        <v>998</v>
      </c>
      <c r="F931" s="57">
        <f>($F$921*F919-F917)/(1-$E$943)-SUM(F901:F902)</f>
        <v>-294670</v>
      </c>
      <c r="G931" s="57">
        <f>($F$921*G919-G917)/(1-$E$943)-SUM(G901:G902)</f>
        <v>43255278.793691322</v>
      </c>
      <c r="H931" s="57">
        <f t="shared" ref="H931:Z931" si="433">($F$921*H919-H917)/(1-$E$943)-SUM(H901:H902)</f>
        <v>-17435931.876832537</v>
      </c>
      <c r="I931" s="57">
        <f t="shared" si="433"/>
        <v>-2853660.0280780187</v>
      </c>
      <c r="J931" s="57">
        <f t="shared" si="433"/>
        <v>-23014562.041921668</v>
      </c>
      <c r="K931" s="57">
        <f t="shared" si="433"/>
        <v>406467.634165211</v>
      </c>
      <c r="L931" s="57">
        <f t="shared" si="433"/>
        <v>-1566312.6325742395</v>
      </c>
      <c r="M931" s="57">
        <f t="shared" si="433"/>
        <v>0</v>
      </c>
      <c r="N931" s="57">
        <f t="shared" si="433"/>
        <v>0</v>
      </c>
      <c r="O931" s="57">
        <f t="shared" si="433"/>
        <v>0</v>
      </c>
      <c r="P931" s="57">
        <f t="shared" si="433"/>
        <v>-328636.58449290128</v>
      </c>
      <c r="Q931" s="57">
        <f t="shared" si="433"/>
        <v>2517408.0356915169</v>
      </c>
      <c r="R931" s="57">
        <f t="shared" si="433"/>
        <v>470277.7479517982</v>
      </c>
      <c r="S931" s="57">
        <f t="shared" si="433"/>
        <v>-1692651.9202135697</v>
      </c>
      <c r="T931" s="57">
        <f t="shared" si="433"/>
        <v>-32743.955542799453</v>
      </c>
      <c r="U931" s="57">
        <f t="shared" si="433"/>
        <v>-19603.171843994929</v>
      </c>
      <c r="V931" s="212">
        <f t="shared" si="433"/>
        <v>0</v>
      </c>
      <c r="W931" s="212">
        <f t="shared" si="433"/>
        <v>0</v>
      </c>
      <c r="X931" s="212">
        <f t="shared" si="433"/>
        <v>0</v>
      </c>
      <c r="Y931" s="212">
        <f t="shared" si="433"/>
        <v>0</v>
      </c>
      <c r="Z931" s="212">
        <f t="shared" si="433"/>
        <v>0</v>
      </c>
      <c r="AA931" s="59">
        <f>SUM(G931:Z931)</f>
        <v>-294669.99999988143</v>
      </c>
      <c r="AB931" s="68" t="str">
        <f>IF(ABS(F931-AA931)&lt;0.01,"ok","err")</f>
        <v>ok</v>
      </c>
    </row>
    <row r="932" spans="1:28" s="39" customFormat="1" ht="14.25" customHeight="1">
      <c r="A932" s="39" t="s">
        <v>994</v>
      </c>
      <c r="E932" s="39" t="s">
        <v>197</v>
      </c>
      <c r="F932" s="57">
        <f>F901</f>
        <v>294670</v>
      </c>
      <c r="G932" s="57">
        <f>G901</f>
        <v>210054.57082464657</v>
      </c>
      <c r="H932" s="57">
        <f t="shared" ref="H932:U932" si="434">H901</f>
        <v>35973.08223326732</v>
      </c>
      <c r="I932" s="57">
        <f t="shared" si="434"/>
        <v>1351.9026495245039</v>
      </c>
      <c r="J932" s="57">
        <f t="shared" si="434"/>
        <v>22967.982544663217</v>
      </c>
      <c r="K932" s="57">
        <f t="shared" si="434"/>
        <v>12496.575148701686</v>
      </c>
      <c r="L932" s="57">
        <f t="shared" si="434"/>
        <v>5442.8225958484109</v>
      </c>
      <c r="M932" s="57">
        <f t="shared" si="434"/>
        <v>0</v>
      </c>
      <c r="N932" s="57">
        <f t="shared" si="434"/>
        <v>0</v>
      </c>
      <c r="O932" s="57">
        <f>O901</f>
        <v>0</v>
      </c>
      <c r="P932" s="57">
        <f t="shared" si="434"/>
        <v>0</v>
      </c>
      <c r="Q932" s="57">
        <f t="shared" si="434"/>
        <v>1747.7022247017342</v>
      </c>
      <c r="R932" s="57">
        <f t="shared" si="434"/>
        <v>395.00883974201946</v>
      </c>
      <c r="S932" s="57">
        <f t="shared" si="434"/>
        <v>4118.6995868540798</v>
      </c>
      <c r="T932" s="57">
        <f t="shared" si="434"/>
        <v>47.185166591018728</v>
      </c>
      <c r="U932" s="57">
        <f t="shared" si="434"/>
        <v>74.468185459429378</v>
      </c>
      <c r="V932" s="57">
        <f>IF(VLOOKUP($E932,$D$6:$AN$1197,3,)=0,0,(VLOOKUP($E932,$D$6:$AN$1197,V$2,)/VLOOKUP($E932,$D$6:$AN$1197,3,))*$F932)</f>
        <v>0</v>
      </c>
      <c r="W932" s="57">
        <f>IF(VLOOKUP($E932,$D$6:$AN$1197,3,)=0,0,(VLOOKUP($E932,$D$6:$AN$1197,W$2,)/VLOOKUP($E932,$D$6:$AN$1197,3,))*$F932)</f>
        <v>0</v>
      </c>
      <c r="X932" s="58">
        <f>IF(VLOOKUP($E932,$D$6:$AN$1197,3,)=0,0,(VLOOKUP($E932,$D$6:$AN$1197,X$2,)/VLOOKUP($E932,$D$6:$AN$1197,3,))*$F932)</f>
        <v>0</v>
      </c>
      <c r="Y932" s="58">
        <f>IF(VLOOKUP($E932,$D$6:$AN$1197,3,)=0,0,(VLOOKUP($E932,$D$6:$AN$1197,Y$2,)/VLOOKUP($E932,$D$6:$AN$1197,3,))*$F932)</f>
        <v>0</v>
      </c>
      <c r="Z932" s="58">
        <f>IF(VLOOKUP($E932,$D$6:$AN$1197,3,)=0,0,(VLOOKUP($E932,$D$6:$AN$1197,Z$2,)/VLOOKUP($E932,$D$6:$AN$1197,3,))*$F932)</f>
        <v>0</v>
      </c>
      <c r="AA932" s="59">
        <f>SUM(G932:Z932)</f>
        <v>294670.00000000006</v>
      </c>
      <c r="AB932" s="68" t="str">
        <f>IF(ABS(F932-AA932)&lt;0.01,"ok","err")</f>
        <v>ok</v>
      </c>
    </row>
    <row r="933" spans="1:28" s="39" customFormat="1" ht="14.25" customHeight="1"/>
    <row r="934" spans="1:28" s="39" customFormat="1" ht="14.25" customHeight="1">
      <c r="A934" s="39" t="s">
        <v>137</v>
      </c>
      <c r="F934" s="59">
        <f>SUM(F928:F932)</f>
        <v>1045335377.6</v>
      </c>
      <c r="G934" s="59">
        <f t="shared" ref="G934:P934" si="435">SUM(G928:G932)</f>
        <v>460479721.89766192</v>
      </c>
      <c r="H934" s="59">
        <f t="shared" si="435"/>
        <v>135115596.75288436</v>
      </c>
      <c r="I934" s="59">
        <f t="shared" si="435"/>
        <v>16779838.45658474</v>
      </c>
      <c r="J934" s="59">
        <f t="shared" si="435"/>
        <v>180351838.19278175</v>
      </c>
      <c r="K934" s="59">
        <f t="shared" si="435"/>
        <v>133111031.7390848</v>
      </c>
      <c r="L934" s="59">
        <f t="shared" si="435"/>
        <v>45573156.432949424</v>
      </c>
      <c r="M934" s="59">
        <f t="shared" si="435"/>
        <v>0</v>
      </c>
      <c r="N934" s="59">
        <f t="shared" si="435"/>
        <v>0</v>
      </c>
      <c r="O934" s="59">
        <f>SUM(O928:O932)</f>
        <v>0</v>
      </c>
      <c r="P934" s="59">
        <f t="shared" si="435"/>
        <v>34754973.527835242</v>
      </c>
      <c r="Q934" s="59">
        <f>SUM(Q928:Q932)</f>
        <v>16809479.275615398</v>
      </c>
      <c r="R934" s="59">
        <f t="shared" ref="R934:Z934" si="436">SUM(R928:R932)</f>
        <v>4135088.0162570546</v>
      </c>
      <c r="S934" s="59">
        <f t="shared" si="436"/>
        <v>17723341.325698115</v>
      </c>
      <c r="T934" s="59">
        <f t="shared" si="436"/>
        <v>222899.65042169101</v>
      </c>
      <c r="U934" s="59">
        <f t="shared" si="436"/>
        <v>278412.3322255938</v>
      </c>
      <c r="V934" s="59">
        <f t="shared" si="436"/>
        <v>0</v>
      </c>
      <c r="W934" s="59">
        <f t="shared" si="436"/>
        <v>0</v>
      </c>
      <c r="X934" s="59">
        <f t="shared" si="436"/>
        <v>0</v>
      </c>
      <c r="Y934" s="59">
        <f t="shared" si="436"/>
        <v>0</v>
      </c>
      <c r="Z934" s="59">
        <f t="shared" si="436"/>
        <v>0</v>
      </c>
      <c r="AA934" s="59">
        <f>ROUND(SUM(G934:Z934),2)</f>
        <v>1045335377.6</v>
      </c>
      <c r="AB934" s="68" t="str">
        <f>IF(ABS(F934-AA934)&lt;0.01,"ok","err")</f>
        <v>ok</v>
      </c>
    </row>
    <row r="935" spans="1:28" s="39" customFormat="1" ht="14.25" customHeight="1">
      <c r="F935" s="59">
        <f>F934-F897</f>
        <v>62069132</v>
      </c>
      <c r="G935" s="59">
        <f t="shared" ref="G935:U935" si="437">G934-G897</f>
        <v>67883431.935340583</v>
      </c>
      <c r="H935" s="59">
        <f t="shared" si="437"/>
        <v>-8307030.7123659849</v>
      </c>
      <c r="I935" s="59">
        <f t="shared" si="437"/>
        <v>-1692265.2227789685</v>
      </c>
      <c r="J935" s="59">
        <f t="shared" si="437"/>
        <v>-11068720.076832354</v>
      </c>
      <c r="K935" s="59">
        <f t="shared" si="437"/>
        <v>8232137.7844626158</v>
      </c>
      <c r="L935" s="59">
        <f t="shared" si="437"/>
        <v>1205589.0126174614</v>
      </c>
      <c r="M935" s="59">
        <f t="shared" si="437"/>
        <v>0</v>
      </c>
      <c r="N935" s="59">
        <f t="shared" si="437"/>
        <v>0</v>
      </c>
      <c r="O935" s="59">
        <f t="shared" si="437"/>
        <v>0</v>
      </c>
      <c r="P935" s="59">
        <f t="shared" si="437"/>
        <v>2308845.4155070968</v>
      </c>
      <c r="Q935" s="59">
        <f t="shared" si="437"/>
        <v>3339019.4401409198</v>
      </c>
      <c r="R935" s="59">
        <f t="shared" si="437"/>
        <v>680650.76563128177</v>
      </c>
      <c r="S935" s="59">
        <f t="shared" si="437"/>
        <v>-493754.52103986219</v>
      </c>
      <c r="T935" s="59">
        <f t="shared" si="437"/>
        <v>-17085.58520961742</v>
      </c>
      <c r="U935" s="59">
        <f t="shared" si="437"/>
        <v>-1686.2354730760562</v>
      </c>
    </row>
    <row r="936" spans="1:28" s="39" customFormat="1" ht="14.25" customHeight="1"/>
    <row r="937" spans="1:28" s="39" customFormat="1" ht="15" customHeight="1">
      <c r="A937" s="44" t="s">
        <v>1222</v>
      </c>
    </row>
    <row r="938" spans="1:28" s="39" customFormat="1" ht="14.25" customHeight="1"/>
    <row r="939" spans="1:28" s="39" customFormat="1" ht="14.25" customHeight="1">
      <c r="A939" s="39" t="s">
        <v>1225</v>
      </c>
      <c r="F939" s="59">
        <f>F908+F912</f>
        <v>948852357.12566793</v>
      </c>
      <c r="G939" s="59">
        <f t="shared" ref="G939:Z939" si="438">G908+G912</f>
        <v>394404291.80695486</v>
      </c>
      <c r="H939" s="59">
        <f t="shared" si="438"/>
        <v>130183658.4838641</v>
      </c>
      <c r="I939" s="59">
        <f t="shared" si="438"/>
        <v>16955155.294174422</v>
      </c>
      <c r="J939" s="59">
        <f t="shared" si="438"/>
        <v>176226515.87634954</v>
      </c>
      <c r="K939" s="59">
        <f t="shared" si="438"/>
        <v>124306708.33780935</v>
      </c>
      <c r="L939" s="59">
        <f t="shared" si="438"/>
        <v>41694882.457530342</v>
      </c>
      <c r="M939" s="59">
        <f t="shared" si="438"/>
        <v>0</v>
      </c>
      <c r="N939" s="59">
        <f t="shared" si="438"/>
        <v>0</v>
      </c>
      <c r="O939" s="59">
        <f t="shared" si="438"/>
        <v>0</v>
      </c>
      <c r="P939" s="59">
        <f t="shared" si="438"/>
        <v>32679163.862781465</v>
      </c>
      <c r="Q939" s="59">
        <f t="shared" si="438"/>
        <v>14464789.755149687</v>
      </c>
      <c r="R939" s="59">
        <f t="shared" si="438"/>
        <v>3597511.1241596886</v>
      </c>
      <c r="S939" s="59">
        <f t="shared" si="438"/>
        <v>13852170.622553457</v>
      </c>
      <c r="T939" s="59">
        <f t="shared" si="438"/>
        <v>228180.9605194398</v>
      </c>
      <c r="U939" s="59">
        <f t="shared" si="438"/>
        <v>259328.54382154232</v>
      </c>
      <c r="V939" s="59">
        <f t="shared" si="438"/>
        <v>0</v>
      </c>
      <c r="W939" s="59">
        <f t="shared" si="438"/>
        <v>0</v>
      </c>
      <c r="X939" s="59">
        <f t="shared" si="438"/>
        <v>0</v>
      </c>
      <c r="Y939" s="59">
        <f t="shared" si="438"/>
        <v>0</v>
      </c>
      <c r="Z939" s="59">
        <f t="shared" si="438"/>
        <v>0</v>
      </c>
      <c r="AA939" s="59">
        <f>ROUND(SUM(G939:Z939),2)</f>
        <v>948852357.13</v>
      </c>
      <c r="AB939" s="68" t="str">
        <f>IF(ABS(F939-AA939)&lt;0.01,"ok","err")</f>
        <v>ok</v>
      </c>
    </row>
    <row r="940" spans="1:28" s="39" customFormat="1" ht="14.25" customHeight="1"/>
    <row r="941" spans="1:28" s="39" customFormat="1" ht="14.25" customHeight="1">
      <c r="A941" s="39" t="s">
        <v>770</v>
      </c>
      <c r="F941" s="86">
        <f>F910</f>
        <v>-58640127</v>
      </c>
      <c r="G941" s="86">
        <f t="shared" ref="G941:Z941" si="439">G910</f>
        <v>-25487933.032452017</v>
      </c>
      <c r="H941" s="86">
        <f t="shared" si="439"/>
        <v>-8711563.1637249533</v>
      </c>
      <c r="I941" s="86">
        <f t="shared" si="439"/>
        <v>-1177411.1837127625</v>
      </c>
      <c r="J941" s="86">
        <f t="shared" si="439"/>
        <v>-11123163.814310623</v>
      </c>
      <c r="K941" s="86">
        <f t="shared" si="439"/>
        <v>-7421972.2854512287</v>
      </c>
      <c r="L941" s="86">
        <f t="shared" si="439"/>
        <v>-1462462.7016684781</v>
      </c>
      <c r="M941" s="86">
        <f t="shared" si="439"/>
        <v>0</v>
      </c>
      <c r="N941" s="86">
        <f t="shared" si="439"/>
        <v>0</v>
      </c>
      <c r="O941" s="86">
        <f t="shared" si="439"/>
        <v>0</v>
      </c>
      <c r="P941" s="86">
        <f t="shared" si="439"/>
        <v>-2002114.3831486341</v>
      </c>
      <c r="Q941" s="86">
        <f t="shared" si="439"/>
        <v>-840465.48332966527</v>
      </c>
      <c r="R941" s="86">
        <f t="shared" si="439"/>
        <v>-139056.43969970811</v>
      </c>
      <c r="S941" s="86">
        <f t="shared" si="439"/>
        <v>-249542.83497443426</v>
      </c>
      <c r="T941" s="86">
        <f t="shared" si="439"/>
        <v>-13822.229986108781</v>
      </c>
      <c r="U941" s="86">
        <f t="shared" si="439"/>
        <v>-10619.447541383872</v>
      </c>
      <c r="V941" s="86">
        <f t="shared" si="439"/>
        <v>0</v>
      </c>
      <c r="W941" s="86">
        <f t="shared" si="439"/>
        <v>0</v>
      </c>
      <c r="X941" s="86">
        <f t="shared" si="439"/>
        <v>0</v>
      </c>
      <c r="Y941" s="86">
        <f t="shared" si="439"/>
        <v>0</v>
      </c>
      <c r="Z941" s="86">
        <f t="shared" si="439"/>
        <v>0</v>
      </c>
      <c r="AA941" s="59">
        <f>ROUND(SUM(G941:Z941),2)</f>
        <v>-58640127</v>
      </c>
      <c r="AB941" s="68" t="str">
        <f>IF(ABS(F941-AA941)&lt;0.01,"ok","err")</f>
        <v>ok</v>
      </c>
    </row>
    <row r="942" spans="1:28" s="39" customFormat="1" ht="14.25" customHeight="1">
      <c r="F942" s="86"/>
      <c r="G942" s="86"/>
      <c r="H942" s="86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  <c r="Z942" s="86"/>
      <c r="AA942" s="59"/>
      <c r="AB942" s="68"/>
    </row>
    <row r="943" spans="1:28" s="39" customFormat="1" ht="14.25" customHeight="1">
      <c r="A943" s="39" t="s">
        <v>771</v>
      </c>
      <c r="E943" s="39">
        <f>E877</f>
        <v>0.37367400000000001</v>
      </c>
      <c r="F943" s="86">
        <f>(F931+F932)*$E$943</f>
        <v>0</v>
      </c>
      <c r="G943" s="86">
        <f>(G931+G932)*$E$943</f>
        <v>16241864.97965214</v>
      </c>
      <c r="H943" s="86">
        <f t="shared" ref="H943:Y943" si="440">(H931+H932)*$E$943</f>
        <v>-6501912.2026130874</v>
      </c>
      <c r="I943" s="86">
        <f t="shared" si="440"/>
        <v>-1065833.3864613671</v>
      </c>
      <c r="J943" s="86">
        <f t="shared" si="440"/>
        <v>-8591360.9185436424</v>
      </c>
      <c r="K943" s="86">
        <f t="shared" si="440"/>
        <v>156556.03195116701</v>
      </c>
      <c r="L943" s="86">
        <f t="shared" si="440"/>
        <v>-583256.46537386533</v>
      </c>
      <c r="M943" s="86">
        <f t="shared" si="440"/>
        <v>0</v>
      </c>
      <c r="N943" s="86">
        <f t="shared" si="440"/>
        <v>0</v>
      </c>
      <c r="O943" s="86">
        <f t="shared" si="440"/>
        <v>0</v>
      </c>
      <c r="P943" s="86">
        <f t="shared" si="440"/>
        <v>-122802.9470738004</v>
      </c>
      <c r="Q943" s="86">
        <f t="shared" si="440"/>
        <v>941343.00121010502</v>
      </c>
      <c r="R943" s="86">
        <f t="shared" si="440"/>
        <v>175878.17172132203</v>
      </c>
      <c r="S943" s="86">
        <f t="shared" si="440"/>
        <v>-630960.96268446732</v>
      </c>
      <c r="T943" s="86">
        <f t="shared" si="440"/>
        <v>-12217.932973559311</v>
      </c>
      <c r="U943" s="86">
        <f t="shared" si="440"/>
        <v>-7297.3688108995939</v>
      </c>
      <c r="V943" s="86">
        <f t="shared" si="440"/>
        <v>0</v>
      </c>
      <c r="W943" s="86">
        <f t="shared" si="440"/>
        <v>0</v>
      </c>
      <c r="X943" s="86">
        <f t="shared" si="440"/>
        <v>0</v>
      </c>
      <c r="Y943" s="86">
        <f t="shared" si="440"/>
        <v>0</v>
      </c>
      <c r="Z943" s="86">
        <f>(Z931+Z932)*$E$943</f>
        <v>0</v>
      </c>
      <c r="AA943" s="59">
        <f>ROUND(SUM(G943:Z943),2)</f>
        <v>0</v>
      </c>
      <c r="AB943" s="68" t="str">
        <f>IF(ABS(F943-AA943)&lt;0.01,"ok","err")</f>
        <v>ok</v>
      </c>
    </row>
    <row r="944" spans="1:28" s="39" customFormat="1" ht="14.25" customHeight="1">
      <c r="A944" s="45"/>
      <c r="F944" s="58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9"/>
      <c r="AB944" s="68"/>
    </row>
    <row r="945" spans="1:28" s="39" customFormat="1" ht="14.25" customHeight="1">
      <c r="A945" s="39" t="s">
        <v>138</v>
      </c>
      <c r="F945" s="59">
        <f t="shared" ref="F945:Z945" si="441">SUM(F939:F944)</f>
        <v>890212230.12566793</v>
      </c>
      <c r="G945" s="59">
        <f t="shared" si="441"/>
        <v>385158223.75415504</v>
      </c>
      <c r="H945" s="59">
        <f t="shared" si="441"/>
        <v>114970183.11752605</v>
      </c>
      <c r="I945" s="59">
        <f t="shared" si="441"/>
        <v>14711910.724000292</v>
      </c>
      <c r="J945" s="59">
        <f t="shared" si="441"/>
        <v>156511991.14349529</v>
      </c>
      <c r="K945" s="59">
        <f t="shared" si="441"/>
        <v>117041292.08430929</v>
      </c>
      <c r="L945" s="59">
        <f t="shared" si="441"/>
        <v>39649163.290487997</v>
      </c>
      <c r="M945" s="59">
        <f t="shared" si="441"/>
        <v>0</v>
      </c>
      <c r="N945" s="59">
        <f t="shared" si="441"/>
        <v>0</v>
      </c>
      <c r="O945" s="59">
        <f>SUM(O939:O944)</f>
        <v>0</v>
      </c>
      <c r="P945" s="59">
        <f t="shared" si="441"/>
        <v>30554246.532559033</v>
      </c>
      <c r="Q945" s="59">
        <f t="shared" si="441"/>
        <v>14565667.273030126</v>
      </c>
      <c r="R945" s="59">
        <f t="shared" si="441"/>
        <v>3634332.8561813026</v>
      </c>
      <c r="S945" s="59">
        <f t="shared" si="441"/>
        <v>12971666.824894555</v>
      </c>
      <c r="T945" s="59">
        <f t="shared" si="441"/>
        <v>202140.79755977172</v>
      </c>
      <c r="U945" s="59">
        <f t="shared" si="441"/>
        <v>241411.72746925885</v>
      </c>
      <c r="V945" s="59">
        <f t="shared" si="441"/>
        <v>0</v>
      </c>
      <c r="W945" s="59">
        <f t="shared" si="441"/>
        <v>0</v>
      </c>
      <c r="X945" s="59">
        <f t="shared" si="441"/>
        <v>0</v>
      </c>
      <c r="Y945" s="59">
        <f t="shared" si="441"/>
        <v>0</v>
      </c>
      <c r="Z945" s="59">
        <f t="shared" si="441"/>
        <v>0</v>
      </c>
      <c r="AA945" s="59">
        <f>ROUND(SUM(G945:Z945),2)</f>
        <v>890212230.13</v>
      </c>
      <c r="AB945" s="68" t="str">
        <f>IF(ABS(F945-AA945)&lt;0.01,"ok","err")</f>
        <v>ok</v>
      </c>
    </row>
    <row r="946" spans="1:28" s="39" customFormat="1" ht="14.25" customHeight="1"/>
    <row r="947" spans="1:28" s="39" customFormat="1" ht="14.25" customHeight="1"/>
    <row r="948" spans="1:28" s="39" customFormat="1" ht="15" customHeight="1">
      <c r="A948" s="44" t="s">
        <v>992</v>
      </c>
      <c r="F948" s="59">
        <f t="shared" ref="F948:Z948" si="442">F934-F945</f>
        <v>155123147.47433209</v>
      </c>
      <c r="G948" s="59">
        <f t="shared" si="442"/>
        <v>75321498.143506885</v>
      </c>
      <c r="H948" s="59">
        <f t="shared" si="442"/>
        <v>20145413.635358304</v>
      </c>
      <c r="I948" s="59">
        <f t="shared" si="442"/>
        <v>2067927.7325844485</v>
      </c>
      <c r="J948" s="59">
        <f t="shared" si="442"/>
        <v>23839847.049286455</v>
      </c>
      <c r="K948" s="59">
        <f t="shared" si="442"/>
        <v>16069739.6547755</v>
      </c>
      <c r="L948" s="59">
        <f t="shared" si="442"/>
        <v>5923993.1424614266</v>
      </c>
      <c r="M948" s="59">
        <f t="shared" si="442"/>
        <v>0</v>
      </c>
      <c r="N948" s="59">
        <f t="shared" si="442"/>
        <v>0</v>
      </c>
      <c r="O948" s="59">
        <f>O934-O945</f>
        <v>0</v>
      </c>
      <c r="P948" s="59">
        <f t="shared" si="442"/>
        <v>4200726.995276209</v>
      </c>
      <c r="Q948" s="59">
        <f t="shared" si="442"/>
        <v>2243812.0025852714</v>
      </c>
      <c r="R948" s="59">
        <f t="shared" si="442"/>
        <v>500755.16007575206</v>
      </c>
      <c r="S948" s="59">
        <f t="shared" si="442"/>
        <v>4751674.50080356</v>
      </c>
      <c r="T948" s="59">
        <f t="shared" si="442"/>
        <v>20758.852861919295</v>
      </c>
      <c r="U948" s="59">
        <f t="shared" si="442"/>
        <v>37000.604756334942</v>
      </c>
      <c r="V948" s="59">
        <f t="shared" si="442"/>
        <v>0</v>
      </c>
      <c r="W948" s="59">
        <f t="shared" si="442"/>
        <v>0</v>
      </c>
      <c r="X948" s="59">
        <f t="shared" si="442"/>
        <v>0</v>
      </c>
      <c r="Y948" s="59">
        <f t="shared" si="442"/>
        <v>0</v>
      </c>
      <c r="Z948" s="59">
        <f t="shared" si="442"/>
        <v>0</v>
      </c>
      <c r="AA948" s="59">
        <f>ROUND(SUM(G948:Z948),2)</f>
        <v>155123147.47</v>
      </c>
      <c r="AB948" s="68" t="str">
        <f>IF(ABS(F948-AA948)&lt;0.01,"ok","err")</f>
        <v>ok</v>
      </c>
    </row>
    <row r="949" spans="1:28" s="39" customFormat="1" ht="14.25" customHeight="1"/>
    <row r="950" spans="1:28" s="39" customFormat="1" ht="15" customHeight="1">
      <c r="A950" s="44" t="s">
        <v>1208</v>
      </c>
      <c r="F950" s="59">
        <f>F919</f>
        <v>1894443755.0954001</v>
      </c>
      <c r="G950" s="59">
        <f t="shared" ref="G950:W950" si="443">G919</f>
        <v>919864920.90748382</v>
      </c>
      <c r="H950" s="59">
        <f t="shared" si="443"/>
        <v>246026164.86771092</v>
      </c>
      <c r="I950" s="59">
        <f t="shared" si="443"/>
        <v>25254598.316034239</v>
      </c>
      <c r="J950" s="59">
        <f t="shared" si="443"/>
        <v>291144488.1069302</v>
      </c>
      <c r="K950" s="59">
        <f t="shared" si="443"/>
        <v>196251935.5148834</v>
      </c>
      <c r="L950" s="59">
        <f t="shared" si="443"/>
        <v>72346854.719544739</v>
      </c>
      <c r="M950" s="59">
        <f t="shared" si="443"/>
        <v>0</v>
      </c>
      <c r="N950" s="59">
        <f t="shared" si="443"/>
        <v>0</v>
      </c>
      <c r="O950" s="59">
        <f>O919</f>
        <v>0</v>
      </c>
      <c r="P950" s="59">
        <f t="shared" si="443"/>
        <v>51301441.16227708</v>
      </c>
      <c r="Q950" s="59">
        <f t="shared" si="443"/>
        <v>27402587.590025134</v>
      </c>
      <c r="R950" s="59">
        <f t="shared" si="443"/>
        <v>6115479.8705607615</v>
      </c>
      <c r="S950" s="59">
        <f t="shared" si="443"/>
        <v>58029895.801223755</v>
      </c>
      <c r="T950" s="59">
        <f t="shared" si="443"/>
        <v>253517.80058301476</v>
      </c>
      <c r="U950" s="59">
        <f t="shared" si="443"/>
        <v>451870.43814328534</v>
      </c>
      <c r="V950" s="59">
        <f t="shared" si="443"/>
        <v>0</v>
      </c>
      <c r="W950" s="59">
        <f t="shared" si="443"/>
        <v>0</v>
      </c>
      <c r="X950" s="59">
        <f>X771</f>
        <v>0</v>
      </c>
      <c r="Y950" s="59">
        <f>Y771</f>
        <v>0</v>
      </c>
      <c r="Z950" s="59">
        <f>Z771</f>
        <v>0</v>
      </c>
      <c r="AA950" s="59">
        <f>ROUND(SUM(G950:Z950),2)</f>
        <v>1894443755.0999999</v>
      </c>
      <c r="AB950" s="68" t="str">
        <f>IF(ABS(F950-AA950)&lt;0.01,"ok","err")</f>
        <v>ok</v>
      </c>
    </row>
    <row r="951" spans="1:28" s="39" customFormat="1" ht="15" customHeight="1" thickBot="1"/>
    <row r="952" spans="1:28" s="39" customFormat="1" ht="15.75" customHeight="1" thickBot="1">
      <c r="A952" s="107" t="s">
        <v>1226</v>
      </c>
      <c r="B952" s="108"/>
      <c r="C952" s="108"/>
      <c r="D952" s="108"/>
      <c r="E952" s="108"/>
      <c r="F952" s="109">
        <f t="shared" ref="F952:P952" si="444">F948/F950</f>
        <v>8.1883216145691495E-2</v>
      </c>
      <c r="G952" s="109">
        <f t="shared" si="444"/>
        <v>8.1883216145691468E-2</v>
      </c>
      <c r="H952" s="109">
        <f t="shared" si="444"/>
        <v>8.1883216145691495E-2</v>
      </c>
      <c r="I952" s="109">
        <f t="shared" si="444"/>
        <v>8.1883216145691509E-2</v>
      </c>
      <c r="J952" s="109">
        <f t="shared" si="444"/>
        <v>8.188321614569144E-2</v>
      </c>
      <c r="K952" s="109">
        <f t="shared" si="444"/>
        <v>8.1883216145691468E-2</v>
      </c>
      <c r="L952" s="109">
        <f t="shared" si="444"/>
        <v>8.1883216145691551E-2</v>
      </c>
      <c r="M952" s="109" t="e">
        <f t="shared" si="444"/>
        <v>#DIV/0!</v>
      </c>
      <c r="N952" s="109" t="e">
        <f t="shared" si="444"/>
        <v>#DIV/0!</v>
      </c>
      <c r="O952" s="109" t="e">
        <f>O948/O950</f>
        <v>#DIV/0!</v>
      </c>
      <c r="P952" s="109">
        <f t="shared" si="444"/>
        <v>8.1883216145691495E-2</v>
      </c>
      <c r="Q952" s="109">
        <f>Q948/Q950</f>
        <v>8.1883216145691495E-2</v>
      </c>
      <c r="R952" s="109">
        <f t="shared" ref="R952:Z952" si="445">R948/R950</f>
        <v>8.1883216145691454E-2</v>
      </c>
      <c r="S952" s="109">
        <f t="shared" si="445"/>
        <v>8.1883216145691495E-2</v>
      </c>
      <c r="T952" s="109">
        <f t="shared" si="445"/>
        <v>8.1883216145691426E-2</v>
      </c>
      <c r="U952" s="109">
        <f t="shared" si="445"/>
        <v>8.1883216145691468E-2</v>
      </c>
      <c r="V952" s="109" t="e">
        <f t="shared" si="445"/>
        <v>#DIV/0!</v>
      </c>
      <c r="W952" s="109" t="e">
        <f t="shared" si="445"/>
        <v>#DIV/0!</v>
      </c>
      <c r="X952" s="109" t="e">
        <f t="shared" si="445"/>
        <v>#DIV/0!</v>
      </c>
      <c r="Y952" s="109" t="e">
        <f t="shared" si="445"/>
        <v>#DIV/0!</v>
      </c>
      <c r="Z952" s="109" t="e">
        <f t="shared" si="445"/>
        <v>#DIV/0!</v>
      </c>
      <c r="AA952" s="96"/>
      <c r="AB952" s="96"/>
    </row>
    <row r="953" spans="1:28" s="39" customFormat="1" ht="14.25" customHeight="1"/>
    <row r="954" spans="1:28" s="39" customFormat="1" ht="14.25" customHeight="1"/>
    <row r="955" spans="1:28" s="39" customFormat="1" ht="14.25" customHeight="1"/>
    <row r="956" spans="1:28" s="39" customFormat="1" ht="15" customHeight="1">
      <c r="A956" s="44" t="s">
        <v>995</v>
      </c>
      <c r="B956" s="44"/>
      <c r="F956" s="57">
        <f>F934</f>
        <v>1045335377.6</v>
      </c>
      <c r="G956" s="57">
        <f t="shared" ref="G956:U956" si="446">G934</f>
        <v>460479721.89766192</v>
      </c>
      <c r="H956" s="57">
        <f t="shared" si="446"/>
        <v>135115596.75288436</v>
      </c>
      <c r="I956" s="57">
        <f t="shared" si="446"/>
        <v>16779838.45658474</v>
      </c>
      <c r="J956" s="57">
        <f t="shared" si="446"/>
        <v>180351838.19278175</v>
      </c>
      <c r="K956" s="57">
        <f t="shared" si="446"/>
        <v>133111031.7390848</v>
      </c>
      <c r="L956" s="57">
        <f t="shared" si="446"/>
        <v>45573156.432949424</v>
      </c>
      <c r="M956" s="57">
        <f t="shared" si="446"/>
        <v>0</v>
      </c>
      <c r="N956" s="57">
        <f t="shared" si="446"/>
        <v>0</v>
      </c>
      <c r="O956" s="57">
        <f t="shared" si="446"/>
        <v>0</v>
      </c>
      <c r="P956" s="57">
        <f t="shared" si="446"/>
        <v>34754973.527835242</v>
      </c>
      <c r="Q956" s="57">
        <f t="shared" si="446"/>
        <v>16809479.275615398</v>
      </c>
      <c r="R956" s="57">
        <f t="shared" si="446"/>
        <v>4135088.0162570546</v>
      </c>
      <c r="S956" s="57">
        <f t="shared" si="446"/>
        <v>17723341.325698115</v>
      </c>
      <c r="T956" s="57">
        <f t="shared" si="446"/>
        <v>222899.65042169101</v>
      </c>
      <c r="U956" s="57">
        <f t="shared" si="446"/>
        <v>278412.3322255938</v>
      </c>
      <c r="V956" s="39">
        <v>1</v>
      </c>
      <c r="W956" s="39">
        <v>1</v>
      </c>
      <c r="Z956" s="59">
        <f>ROUND(SUM(G957:Z957),2)</f>
        <v>0</v>
      </c>
      <c r="AA956" s="59"/>
      <c r="AB956" s="68"/>
    </row>
    <row r="957" spans="1:28" s="39" customFormat="1" ht="15" customHeight="1">
      <c r="A957" s="44"/>
      <c r="B957" s="44"/>
    </row>
    <row r="958" spans="1:28" s="39" customFormat="1" ht="15" customHeight="1">
      <c r="A958" s="44" t="s">
        <v>996</v>
      </c>
      <c r="B958" s="44"/>
      <c r="F958" s="59">
        <f>F931</f>
        <v>-294670</v>
      </c>
      <c r="G958" s="59">
        <f>G931</f>
        <v>43255278.793691322</v>
      </c>
      <c r="H958" s="59">
        <f t="shared" ref="H958:Z958" si="447">H931</f>
        <v>-17435931.876832537</v>
      </c>
      <c r="I958" s="59">
        <f t="shared" si="447"/>
        <v>-2853660.0280780187</v>
      </c>
      <c r="J958" s="59">
        <f t="shared" si="447"/>
        <v>-23014562.041921668</v>
      </c>
      <c r="K958" s="59">
        <f t="shared" si="447"/>
        <v>406467.634165211</v>
      </c>
      <c r="L958" s="59">
        <f t="shared" si="447"/>
        <v>-1566312.6325742395</v>
      </c>
      <c r="M958" s="59">
        <f t="shared" si="447"/>
        <v>0</v>
      </c>
      <c r="N958" s="59">
        <f t="shared" si="447"/>
        <v>0</v>
      </c>
      <c r="O958" s="59">
        <f>O931</f>
        <v>0</v>
      </c>
      <c r="P958" s="59">
        <f t="shared" si="447"/>
        <v>-328636.58449290128</v>
      </c>
      <c r="Q958" s="59">
        <f t="shared" si="447"/>
        <v>2517408.0356915169</v>
      </c>
      <c r="R958" s="59">
        <f t="shared" si="447"/>
        <v>470277.7479517982</v>
      </c>
      <c r="S958" s="59">
        <f t="shared" si="447"/>
        <v>-1692651.9202135697</v>
      </c>
      <c r="T958" s="59">
        <f t="shared" si="447"/>
        <v>-32743.955542799453</v>
      </c>
      <c r="U958" s="59">
        <f t="shared" si="447"/>
        <v>-19603.171843994929</v>
      </c>
      <c r="V958" s="59">
        <f t="shared" si="447"/>
        <v>0</v>
      </c>
      <c r="W958" s="59">
        <f t="shared" si="447"/>
        <v>0</v>
      </c>
      <c r="X958" s="59">
        <f t="shared" si="447"/>
        <v>0</v>
      </c>
      <c r="Y958" s="59">
        <f t="shared" si="447"/>
        <v>0</v>
      </c>
      <c r="Z958" s="59">
        <f t="shared" si="447"/>
        <v>0</v>
      </c>
      <c r="AA958" s="59"/>
      <c r="AB958" s="68"/>
    </row>
    <row r="959" spans="1:28" s="39" customFormat="1" ht="15" customHeight="1">
      <c r="A959" s="44"/>
      <c r="B959" s="44"/>
    </row>
    <row r="960" spans="1:28" s="39" customFormat="1" ht="15" customHeight="1">
      <c r="A960" s="44" t="s">
        <v>997</v>
      </c>
      <c r="B960" s="44"/>
      <c r="F960" s="110">
        <f>F958/F956</f>
        <v>-2.8189039260924749E-4</v>
      </c>
      <c r="G960" s="110">
        <f>G958/G934</f>
        <v>9.3935252165793473E-2</v>
      </c>
      <c r="H960" s="110">
        <f t="shared" ref="H960:Z960" si="448">H958/H956</f>
        <v>-0.12904455367000647</v>
      </c>
      <c r="I960" s="110">
        <f t="shared" si="448"/>
        <v>-0.17006480935209398</v>
      </c>
      <c r="J960" s="110">
        <f t="shared" si="448"/>
        <v>-0.12760924575285412</v>
      </c>
      <c r="K960" s="110">
        <f t="shared" si="448"/>
        <v>3.0535984046907642E-3</v>
      </c>
      <c r="L960" s="110">
        <f t="shared" si="448"/>
        <v>-3.4369193515895999E-2</v>
      </c>
      <c r="M960" s="110" t="e">
        <f t="shared" si="448"/>
        <v>#DIV/0!</v>
      </c>
      <c r="N960" s="110" t="e">
        <f t="shared" si="448"/>
        <v>#DIV/0!</v>
      </c>
      <c r="O960" s="110" t="e">
        <f>O958/O956</f>
        <v>#DIV/0!</v>
      </c>
      <c r="P960" s="110">
        <f t="shared" si="448"/>
        <v>-9.4558145535543672E-3</v>
      </c>
      <c r="Q960" s="110">
        <f t="shared" si="448"/>
        <v>0.1497612147535935</v>
      </c>
      <c r="R960" s="110">
        <f t="shared" si="448"/>
        <v>0.11372859443448513</v>
      </c>
      <c r="S960" s="110">
        <f t="shared" si="448"/>
        <v>-9.55041089097175E-2</v>
      </c>
      <c r="T960" s="110">
        <f t="shared" si="448"/>
        <v>-0.14689998607379173</v>
      </c>
      <c r="U960" s="110">
        <f t="shared" si="448"/>
        <v>-7.0410573006194063E-2</v>
      </c>
      <c r="V960" s="110">
        <f>V958/V956</f>
        <v>0</v>
      </c>
      <c r="W960" s="110">
        <f t="shared" si="448"/>
        <v>0</v>
      </c>
      <c r="X960" s="110" t="e">
        <f t="shared" si="448"/>
        <v>#DIV/0!</v>
      </c>
      <c r="Y960" s="110" t="e">
        <f t="shared" si="448"/>
        <v>#DIV/0!</v>
      </c>
      <c r="Z960" s="110" t="e">
        <f t="shared" si="448"/>
        <v>#DIV/0!</v>
      </c>
    </row>
    <row r="961" spans="1:28" s="39" customFormat="1" ht="15" customHeight="1">
      <c r="A961" s="44"/>
      <c r="B961" s="44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  <c r="Z961" s="110"/>
    </row>
    <row r="962" spans="1:28" s="39" customFormat="1" ht="14.25" customHeight="1">
      <c r="A962" s="28" t="s">
        <v>1495</v>
      </c>
      <c r="B962" s="204"/>
      <c r="C962" s="204"/>
      <c r="D962" s="204"/>
      <c r="E962" s="204"/>
      <c r="F962" s="207">
        <f>F931-F900</f>
        <v>-62069132</v>
      </c>
      <c r="G962" s="207">
        <f>G931-G900</f>
        <v>19047234.793691322</v>
      </c>
      <c r="H962" s="207">
        <f t="shared" ref="H962:U962" si="449">H931-H900</f>
        <v>-26492886.876832537</v>
      </c>
      <c r="I962" s="207">
        <f t="shared" si="449"/>
        <v>-4012351.0280780187</v>
      </c>
      <c r="J962" s="207">
        <f t="shared" si="449"/>
        <v>-34914468.041921668</v>
      </c>
      <c r="K962" s="207">
        <f t="shared" si="449"/>
        <v>-7394209.3658347894</v>
      </c>
      <c r="L962" s="207">
        <f t="shared" si="449"/>
        <v>-4327328.6325742397</v>
      </c>
      <c r="M962" s="207">
        <f t="shared" si="449"/>
        <v>0</v>
      </c>
      <c r="N962" s="207">
        <f t="shared" si="449"/>
        <v>0</v>
      </c>
      <c r="O962" s="207">
        <f t="shared" si="449"/>
        <v>0</v>
      </c>
      <c r="P962" s="207">
        <f t="shared" si="449"/>
        <v>-2966118.5844929013</v>
      </c>
      <c r="Q962" s="207">
        <f t="shared" si="449"/>
        <v>1699292.0356915169</v>
      </c>
      <c r="R962" s="207">
        <f t="shared" si="449"/>
        <v>260694.7479517982</v>
      </c>
      <c r="S962" s="207">
        <f t="shared" si="449"/>
        <v>-2883311.9202135699</v>
      </c>
      <c r="T962" s="207">
        <f t="shared" si="449"/>
        <v>-48307.955542799449</v>
      </c>
      <c r="U962" s="207">
        <f t="shared" si="449"/>
        <v>-37371.171843994933</v>
      </c>
      <c r="V962" s="207">
        <f>V930-V898</f>
        <v>0</v>
      </c>
      <c r="W962" s="206" t="str">
        <f>IF(ABS(F962-V962)&lt;0.01,"ok","err")</f>
        <v>err</v>
      </c>
      <c r="X962" s="110"/>
      <c r="Y962" s="110"/>
      <c r="Z962" s="110"/>
    </row>
    <row r="963" spans="1:28" s="39" customFormat="1" ht="15" customHeight="1">
      <c r="A963" s="44"/>
      <c r="B963" s="44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  <c r="Z963" s="110"/>
    </row>
    <row r="964" spans="1:28" s="112" customFormat="1" ht="15" customHeight="1">
      <c r="A964" s="44"/>
      <c r="B964" s="44"/>
      <c r="C964" s="39"/>
      <c r="D964" s="39"/>
      <c r="E964" s="39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6"/>
      <c r="Y964" s="116"/>
      <c r="Z964" s="116"/>
    </row>
    <row r="965" spans="1:28" s="112" customFormat="1" ht="15" customHeight="1">
      <c r="A965" s="213" t="s">
        <v>1371</v>
      </c>
      <c r="B965" s="214"/>
      <c r="C965" s="214"/>
      <c r="D965" s="214"/>
      <c r="E965" s="214"/>
      <c r="F965" s="214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</row>
    <row r="966" spans="1:28" s="112" customFormat="1" ht="14.2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</row>
    <row r="967" spans="1:28" s="112" customFormat="1" ht="15" customHeight="1">
      <c r="A967" s="44" t="s">
        <v>1218</v>
      </c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</row>
    <row r="968" spans="1:28" s="112" customFormat="1" ht="14.2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</row>
    <row r="969" spans="1:28" s="112" customFormat="1" ht="14.25" customHeight="1">
      <c r="A969" s="39" t="s">
        <v>135</v>
      </c>
      <c r="B969" s="39"/>
      <c r="C969" s="39"/>
      <c r="D969" s="39"/>
      <c r="E969" s="39"/>
      <c r="F969" s="59">
        <f>F897</f>
        <v>983266245.60000002</v>
      </c>
      <c r="G969" s="59">
        <f t="shared" ref="G969:Z969" si="450">G897</f>
        <v>392596289.96232134</v>
      </c>
      <c r="H969" s="59">
        <f t="shared" si="450"/>
        <v>143422627.46525034</v>
      </c>
      <c r="I969" s="59">
        <f t="shared" si="450"/>
        <v>18472103.679363709</v>
      </c>
      <c r="J969" s="59">
        <f t="shared" si="450"/>
        <v>191420558.2696141</v>
      </c>
      <c r="K969" s="59">
        <f t="shared" si="450"/>
        <v>124878893.95462218</v>
      </c>
      <c r="L969" s="59">
        <f t="shared" si="450"/>
        <v>44367567.420331962</v>
      </c>
      <c r="M969" s="59">
        <f t="shared" si="450"/>
        <v>0</v>
      </c>
      <c r="N969" s="59">
        <f t="shared" si="450"/>
        <v>0</v>
      </c>
      <c r="O969" s="59">
        <f>O897</f>
        <v>0</v>
      </c>
      <c r="P969" s="59">
        <f t="shared" si="450"/>
        <v>32446128.112328146</v>
      </c>
      <c r="Q969" s="59">
        <f t="shared" si="450"/>
        <v>13470459.835474478</v>
      </c>
      <c r="R969" s="59">
        <f t="shared" si="450"/>
        <v>3454437.2506257729</v>
      </c>
      <c r="S969" s="59">
        <f t="shared" si="450"/>
        <v>18217095.846737977</v>
      </c>
      <c r="T969" s="59">
        <f t="shared" si="450"/>
        <v>239985.23563130843</v>
      </c>
      <c r="U969" s="59">
        <f t="shared" si="450"/>
        <v>280098.56769866985</v>
      </c>
      <c r="V969" s="59">
        <f t="shared" si="450"/>
        <v>0</v>
      </c>
      <c r="W969" s="59">
        <f t="shared" si="450"/>
        <v>0</v>
      </c>
      <c r="X969" s="59">
        <f t="shared" si="450"/>
        <v>0</v>
      </c>
      <c r="Y969" s="59">
        <f t="shared" si="450"/>
        <v>0</v>
      </c>
      <c r="Z969" s="59">
        <f t="shared" si="450"/>
        <v>0</v>
      </c>
      <c r="AA969" s="113">
        <f>ROUND(SUM(G969:Z969),2)</f>
        <v>983266245.60000002</v>
      </c>
      <c r="AB969" s="114" t="str">
        <f>IF(ABS(F969-AA969)&lt;0.01,"ok","err")</f>
        <v>ok</v>
      </c>
    </row>
    <row r="970" spans="1:28" s="112" customFormat="1" ht="14.25" customHeight="1">
      <c r="A970" s="39"/>
      <c r="B970" s="39"/>
      <c r="C970" s="39"/>
      <c r="D970" s="39"/>
      <c r="E970" s="3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113"/>
      <c r="Y970" s="113"/>
      <c r="Z970" s="113"/>
      <c r="AA970" s="113"/>
      <c r="AB970" s="114"/>
    </row>
    <row r="971" spans="1:28" s="112" customFormat="1" ht="14.25" customHeight="1">
      <c r="A971" s="39" t="s">
        <v>136</v>
      </c>
      <c r="B971" s="39"/>
      <c r="C971" s="39"/>
      <c r="D971" s="39"/>
      <c r="E971" s="3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113"/>
      <c r="Y971" s="113"/>
      <c r="Z971" s="113"/>
      <c r="AA971" s="113"/>
      <c r="AB971" s="114"/>
    </row>
    <row r="972" spans="1:28" s="112" customFormat="1" ht="14.25" customHeight="1">
      <c r="A972" s="214" t="s">
        <v>1386</v>
      </c>
      <c r="B972" s="214"/>
      <c r="C972" s="214"/>
      <c r="D972" s="214"/>
      <c r="E972" s="214"/>
      <c r="F972" s="215">
        <v>61774461.75515563</v>
      </c>
      <c r="G972" s="215">
        <v>29822151.915727921</v>
      </c>
      <c r="H972" s="215">
        <v>6586328.6663969103</v>
      </c>
      <c r="I972" s="215">
        <v>779088.55520664575</v>
      </c>
      <c r="J972" s="215">
        <v>8789450.1357627194</v>
      </c>
      <c r="K972" s="215">
        <v>8073827.5413145572</v>
      </c>
      <c r="L972" s="215">
        <v>2581694.7801426025</v>
      </c>
      <c r="M972" s="215"/>
      <c r="N972" s="215"/>
      <c r="O972" s="215"/>
      <c r="P972" s="215">
        <v>2819888.509543932</v>
      </c>
      <c r="Q972" s="215">
        <v>1182347.9825533053</v>
      </c>
      <c r="R972" s="215">
        <v>281248.48280123097</v>
      </c>
      <c r="S972" s="215">
        <v>831405.467952254</v>
      </c>
      <c r="T972" s="215">
        <v>11754.621234398848</v>
      </c>
      <c r="U972" s="215">
        <v>15275.096519155035</v>
      </c>
      <c r="V972" s="57"/>
      <c r="W972" s="57"/>
      <c r="X972" s="115"/>
      <c r="Y972" s="115"/>
      <c r="Z972" s="115"/>
      <c r="AA972" s="113">
        <f>SUM(G972:Z972)</f>
        <v>61774461.755155638</v>
      </c>
      <c r="AB972" s="114" t="str">
        <f>IF(ABS(F972-AA972)&lt;0.01,"ok","err")</f>
        <v>ok</v>
      </c>
    </row>
    <row r="973" spans="1:28" s="112" customFormat="1" ht="14.25" customHeight="1">
      <c r="A973" s="214" t="s">
        <v>994</v>
      </c>
      <c r="B973" s="214"/>
      <c r="C973" s="214"/>
      <c r="D973" s="214"/>
      <c r="E973" s="214" t="s">
        <v>197</v>
      </c>
      <c r="F973" s="215">
        <f>F901</f>
        <v>294670</v>
      </c>
      <c r="G973" s="215">
        <f t="shared" ref="G973:U973" si="451">G901</f>
        <v>210054.57082464657</v>
      </c>
      <c r="H973" s="215">
        <f t="shared" si="451"/>
        <v>35973.08223326732</v>
      </c>
      <c r="I973" s="215">
        <f t="shared" si="451"/>
        <v>1351.9026495245039</v>
      </c>
      <c r="J973" s="215">
        <f t="shared" si="451"/>
        <v>22967.982544663217</v>
      </c>
      <c r="K973" s="215">
        <f t="shared" si="451"/>
        <v>12496.575148701686</v>
      </c>
      <c r="L973" s="215">
        <f t="shared" si="451"/>
        <v>5442.8225958484109</v>
      </c>
      <c r="M973" s="215">
        <f t="shared" si="451"/>
        <v>0</v>
      </c>
      <c r="N973" s="215">
        <f t="shared" si="451"/>
        <v>0</v>
      </c>
      <c r="O973" s="215">
        <f>O901</f>
        <v>0</v>
      </c>
      <c r="P973" s="215">
        <f t="shared" si="451"/>
        <v>0</v>
      </c>
      <c r="Q973" s="215">
        <f t="shared" si="451"/>
        <v>1747.7022247017342</v>
      </c>
      <c r="R973" s="215">
        <f t="shared" si="451"/>
        <v>395.00883974201946</v>
      </c>
      <c r="S973" s="215">
        <f t="shared" si="451"/>
        <v>4118.6995868540798</v>
      </c>
      <c r="T973" s="215">
        <f t="shared" si="451"/>
        <v>47.185166591018728</v>
      </c>
      <c r="U973" s="215">
        <f t="shared" si="451"/>
        <v>74.468185459429378</v>
      </c>
      <c r="V973" s="57">
        <f>IF(VLOOKUP($E973,$D$6:$AN$1197,3,)=0,0,(VLOOKUP($E973,$D$6:$AN$1197,V$2,)/VLOOKUP($E973,$D$6:$AN$1197,3,))*$F973)</f>
        <v>0</v>
      </c>
      <c r="W973" s="57">
        <f>IF(VLOOKUP($E973,$D$6:$AN$1197,3,)=0,0,(VLOOKUP($E973,$D$6:$AN$1197,W$2,)/VLOOKUP($E973,$D$6:$AN$1197,3,))*$F973)</f>
        <v>0</v>
      </c>
      <c r="X973" s="117">
        <f>IF(VLOOKUP($E973,$D$6:$AN$1197,3,)=0,0,(VLOOKUP($E973,$D$6:$AN$1197,X$2,)/VLOOKUP($E973,$D$6:$AN$1197,3,))*$F973)</f>
        <v>0</v>
      </c>
      <c r="Y973" s="117">
        <f>IF(VLOOKUP($E973,$D$6:$AN$1197,3,)=0,0,(VLOOKUP($E973,$D$6:$AN$1197,Y$2,)/VLOOKUP($E973,$D$6:$AN$1197,3,))*$F973)</f>
        <v>0</v>
      </c>
      <c r="Z973" s="117">
        <f>IF(VLOOKUP($E973,$D$6:$AN$1197,3,)=0,0,(VLOOKUP($E973,$D$6:$AN$1197,Z$2,)/VLOOKUP($E973,$D$6:$AN$1197,3,))*$F973)</f>
        <v>0</v>
      </c>
      <c r="AA973" s="113">
        <f>SUM(G973:Z973)</f>
        <v>294670.00000000006</v>
      </c>
      <c r="AB973" s="114" t="str">
        <f>IF(ABS(F973-AA973)&lt;0.01,"ok","err")</f>
        <v>ok</v>
      </c>
    </row>
    <row r="974" spans="1:28" s="112" customFormat="1" ht="14.2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</row>
    <row r="975" spans="1:28" s="112" customFormat="1" ht="14.25" customHeight="1">
      <c r="A975" s="39" t="s">
        <v>137</v>
      </c>
      <c r="B975" s="39"/>
      <c r="C975" s="39"/>
      <c r="D975" s="39"/>
      <c r="E975" s="39"/>
      <c r="F975" s="59">
        <f>SUM(F969:F973)</f>
        <v>1045335377.3551557</v>
      </c>
      <c r="G975" s="59">
        <f t="shared" ref="G975:P975" si="452">SUM(G969:G973)</f>
        <v>422628496.44887388</v>
      </c>
      <c r="H975" s="59">
        <f t="shared" si="452"/>
        <v>150044929.21388054</v>
      </c>
      <c r="I975" s="59">
        <f t="shared" si="452"/>
        <v>19252544.13721988</v>
      </c>
      <c r="J975" s="59">
        <f t="shared" si="452"/>
        <v>200232976.38792148</v>
      </c>
      <c r="K975" s="59">
        <f t="shared" si="452"/>
        <v>132965218.07108544</v>
      </c>
      <c r="L975" s="59">
        <f t="shared" si="452"/>
        <v>46954705.023070417</v>
      </c>
      <c r="M975" s="59">
        <f t="shared" si="452"/>
        <v>0</v>
      </c>
      <c r="N975" s="59">
        <f t="shared" si="452"/>
        <v>0</v>
      </c>
      <c r="O975" s="59">
        <f>SUM(O969:O973)</f>
        <v>0</v>
      </c>
      <c r="P975" s="59">
        <f t="shared" si="452"/>
        <v>35266016.621872075</v>
      </c>
      <c r="Q975" s="59">
        <f>SUM(Q969:Q973)</f>
        <v>14654555.520252485</v>
      </c>
      <c r="R975" s="59">
        <f t="shared" ref="R975:Z975" si="453">SUM(R969:R973)</f>
        <v>3736080.7422667458</v>
      </c>
      <c r="S975" s="59">
        <f t="shared" si="453"/>
        <v>19052620.014277086</v>
      </c>
      <c r="T975" s="59">
        <f t="shared" si="453"/>
        <v>251787.04203229831</v>
      </c>
      <c r="U975" s="59">
        <f t="shared" si="453"/>
        <v>295448.13240328431</v>
      </c>
      <c r="V975" s="59">
        <f t="shared" si="453"/>
        <v>0</v>
      </c>
      <c r="W975" s="59">
        <f t="shared" si="453"/>
        <v>0</v>
      </c>
      <c r="X975" s="113">
        <f t="shared" si="453"/>
        <v>0</v>
      </c>
      <c r="Y975" s="113">
        <f t="shared" si="453"/>
        <v>0</v>
      </c>
      <c r="Z975" s="113">
        <f t="shared" si="453"/>
        <v>0</v>
      </c>
      <c r="AA975" s="113">
        <f>ROUND(SUM(G975:Z975),2)</f>
        <v>1045335377.36</v>
      </c>
      <c r="AB975" s="114" t="str">
        <f>IF(ABS(F975-AA975)&lt;0.01,"ok","err")</f>
        <v>ok</v>
      </c>
    </row>
    <row r="976" spans="1:28" s="112" customFormat="1" ht="14.2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</row>
    <row r="977" spans="1:28" s="112" customFormat="1" ht="14.2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</row>
    <row r="978" spans="1:28" s="112" customFormat="1" ht="15" customHeight="1">
      <c r="A978" s="44" t="s">
        <v>1222</v>
      </c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</row>
    <row r="979" spans="1:28" s="112" customFormat="1" ht="14.2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</row>
    <row r="980" spans="1:28" s="112" customFormat="1" ht="14.25" customHeight="1">
      <c r="A980" s="39" t="s">
        <v>1225</v>
      </c>
      <c r="B980" s="39"/>
      <c r="C980" s="39"/>
      <c r="D980" s="39"/>
      <c r="E980" s="39"/>
      <c r="F980" s="59">
        <f>F908</f>
        <v>925658736.29469991</v>
      </c>
      <c r="G980" s="59">
        <f t="shared" ref="G980:Z980" si="454">G908</f>
        <v>385279883.24160051</v>
      </c>
      <c r="H980" s="59">
        <f t="shared" si="454"/>
        <v>126785867.67566366</v>
      </c>
      <c r="I980" s="59">
        <f t="shared" si="454"/>
        <v>16521677.422569763</v>
      </c>
      <c r="J980" s="59">
        <f t="shared" si="454"/>
        <v>171771247.86379614</v>
      </c>
      <c r="K980" s="59">
        <f t="shared" si="454"/>
        <v>121387128.51528923</v>
      </c>
      <c r="L980" s="59">
        <f t="shared" si="454"/>
        <v>40661128.72345566</v>
      </c>
      <c r="M980" s="59">
        <f t="shared" si="454"/>
        <v>0</v>
      </c>
      <c r="N980" s="59">
        <f t="shared" si="454"/>
        <v>0</v>
      </c>
      <c r="O980" s="59">
        <f>O908</f>
        <v>0</v>
      </c>
      <c r="P980" s="59">
        <f t="shared" si="454"/>
        <v>31693605.413913466</v>
      </c>
      <c r="Q980" s="59">
        <f t="shared" si="454"/>
        <v>14158428.006084574</v>
      </c>
      <c r="R980" s="59">
        <f t="shared" si="454"/>
        <v>3519047.8016845067</v>
      </c>
      <c r="S980" s="59">
        <f t="shared" si="454"/>
        <v>13405712.886764038</v>
      </c>
      <c r="T980" s="59">
        <f t="shared" si="454"/>
        <v>222347.46651349906</v>
      </c>
      <c r="U980" s="59">
        <f t="shared" si="454"/>
        <v>252661.27736480895</v>
      </c>
      <c r="V980" s="59">
        <f t="shared" si="454"/>
        <v>0</v>
      </c>
      <c r="W980" s="59">
        <f t="shared" si="454"/>
        <v>0</v>
      </c>
      <c r="X980" s="59">
        <f t="shared" si="454"/>
        <v>0</v>
      </c>
      <c r="Y980" s="59">
        <f t="shared" si="454"/>
        <v>0</v>
      </c>
      <c r="Z980" s="59">
        <f t="shared" si="454"/>
        <v>0</v>
      </c>
      <c r="AA980" s="113">
        <f>ROUND(SUM(G980:Z980),2)</f>
        <v>925658736.28999996</v>
      </c>
      <c r="AB980" s="114" t="str">
        <f>IF(ABS(F980-AA980)&lt;0.01,"ok","err")</f>
        <v>ok</v>
      </c>
    </row>
    <row r="981" spans="1:28" s="112" customFormat="1" ht="14.2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</row>
    <row r="982" spans="1:28" s="112" customFormat="1" ht="14.25" customHeight="1">
      <c r="A982" s="39" t="s">
        <v>770</v>
      </c>
      <c r="B982" s="39"/>
      <c r="C982" s="39"/>
      <c r="D982" s="39"/>
      <c r="E982" s="39"/>
      <c r="F982" s="86">
        <f>F910</f>
        <v>-58640127</v>
      </c>
      <c r="G982" s="86">
        <f t="shared" ref="G982:Z982" si="455">G910</f>
        <v>-25487933.032452017</v>
      </c>
      <c r="H982" s="86">
        <f t="shared" si="455"/>
        <v>-8711563.1637249533</v>
      </c>
      <c r="I982" s="86">
        <f t="shared" si="455"/>
        <v>-1177411.1837127625</v>
      </c>
      <c r="J982" s="86">
        <f t="shared" si="455"/>
        <v>-11123163.814310623</v>
      </c>
      <c r="K982" s="86">
        <f t="shared" si="455"/>
        <v>-7421972.2854512287</v>
      </c>
      <c r="L982" s="86">
        <f t="shared" si="455"/>
        <v>-1462462.7016684781</v>
      </c>
      <c r="M982" s="86">
        <f t="shared" si="455"/>
        <v>0</v>
      </c>
      <c r="N982" s="86">
        <f t="shared" si="455"/>
        <v>0</v>
      </c>
      <c r="O982" s="86">
        <f>O910</f>
        <v>0</v>
      </c>
      <c r="P982" s="86">
        <f t="shared" si="455"/>
        <v>-2002114.3831486341</v>
      </c>
      <c r="Q982" s="86">
        <f t="shared" si="455"/>
        <v>-840465.48332966527</v>
      </c>
      <c r="R982" s="86">
        <f t="shared" si="455"/>
        <v>-139056.43969970811</v>
      </c>
      <c r="S982" s="86">
        <f t="shared" si="455"/>
        <v>-249542.83497443426</v>
      </c>
      <c r="T982" s="86">
        <f t="shared" si="455"/>
        <v>-13822.229986108781</v>
      </c>
      <c r="U982" s="86">
        <f t="shared" si="455"/>
        <v>-10619.447541383872</v>
      </c>
      <c r="V982" s="86">
        <f t="shared" si="455"/>
        <v>0</v>
      </c>
      <c r="W982" s="118">
        <f t="shared" si="455"/>
        <v>0</v>
      </c>
      <c r="X982" s="118">
        <f t="shared" si="455"/>
        <v>0</v>
      </c>
      <c r="Y982" s="118">
        <f t="shared" si="455"/>
        <v>0</v>
      </c>
      <c r="Z982" s="118">
        <f t="shared" si="455"/>
        <v>0</v>
      </c>
      <c r="AA982" s="113">
        <f>ROUND(SUM(G982:Z982),2)</f>
        <v>-58640127</v>
      </c>
      <c r="AB982" s="114" t="str">
        <f>IF(ABS(F982-AA982)&lt;0.01,"ok","err")</f>
        <v>ok</v>
      </c>
    </row>
    <row r="983" spans="1:28" s="112" customFormat="1" ht="14.25" customHeight="1">
      <c r="A983" s="39"/>
      <c r="B983" s="39"/>
      <c r="C983" s="39"/>
      <c r="D983" s="39"/>
      <c r="E983" s="39"/>
      <c r="F983" s="86"/>
      <c r="G983" s="86"/>
      <c r="H983" s="86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118"/>
      <c r="Y983" s="118"/>
      <c r="Z983" s="118"/>
      <c r="AA983" s="113"/>
      <c r="AB983" s="114"/>
    </row>
    <row r="984" spans="1:28" s="112" customFormat="1" ht="14.25" customHeight="1">
      <c r="A984" s="39" t="s">
        <v>771</v>
      </c>
      <c r="B984" s="39"/>
      <c r="C984" s="39"/>
      <c r="D984" s="39"/>
      <c r="E984" s="39"/>
      <c r="F984" s="86">
        <f t="shared" ref="F984:U984" si="456">(F972+F973)*$E$943</f>
        <v>23193620.739476025</v>
      </c>
      <c r="G984" s="86">
        <f t="shared" si="456"/>
        <v>11222254.726656044</v>
      </c>
      <c r="H984" s="86">
        <f t="shared" si="456"/>
        <v>2474581.9836176331</v>
      </c>
      <c r="I984" s="86">
        <f t="shared" si="456"/>
        <v>291630.30764894659</v>
      </c>
      <c r="J984" s="86">
        <f t="shared" si="456"/>
        <v>3292971.5279403925</v>
      </c>
      <c r="K984" s="86">
        <f t="shared" si="456"/>
        <v>3021649.0778952916</v>
      </c>
      <c r="L984" s="86">
        <f t="shared" si="456"/>
        <v>966746.05656568788</v>
      </c>
      <c r="M984" s="86">
        <f t="shared" si="456"/>
        <v>0</v>
      </c>
      <c r="N984" s="86">
        <f t="shared" si="456"/>
        <v>0</v>
      </c>
      <c r="O984" s="86">
        <f t="shared" si="456"/>
        <v>0</v>
      </c>
      <c r="P984" s="86">
        <f t="shared" si="456"/>
        <v>1053719.0189153193</v>
      </c>
      <c r="Q984" s="86">
        <f t="shared" si="456"/>
        <v>442465.77091373701</v>
      </c>
      <c r="R984" s="86">
        <f t="shared" si="456"/>
        <v>105242.85009544896</v>
      </c>
      <c r="S984" s="86">
        <f t="shared" si="456"/>
        <v>312213.65778100869</v>
      </c>
      <c r="T984" s="86">
        <f t="shared" si="456"/>
        <v>4410.0282050834876</v>
      </c>
      <c r="U984" s="86">
        <f t="shared" si="456"/>
        <v>5735.7332414321054</v>
      </c>
      <c r="V984" s="86">
        <f>(V972+V973)*0.407634</f>
        <v>0</v>
      </c>
      <c r="W984" s="86">
        <f>(W972+W973)*0.407634</f>
        <v>0</v>
      </c>
      <c r="X984" s="118">
        <f>(X972+X973)*0.407634</f>
        <v>0</v>
      </c>
      <c r="Y984" s="118">
        <f>(Y972+Y973)*0.407634</f>
        <v>0</v>
      </c>
      <c r="Z984" s="118">
        <f>(Z972+Z973)*0.407634</f>
        <v>0</v>
      </c>
      <c r="AA984" s="113">
        <f>ROUND(SUM(G984:Z984),2)</f>
        <v>23193620.739999998</v>
      </c>
      <c r="AB984" s="114" t="str">
        <f>IF(ABS(F984-AA984)&lt;0.01,"ok","err")</f>
        <v>ok</v>
      </c>
    </row>
    <row r="985" spans="1:28" s="112" customFormat="1" ht="14.25" customHeight="1">
      <c r="A985" s="45"/>
      <c r="B985" s="39"/>
      <c r="C985" s="39"/>
      <c r="D985" s="39"/>
      <c r="E985" s="39"/>
      <c r="F985" s="58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115"/>
      <c r="Y985" s="115"/>
      <c r="Z985" s="115"/>
      <c r="AA985" s="113"/>
      <c r="AB985" s="114"/>
    </row>
    <row r="986" spans="1:28" s="112" customFormat="1" ht="14.25" customHeight="1">
      <c r="A986" s="39" t="s">
        <v>138</v>
      </c>
      <c r="B986" s="39"/>
      <c r="C986" s="39"/>
      <c r="D986" s="39"/>
      <c r="E986" s="39"/>
      <c r="F986" s="59">
        <f t="shared" ref="F986:Z986" si="457">SUM(F980:F985)</f>
        <v>890212230.03417587</v>
      </c>
      <c r="G986" s="59">
        <f t="shared" si="457"/>
        <v>371014204.93580455</v>
      </c>
      <c r="H986" s="59">
        <f t="shared" si="457"/>
        <v>120548886.49555634</v>
      </c>
      <c r="I986" s="59">
        <f t="shared" si="457"/>
        <v>15635896.546505949</v>
      </c>
      <c r="J986" s="59">
        <f t="shared" si="457"/>
        <v>163941055.57742593</v>
      </c>
      <c r="K986" s="59">
        <f t="shared" si="457"/>
        <v>116986805.3077333</v>
      </c>
      <c r="L986" s="59">
        <f t="shared" si="457"/>
        <v>40165412.078352869</v>
      </c>
      <c r="M986" s="59">
        <f t="shared" si="457"/>
        <v>0</v>
      </c>
      <c r="N986" s="59">
        <f t="shared" si="457"/>
        <v>0</v>
      </c>
      <c r="O986" s="59">
        <f>SUM(O980:O985)</f>
        <v>0</v>
      </c>
      <c r="P986" s="59">
        <f t="shared" si="457"/>
        <v>30745210.049680151</v>
      </c>
      <c r="Q986" s="59">
        <f t="shared" si="457"/>
        <v>13760428.293668646</v>
      </c>
      <c r="R986" s="59">
        <f t="shared" si="457"/>
        <v>3485234.2120802477</v>
      </c>
      <c r="S986" s="59">
        <f t="shared" si="457"/>
        <v>13468383.709570613</v>
      </c>
      <c r="T986" s="59">
        <f t="shared" si="457"/>
        <v>212935.26473247376</v>
      </c>
      <c r="U986" s="59">
        <f t="shared" si="457"/>
        <v>247777.56306485718</v>
      </c>
      <c r="V986" s="59">
        <f t="shared" si="457"/>
        <v>0</v>
      </c>
      <c r="W986" s="59">
        <f t="shared" si="457"/>
        <v>0</v>
      </c>
      <c r="X986" s="113">
        <f t="shared" si="457"/>
        <v>0</v>
      </c>
      <c r="Y986" s="113">
        <f t="shared" si="457"/>
        <v>0</v>
      </c>
      <c r="Z986" s="113">
        <f t="shared" si="457"/>
        <v>0</v>
      </c>
      <c r="AA986" s="113">
        <f>ROUND(SUM(G986:Z986),2)</f>
        <v>890212230.02999997</v>
      </c>
      <c r="AB986" s="114" t="str">
        <f>IF(ABS(F986-AA986)&lt;0.01,"ok","err")</f>
        <v>ok</v>
      </c>
    </row>
    <row r="987" spans="1:28" s="112" customFormat="1" ht="14.2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</row>
    <row r="988" spans="1:28" s="112" customFormat="1" ht="14.2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</row>
    <row r="989" spans="1:28" s="112" customFormat="1" ht="15" customHeight="1">
      <c r="A989" s="44" t="s">
        <v>992</v>
      </c>
      <c r="B989" s="39"/>
      <c r="C989" s="39"/>
      <c r="D989" s="39"/>
      <c r="E989" s="39"/>
      <c r="F989" s="59">
        <f t="shared" ref="F989:Z989" si="458">F975-F986</f>
        <v>155123147.32097983</v>
      </c>
      <c r="G989" s="59">
        <f>G975-G986</f>
        <v>51614291.513069332</v>
      </c>
      <c r="H989" s="59">
        <f t="shared" si="458"/>
        <v>29496042.718324199</v>
      </c>
      <c r="I989" s="59">
        <f t="shared" si="458"/>
        <v>3616647.5907139312</v>
      </c>
      <c r="J989" s="59">
        <f t="shared" si="458"/>
        <v>36291920.810495555</v>
      </c>
      <c r="K989" s="59">
        <f t="shared" si="458"/>
        <v>15978412.763352141</v>
      </c>
      <c r="L989" s="59">
        <f t="shared" si="458"/>
        <v>6789292.9447175488</v>
      </c>
      <c r="M989" s="59">
        <f t="shared" si="458"/>
        <v>0</v>
      </c>
      <c r="N989" s="59">
        <f t="shared" si="458"/>
        <v>0</v>
      </c>
      <c r="O989" s="59">
        <f>O975-O986</f>
        <v>0</v>
      </c>
      <c r="P989" s="59">
        <f t="shared" si="458"/>
        <v>4520806.5721919239</v>
      </c>
      <c r="Q989" s="59">
        <f t="shared" si="458"/>
        <v>894127.22658383846</v>
      </c>
      <c r="R989" s="59">
        <f t="shared" si="458"/>
        <v>250846.53018649807</v>
      </c>
      <c r="S989" s="59">
        <f t="shared" si="458"/>
        <v>5584236.3047064729</v>
      </c>
      <c r="T989" s="59">
        <f t="shared" si="458"/>
        <v>38851.777299824549</v>
      </c>
      <c r="U989" s="59">
        <f t="shared" si="458"/>
        <v>47670.569338427129</v>
      </c>
      <c r="V989" s="59">
        <f t="shared" si="458"/>
        <v>0</v>
      </c>
      <c r="W989" s="59">
        <f t="shared" si="458"/>
        <v>0</v>
      </c>
      <c r="X989" s="113">
        <f t="shared" si="458"/>
        <v>0</v>
      </c>
      <c r="Y989" s="113">
        <f t="shared" si="458"/>
        <v>0</v>
      </c>
      <c r="Z989" s="113">
        <f t="shared" si="458"/>
        <v>0</v>
      </c>
      <c r="AA989" s="113">
        <f>ROUND(SUM(G989:Z989),2)</f>
        <v>155123147.31999999</v>
      </c>
      <c r="AB989" s="114" t="str">
        <f>IF(ABS(F989-AA989)&lt;0.01,"ok","err")</f>
        <v>ok</v>
      </c>
    </row>
    <row r="990" spans="1:28" s="112" customFormat="1" ht="14.2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</row>
    <row r="991" spans="1:28" s="112" customFormat="1" ht="15" customHeight="1">
      <c r="A991" s="44" t="s">
        <v>1208</v>
      </c>
      <c r="B991" s="39"/>
      <c r="C991" s="39"/>
      <c r="D991" s="39"/>
      <c r="E991" s="39"/>
      <c r="F991" s="59">
        <f>F919</f>
        <v>1894443755.0954001</v>
      </c>
      <c r="G991" s="59">
        <f t="shared" ref="G991:Z991" si="459">G919</f>
        <v>919864920.90748382</v>
      </c>
      <c r="H991" s="59">
        <f t="shared" si="459"/>
        <v>246026164.86771092</v>
      </c>
      <c r="I991" s="59">
        <f t="shared" si="459"/>
        <v>25254598.316034239</v>
      </c>
      <c r="J991" s="59">
        <f t="shared" si="459"/>
        <v>291144488.1069302</v>
      </c>
      <c r="K991" s="59">
        <f t="shared" si="459"/>
        <v>196251935.5148834</v>
      </c>
      <c r="L991" s="59">
        <f t="shared" si="459"/>
        <v>72346854.719544739</v>
      </c>
      <c r="M991" s="59">
        <f t="shared" si="459"/>
        <v>0</v>
      </c>
      <c r="N991" s="59">
        <f t="shared" si="459"/>
        <v>0</v>
      </c>
      <c r="O991" s="59">
        <f>O919</f>
        <v>0</v>
      </c>
      <c r="P991" s="59">
        <f t="shared" si="459"/>
        <v>51301441.16227708</v>
      </c>
      <c r="Q991" s="59">
        <f t="shared" si="459"/>
        <v>27402587.590025134</v>
      </c>
      <c r="R991" s="59">
        <f t="shared" si="459"/>
        <v>6115479.8705607615</v>
      </c>
      <c r="S991" s="59">
        <f t="shared" si="459"/>
        <v>58029895.801223755</v>
      </c>
      <c r="T991" s="59">
        <f t="shared" si="459"/>
        <v>253517.80058301476</v>
      </c>
      <c r="U991" s="59">
        <f t="shared" si="459"/>
        <v>451870.43814328534</v>
      </c>
      <c r="V991" s="59">
        <f t="shared" si="459"/>
        <v>0</v>
      </c>
      <c r="W991" s="59">
        <f t="shared" si="459"/>
        <v>0</v>
      </c>
      <c r="X991" s="59">
        <f t="shared" si="459"/>
        <v>0</v>
      </c>
      <c r="Y991" s="59">
        <f t="shared" si="459"/>
        <v>0</v>
      </c>
      <c r="Z991" s="59">
        <f t="shared" si="459"/>
        <v>0</v>
      </c>
      <c r="AA991" s="113">
        <f>ROUND(SUM(G991:Z991),2)</f>
        <v>1894443755.0999999</v>
      </c>
      <c r="AB991" s="114" t="str">
        <f>IF(ABS(F991-AA991)&lt;0.01,"ok","err")</f>
        <v>ok</v>
      </c>
    </row>
    <row r="992" spans="1:28" s="112" customFormat="1" ht="15" customHeight="1" thickBo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</row>
    <row r="993" spans="1:28" s="112" customFormat="1" ht="15.75" customHeight="1" thickBot="1">
      <c r="A993" s="107" t="s">
        <v>1226</v>
      </c>
      <c r="B993" s="108"/>
      <c r="C993" s="108"/>
      <c r="D993" s="108"/>
      <c r="E993" s="108"/>
      <c r="F993" s="109">
        <f t="shared" ref="F993:P993" si="460">F989/F991</f>
        <v>8.1883216064743067E-2</v>
      </c>
      <c r="G993" s="109">
        <f>G989/G991</f>
        <v>5.6110729238538361E-2</v>
      </c>
      <c r="H993" s="109">
        <f t="shared" si="460"/>
        <v>0.11988986104052925</v>
      </c>
      <c r="I993" s="109">
        <f t="shared" si="460"/>
        <v>0.14320748821483761</v>
      </c>
      <c r="J993" s="109">
        <f t="shared" si="460"/>
        <v>0.12465261165159489</v>
      </c>
      <c r="K993" s="109">
        <f t="shared" si="460"/>
        <v>8.1417860778959641E-2</v>
      </c>
      <c r="L993" s="109">
        <f t="shared" si="460"/>
        <v>9.3843650439766793E-2</v>
      </c>
      <c r="M993" s="109" t="e">
        <f t="shared" si="460"/>
        <v>#DIV/0!</v>
      </c>
      <c r="N993" s="109" t="e">
        <f t="shared" si="460"/>
        <v>#DIV/0!</v>
      </c>
      <c r="O993" s="109" t="e">
        <f>O989/O991</f>
        <v>#DIV/0!</v>
      </c>
      <c r="P993" s="109">
        <f t="shared" si="460"/>
        <v>8.8122408840166436E-2</v>
      </c>
      <c r="Q993" s="109">
        <f>Q989/Q991</f>
        <v>3.262929909981608E-2</v>
      </c>
      <c r="R993" s="109">
        <f t="shared" ref="R993:Z993" si="461">R989/R991</f>
        <v>4.1018290550516784E-2</v>
      </c>
      <c r="S993" s="109">
        <f t="shared" si="461"/>
        <v>9.6230334857652991E-2</v>
      </c>
      <c r="T993" s="109">
        <f t="shared" si="461"/>
        <v>0.15325068776424036</v>
      </c>
      <c r="U993" s="109">
        <f t="shared" si="461"/>
        <v>0.10549610090516938</v>
      </c>
      <c r="V993" s="109" t="e">
        <f t="shared" si="461"/>
        <v>#DIV/0!</v>
      </c>
      <c r="W993" s="109" t="e">
        <f t="shared" si="461"/>
        <v>#DIV/0!</v>
      </c>
      <c r="X993" s="119" t="e">
        <f t="shared" si="461"/>
        <v>#DIV/0!</v>
      </c>
      <c r="Y993" s="119" t="e">
        <f t="shared" si="461"/>
        <v>#DIV/0!</v>
      </c>
      <c r="Z993" s="119" t="e">
        <f t="shared" si="461"/>
        <v>#DIV/0!</v>
      </c>
      <c r="AA993" s="120"/>
      <c r="AB993" s="120"/>
    </row>
    <row r="994" spans="1:28" s="298" customFormat="1" ht="14.25" customHeight="1">
      <c r="A994" s="300" t="s">
        <v>1522</v>
      </c>
      <c r="S994" s="299">
        <f>SUM(S980:U980)/SUM(S991:U991)</f>
        <v>0.23632679840623702</v>
      </c>
    </row>
    <row r="995" spans="1:28" s="39" customFormat="1" ht="14.25" customHeight="1">
      <c r="A995" s="315"/>
      <c r="S995" s="110"/>
    </row>
    <row r="996" spans="1:28" s="39" customFormat="1" ht="15" customHeight="1">
      <c r="A996" s="44" t="s">
        <v>1371</v>
      </c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</row>
    <row r="997" spans="1:28" s="298" customFormat="1" ht="15" customHeight="1">
      <c r="A997" s="297" t="s">
        <v>1514</v>
      </c>
      <c r="G997" s="299"/>
      <c r="H997" s="299"/>
      <c r="I997" s="299"/>
      <c r="J997" s="299"/>
      <c r="K997" s="299"/>
      <c r="L997" s="299"/>
      <c r="M997" s="299"/>
      <c r="N997" s="299"/>
      <c r="O997" s="299"/>
      <c r="P997" s="299"/>
      <c r="Q997" s="299"/>
      <c r="R997" s="299"/>
      <c r="S997" s="299"/>
      <c r="T997" s="299"/>
      <c r="U997" s="299"/>
    </row>
    <row r="998" spans="1:28" s="298" customFormat="1" ht="15" customHeight="1">
      <c r="A998" s="297"/>
      <c r="D998" s="302" t="s">
        <v>1510</v>
      </c>
      <c r="E998" s="299">
        <v>4.2999999999999997E-2</v>
      </c>
      <c r="F998" s="299"/>
    </row>
    <row r="999" spans="1:28" s="298" customFormat="1" ht="14.25" customHeight="1">
      <c r="D999" s="302" t="s">
        <v>1517</v>
      </c>
      <c r="E999" s="303">
        <v>0.1249</v>
      </c>
      <c r="F999" s="303">
        <f>F993+E998</f>
        <v>0.12488321606474306</v>
      </c>
      <c r="G999" s="304">
        <f t="shared" ref="G999:L999" si="462">IF(G$993&gt;$E999,(($E$999*G$991-G$989)/(1-$E$943)-SUM(G$973:G$974)),0)</f>
        <v>0</v>
      </c>
      <c r="H999" s="304">
        <f t="shared" si="462"/>
        <v>0</v>
      </c>
      <c r="I999" s="304">
        <f t="shared" si="462"/>
        <v>-739542.97413826163</v>
      </c>
      <c r="J999" s="304">
        <f t="shared" si="462"/>
        <v>0</v>
      </c>
      <c r="K999" s="304">
        <f t="shared" si="462"/>
        <v>0</v>
      </c>
      <c r="L999" s="304">
        <f t="shared" si="462"/>
        <v>0</v>
      </c>
      <c r="M999" s="304"/>
      <c r="N999" s="304"/>
      <c r="O999" s="304"/>
      <c r="P999" s="304">
        <f>IF(P$993&gt;$E999,(($E$999*P$991-P$989)/(1-$E$943)-SUM(P$973:P$974)),0)</f>
        <v>0</v>
      </c>
      <c r="Q999" s="304">
        <f>IF(Q$993&gt;$E999,(($E$999*Q$991-Q$989)/(1-$E$943)-SUM(Q$973:Q$974)),0)</f>
        <v>0</v>
      </c>
      <c r="R999" s="304">
        <v>-54126</v>
      </c>
      <c r="S999" s="304">
        <f>IF(S$993&gt;$E999,(($E$999*S$991-S$989)/(1-$E$943)-SUM(S$973:S$974)),0)</f>
        <v>0</v>
      </c>
      <c r="T999" s="301">
        <v>0</v>
      </c>
      <c r="U999" s="304">
        <f>IF(U$993&gt;$E999,(($E$999*U$991-U$989)/(1-$E$943)-SUM(U$973:U$974)),0)</f>
        <v>0</v>
      </c>
      <c r="AA999" s="305">
        <f>ROUND(SUM(G999:Z999),2)</f>
        <v>-793668.97</v>
      </c>
    </row>
    <row r="1000" spans="1:28" s="298" customFormat="1" ht="14.25" customHeight="1">
      <c r="D1000" s="302" t="s">
        <v>1518</v>
      </c>
      <c r="E1000" s="303">
        <v>0</v>
      </c>
      <c r="F1000" s="303">
        <f>F993-E998</f>
        <v>3.888321606474307E-2</v>
      </c>
      <c r="G1000" s="304">
        <f t="shared" ref="G1000:L1000" si="463">IF(G$993&lt;$E1000,(($E$1000*G$991-G$989)/(1-$E$943)-SUM(G$973:G$974)),0)</f>
        <v>0</v>
      </c>
      <c r="H1000" s="304">
        <f t="shared" si="463"/>
        <v>0</v>
      </c>
      <c r="I1000" s="304">
        <f t="shared" si="463"/>
        <v>0</v>
      </c>
      <c r="J1000" s="304">
        <f t="shared" si="463"/>
        <v>0</v>
      </c>
      <c r="K1000" s="304">
        <f t="shared" si="463"/>
        <v>0</v>
      </c>
      <c r="L1000" s="304">
        <f t="shared" si="463"/>
        <v>0</v>
      </c>
      <c r="M1000" s="304"/>
      <c r="N1000" s="304"/>
      <c r="O1000" s="304"/>
      <c r="P1000" s="304">
        <f t="shared" ref="P1000:U1000" si="464">IF(P$993&lt;$E1000,(($E$1000*P$991-P$989)/(1-$E$943)-SUM(P$973:P$974)),0)</f>
        <v>0</v>
      </c>
      <c r="Q1000" s="304">
        <f t="shared" si="464"/>
        <v>0</v>
      </c>
      <c r="R1000" s="304">
        <f t="shared" si="464"/>
        <v>0</v>
      </c>
      <c r="S1000" s="304">
        <f t="shared" si="464"/>
        <v>0</v>
      </c>
      <c r="T1000" s="301">
        <f t="shared" si="464"/>
        <v>0</v>
      </c>
      <c r="U1000" s="304">
        <f t="shared" si="464"/>
        <v>0</v>
      </c>
      <c r="AA1000" s="305">
        <f>ROUND(SUM(G1000:Z1000),2)</f>
        <v>0</v>
      </c>
    </row>
    <row r="1001" spans="1:28" s="298" customFormat="1" ht="14.25" customHeight="1">
      <c r="E1001" s="303"/>
      <c r="G1001" s="304">
        <f t="shared" ref="G1001:L1001" si="465">IF(SUM(G999:G1000)=0,G1014,0)</f>
        <v>392596289.96232134</v>
      </c>
      <c r="H1001" s="304">
        <f t="shared" si="465"/>
        <v>143422627.46525034</v>
      </c>
      <c r="I1001" s="304">
        <f t="shared" si="465"/>
        <v>0</v>
      </c>
      <c r="J1001" s="304">
        <f t="shared" si="465"/>
        <v>191420558.2696141</v>
      </c>
      <c r="K1001" s="304">
        <f t="shared" si="465"/>
        <v>124878893.95462218</v>
      </c>
      <c r="L1001" s="304">
        <f t="shared" si="465"/>
        <v>44367567.420331962</v>
      </c>
      <c r="M1001" s="304"/>
      <c r="N1001" s="304"/>
      <c r="O1001" s="304"/>
      <c r="P1001" s="304">
        <f t="shared" ref="P1001:U1001" si="466">IF(SUM(P999:P1000)=0,P1014,0)</f>
        <v>32446128.112328146</v>
      </c>
      <c r="Q1001" s="304">
        <f t="shared" si="466"/>
        <v>13470459.835474478</v>
      </c>
      <c r="R1001" s="304">
        <f t="shared" si="466"/>
        <v>0</v>
      </c>
      <c r="S1001" s="304">
        <f t="shared" si="466"/>
        <v>18217095.846737977</v>
      </c>
      <c r="T1001" s="304">
        <f t="shared" si="466"/>
        <v>239985.23563130843</v>
      </c>
      <c r="U1001" s="304">
        <f t="shared" si="466"/>
        <v>280098.56769866985</v>
      </c>
      <c r="AA1001" s="305">
        <f>ROUND(SUM(G1001:Z1001),2)</f>
        <v>961339704.66999996</v>
      </c>
    </row>
    <row r="1002" spans="1:28" s="298" customFormat="1" ht="14.25" customHeight="1">
      <c r="D1002" s="306" t="s">
        <v>1519</v>
      </c>
      <c r="G1002" s="304">
        <f t="shared" ref="G1002:L1002" si="467">(G1001/$AA$1001)*(-($AA$999+$AA$1000))</f>
        <v>324122.15116734128</v>
      </c>
      <c r="H1002" s="304">
        <f t="shared" si="467"/>
        <v>118407.76830715997</v>
      </c>
      <c r="I1002" s="304">
        <f t="shared" si="467"/>
        <v>0</v>
      </c>
      <c r="J1002" s="304">
        <f t="shared" si="467"/>
        <v>158034.20641075142</v>
      </c>
      <c r="K1002" s="304">
        <f t="shared" si="467"/>
        <v>103098.31442333556</v>
      </c>
      <c r="L1002" s="304">
        <f t="shared" si="467"/>
        <v>36629.259526930786</v>
      </c>
      <c r="M1002" s="304"/>
      <c r="N1002" s="304"/>
      <c r="O1002" s="304"/>
      <c r="P1002" s="304">
        <f t="shared" ref="P1002:Z1002" si="468">(P1001/$AA$1001)*(-($AA$999+$AA$1000))</f>
        <v>26787.0815636802</v>
      </c>
      <c r="Q1002" s="304">
        <f t="shared" si="468"/>
        <v>11121.028218341755</v>
      </c>
      <c r="R1002" s="304">
        <f t="shared" si="468"/>
        <v>0</v>
      </c>
      <c r="S1002" s="304">
        <f t="shared" si="468"/>
        <v>15039.786276210174</v>
      </c>
      <c r="T1002" s="304">
        <f t="shared" si="468"/>
        <v>198.12854275491543</v>
      </c>
      <c r="U1002" s="304">
        <f t="shared" si="468"/>
        <v>231.24556350264302</v>
      </c>
      <c r="V1002" s="304">
        <f t="shared" si="468"/>
        <v>0</v>
      </c>
      <c r="W1002" s="304">
        <f t="shared" si="468"/>
        <v>0</v>
      </c>
      <c r="X1002" s="304">
        <f t="shared" si="468"/>
        <v>0</v>
      </c>
      <c r="Y1002" s="304">
        <f t="shared" si="468"/>
        <v>0</v>
      </c>
      <c r="Z1002" s="304">
        <f t="shared" si="468"/>
        <v>0</v>
      </c>
      <c r="AA1002" s="305">
        <f>ROUND(SUM(G1002:Z1002),2)</f>
        <v>793668.97</v>
      </c>
      <c r="AB1002" s="307" t="str">
        <f>IF((AA1002+AA1003)&lt;0.01,"ok","err")</f>
        <v>ok</v>
      </c>
    </row>
    <row r="1003" spans="1:28" s="298" customFormat="1" ht="14.25" customHeight="1">
      <c r="E1003" s="303" t="s">
        <v>1511</v>
      </c>
      <c r="G1003" s="304">
        <f t="shared" ref="G1003:L1003" si="469">G1002+G1000+G999</f>
        <v>324122.15116734128</v>
      </c>
      <c r="H1003" s="304">
        <f t="shared" si="469"/>
        <v>118407.76830715997</v>
      </c>
      <c r="I1003" s="304">
        <f t="shared" si="469"/>
        <v>-739542.97413826163</v>
      </c>
      <c r="J1003" s="304">
        <f t="shared" si="469"/>
        <v>158034.20641075142</v>
      </c>
      <c r="K1003" s="304">
        <f t="shared" si="469"/>
        <v>103098.31442333556</v>
      </c>
      <c r="L1003" s="304">
        <f t="shared" si="469"/>
        <v>36629.259526930786</v>
      </c>
      <c r="M1003" s="304"/>
      <c r="N1003" s="304"/>
      <c r="O1003" s="304"/>
      <c r="P1003" s="304">
        <f t="shared" ref="P1003:U1003" si="470">P1002+P1000+P999</f>
        <v>26787.0815636802</v>
      </c>
      <c r="Q1003" s="304">
        <f t="shared" si="470"/>
        <v>11121.028218341755</v>
      </c>
      <c r="R1003" s="304">
        <f t="shared" si="470"/>
        <v>-54126</v>
      </c>
      <c r="S1003" s="304">
        <f t="shared" si="470"/>
        <v>15039.786276210174</v>
      </c>
      <c r="T1003" s="304">
        <f t="shared" si="470"/>
        <v>198.12854275491543</v>
      </c>
      <c r="U1003" s="304">
        <f t="shared" si="470"/>
        <v>231.24556350264302</v>
      </c>
      <c r="V1003" s="304"/>
      <c r="W1003" s="304"/>
      <c r="X1003" s="304"/>
      <c r="Y1003" s="304"/>
      <c r="Z1003" s="304"/>
      <c r="AA1003" s="305">
        <f>AA999+AA1000</f>
        <v>-793668.97</v>
      </c>
      <c r="AB1003" s="307"/>
    </row>
    <row r="1004" spans="1:28" s="308" customFormat="1" ht="15" customHeight="1">
      <c r="E1004" s="309"/>
      <c r="G1004" s="310"/>
      <c r="H1004" s="310"/>
      <c r="I1004" s="310"/>
      <c r="J1004" s="310"/>
      <c r="K1004" s="310"/>
      <c r="L1004" s="310"/>
      <c r="M1004" s="310"/>
      <c r="N1004" s="310"/>
      <c r="O1004" s="310"/>
      <c r="P1004" s="310"/>
      <c r="Q1004" s="310"/>
      <c r="R1004" s="310"/>
      <c r="S1004" s="310"/>
      <c r="T1004" s="310"/>
      <c r="U1004" s="310"/>
    </row>
    <row r="1005" spans="1:28" s="298" customFormat="1" ht="14.25" customHeight="1">
      <c r="E1005" s="311" t="s">
        <v>1516</v>
      </c>
      <c r="F1005" s="305">
        <f>SUM(G1005:U1005)</f>
        <v>61774461.751017384</v>
      </c>
      <c r="G1005" s="312">
        <f t="shared" ref="G1005:U1005" si="471">G1003+G972</f>
        <v>30146274.066895261</v>
      </c>
      <c r="H1005" s="312">
        <f t="shared" si="471"/>
        <v>6704736.43470407</v>
      </c>
      <c r="I1005" s="312">
        <f t="shared" si="471"/>
        <v>39545.581068384112</v>
      </c>
      <c r="J1005" s="312">
        <f t="shared" si="471"/>
        <v>8947484.3421734702</v>
      </c>
      <c r="K1005" s="312">
        <f t="shared" si="471"/>
        <v>8176925.8557378929</v>
      </c>
      <c r="L1005" s="312">
        <f t="shared" si="471"/>
        <v>2618324.0396695333</v>
      </c>
      <c r="M1005" s="312">
        <f t="shared" si="471"/>
        <v>0</v>
      </c>
      <c r="N1005" s="312">
        <f t="shared" si="471"/>
        <v>0</v>
      </c>
      <c r="O1005" s="312">
        <f t="shared" si="471"/>
        <v>0</v>
      </c>
      <c r="P1005" s="312">
        <f t="shared" si="471"/>
        <v>2846675.5911076125</v>
      </c>
      <c r="Q1005" s="312">
        <f t="shared" si="471"/>
        <v>1193469.0107716471</v>
      </c>
      <c r="R1005" s="312">
        <f t="shared" si="471"/>
        <v>227122.48280123097</v>
      </c>
      <c r="S1005" s="312">
        <f t="shared" si="471"/>
        <v>846445.25422846421</v>
      </c>
      <c r="T1005" s="312">
        <f t="shared" si="471"/>
        <v>11952.749777153764</v>
      </c>
      <c r="U1005" s="312">
        <f t="shared" si="471"/>
        <v>15506.342082657678</v>
      </c>
      <c r="V1005" s="312">
        <f>V1003+V900</f>
        <v>0</v>
      </c>
      <c r="W1005" s="312">
        <f>W1003+W900</f>
        <v>0</v>
      </c>
      <c r="X1005" s="312">
        <f>X1003+X900</f>
        <v>0</v>
      </c>
      <c r="Y1005" s="312">
        <f>Y1003+Y900</f>
        <v>0</v>
      </c>
      <c r="Z1005" s="312">
        <f>Z1003+Z900</f>
        <v>0</v>
      </c>
      <c r="AA1005" s="305">
        <f>ROUND(SUM(G1005:Z1005),2)</f>
        <v>61774461.75</v>
      </c>
      <c r="AB1005" s="307" t="str">
        <f>IF((AA1005-F972)&lt;0.01,"ok","err")</f>
        <v>ok</v>
      </c>
    </row>
    <row r="1006" spans="1:28" s="298" customFormat="1" ht="14.25" customHeight="1">
      <c r="F1006" s="311"/>
      <c r="G1006" s="311"/>
      <c r="H1006" s="312"/>
      <c r="I1006" s="313">
        <f>I1005/I1014</f>
        <v>2.1408271496745034E-3</v>
      </c>
      <c r="J1006" s="312"/>
      <c r="K1006" s="313">
        <f>K1005/K1014</f>
        <v>6.5478845918583967E-2</v>
      </c>
      <c r="L1006" s="312"/>
      <c r="M1006" s="312"/>
      <c r="N1006" s="312"/>
      <c r="O1006" s="312"/>
      <c r="P1006" s="312"/>
      <c r="Q1006" s="312"/>
      <c r="R1006" s="313">
        <f>R1005/R1014</f>
        <v>6.5748041235974872E-2</v>
      </c>
      <c r="S1006" s="312"/>
      <c r="T1006" s="312"/>
      <c r="U1006" s="312"/>
      <c r="AA1006" s="305"/>
      <c r="AB1006" s="307"/>
    </row>
    <row r="1007" spans="1:28" s="298" customFormat="1" ht="14.25" customHeight="1">
      <c r="E1007" s="298" t="s">
        <v>1520</v>
      </c>
      <c r="F1007" s="314">
        <f>F972</f>
        <v>61774461.75515563</v>
      </c>
      <c r="G1007" s="314">
        <f t="shared" ref="G1007:U1007" si="472">G972</f>
        <v>29822151.915727921</v>
      </c>
      <c r="H1007" s="314">
        <f t="shared" si="472"/>
        <v>6586328.6663969103</v>
      </c>
      <c r="I1007" s="314">
        <f t="shared" si="472"/>
        <v>779088.55520664575</v>
      </c>
      <c r="J1007" s="314">
        <f t="shared" si="472"/>
        <v>8789450.1357627194</v>
      </c>
      <c r="K1007" s="314">
        <f t="shared" si="472"/>
        <v>8073827.5413145572</v>
      </c>
      <c r="L1007" s="314">
        <f t="shared" si="472"/>
        <v>2581694.7801426025</v>
      </c>
      <c r="M1007" s="314">
        <f t="shared" si="472"/>
        <v>0</v>
      </c>
      <c r="N1007" s="314">
        <f t="shared" si="472"/>
        <v>0</v>
      </c>
      <c r="O1007" s="314">
        <f t="shared" si="472"/>
        <v>0</v>
      </c>
      <c r="P1007" s="314">
        <f t="shared" si="472"/>
        <v>2819888.509543932</v>
      </c>
      <c r="Q1007" s="314">
        <f t="shared" si="472"/>
        <v>1182347.9825533053</v>
      </c>
      <c r="R1007" s="314">
        <f>R972</f>
        <v>281248.48280123097</v>
      </c>
      <c r="S1007" s="314">
        <f t="shared" si="472"/>
        <v>831405.467952254</v>
      </c>
      <c r="T1007" s="314">
        <f t="shared" si="472"/>
        <v>11754.621234398848</v>
      </c>
      <c r="U1007" s="314">
        <f t="shared" si="472"/>
        <v>15275.096519155035</v>
      </c>
      <c r="AA1007" s="305"/>
      <c r="AB1007" s="307"/>
    </row>
    <row r="1008" spans="1:28" s="298" customFormat="1" ht="14.25" customHeight="1">
      <c r="E1008" s="302" t="s">
        <v>1521</v>
      </c>
      <c r="F1008" s="314"/>
      <c r="G1008" s="311"/>
      <c r="H1008" s="314"/>
      <c r="I1008" s="314"/>
      <c r="J1008" s="314"/>
      <c r="K1008" s="314"/>
      <c r="L1008" s="314"/>
      <c r="M1008" s="314"/>
      <c r="N1008" s="314"/>
      <c r="O1008" s="314"/>
      <c r="P1008" s="314"/>
      <c r="Q1008" s="314"/>
      <c r="R1008" s="305">
        <f>R1009-R972</f>
        <v>-55055.918332089175</v>
      </c>
      <c r="S1008" s="314"/>
      <c r="T1008" s="314"/>
      <c r="U1008" s="314"/>
      <c r="AA1008" s="305"/>
      <c r="AB1008" s="307"/>
    </row>
    <row r="1009" spans="1:36" s="298" customFormat="1" ht="14.25" customHeight="1">
      <c r="F1009" s="314"/>
      <c r="G1009" s="314"/>
      <c r="H1009" s="314"/>
      <c r="I1009" s="314"/>
      <c r="J1009" s="314"/>
      <c r="K1009" s="314"/>
      <c r="L1009" s="314"/>
      <c r="M1009" s="314"/>
      <c r="N1009" s="314"/>
      <c r="O1009" s="314"/>
      <c r="P1009" s="314"/>
      <c r="Q1009" s="314"/>
      <c r="R1009" s="305">
        <f>K1006*R1014</f>
        <v>226192.5644691418</v>
      </c>
      <c r="S1009" s="314"/>
      <c r="T1009" s="314"/>
      <c r="U1009" s="314"/>
      <c r="AA1009" s="305"/>
      <c r="AB1009" s="307"/>
    </row>
    <row r="1010" spans="1:36" s="39" customFormat="1" ht="14.25" customHeight="1">
      <c r="A1010" s="44" t="s">
        <v>1371</v>
      </c>
      <c r="F1010" s="296"/>
      <c r="G1010" s="296"/>
      <c r="H1010" s="296"/>
      <c r="I1010" s="296"/>
      <c r="J1010" s="296"/>
      <c r="K1010" s="296"/>
      <c r="L1010" s="296"/>
      <c r="M1010" s="296"/>
      <c r="N1010" s="296"/>
      <c r="O1010" s="296"/>
      <c r="P1010" s="296"/>
      <c r="Q1010" s="296"/>
      <c r="R1010" s="59"/>
      <c r="S1010" s="296"/>
      <c r="T1010" s="296"/>
      <c r="U1010" s="296"/>
      <c r="AA1010" s="59"/>
      <c r="AB1010" s="68"/>
    </row>
    <row r="1011" spans="1:36" s="39" customFormat="1" ht="14.25" customHeight="1">
      <c r="F1011" s="296"/>
      <c r="G1011" s="296"/>
      <c r="H1011" s="296"/>
      <c r="I1011" s="296"/>
      <c r="J1011" s="296"/>
      <c r="K1011" s="296"/>
      <c r="L1011" s="296"/>
      <c r="M1011" s="296"/>
      <c r="N1011" s="296"/>
      <c r="O1011" s="296"/>
      <c r="P1011" s="296"/>
      <c r="Q1011" s="296"/>
      <c r="R1011" s="59"/>
      <c r="S1011" s="296"/>
      <c r="T1011" s="296"/>
      <c r="U1011" s="296"/>
      <c r="AA1011" s="59"/>
      <c r="AB1011" s="68"/>
    </row>
    <row r="1012" spans="1:36" s="39" customFormat="1">
      <c r="A1012" s="44" t="s">
        <v>1218</v>
      </c>
      <c r="AH1012" s="211"/>
      <c r="AI1012" s="211"/>
      <c r="AJ1012" s="211"/>
    </row>
    <row r="1013" spans="1:36" s="39" customFormat="1"/>
    <row r="1014" spans="1:36" s="39" customFormat="1">
      <c r="A1014" s="39" t="s">
        <v>1</v>
      </c>
      <c r="F1014" s="59">
        <f>F969</f>
        <v>983266245.60000002</v>
      </c>
      <c r="G1014" s="59">
        <f t="shared" ref="G1014:U1014" si="473">G969</f>
        <v>392596289.96232134</v>
      </c>
      <c r="H1014" s="59">
        <f t="shared" si="473"/>
        <v>143422627.46525034</v>
      </c>
      <c r="I1014" s="59">
        <f t="shared" si="473"/>
        <v>18472103.679363709</v>
      </c>
      <c r="J1014" s="59">
        <f t="shared" si="473"/>
        <v>191420558.2696141</v>
      </c>
      <c r="K1014" s="59">
        <f t="shared" si="473"/>
        <v>124878893.95462218</v>
      </c>
      <c r="L1014" s="59">
        <f t="shared" si="473"/>
        <v>44367567.420331962</v>
      </c>
      <c r="M1014" s="59">
        <f t="shared" si="473"/>
        <v>0</v>
      </c>
      <c r="N1014" s="59">
        <f t="shared" si="473"/>
        <v>0</v>
      </c>
      <c r="O1014" s="59">
        <f t="shared" si="473"/>
        <v>0</v>
      </c>
      <c r="P1014" s="59">
        <f t="shared" si="473"/>
        <v>32446128.112328146</v>
      </c>
      <c r="Q1014" s="59">
        <f t="shared" si="473"/>
        <v>13470459.835474478</v>
      </c>
      <c r="R1014" s="59">
        <f t="shared" si="473"/>
        <v>3454437.2506257729</v>
      </c>
      <c r="S1014" s="59">
        <f t="shared" si="473"/>
        <v>18217095.846737977</v>
      </c>
      <c r="T1014" s="59">
        <f t="shared" si="473"/>
        <v>239985.23563130843</v>
      </c>
      <c r="U1014" s="59">
        <f t="shared" si="473"/>
        <v>280098.56769866985</v>
      </c>
      <c r="V1014" s="59">
        <f>V862</f>
        <v>0</v>
      </c>
      <c r="W1014" s="59">
        <f>W862</f>
        <v>0</v>
      </c>
      <c r="X1014" s="59">
        <f>X862</f>
        <v>0</v>
      </c>
      <c r="Y1014" s="59">
        <f>Y862</f>
        <v>0</v>
      </c>
      <c r="Z1014" s="59">
        <f>Z862</f>
        <v>0</v>
      </c>
      <c r="AA1014" s="59">
        <f>ROUND(SUM(G1014:Z1014),2)</f>
        <v>983266245.60000002</v>
      </c>
      <c r="AB1014" s="68" t="str">
        <f>IF(ABS(F1014-AA1014)&lt;0.01,"ok","err")</f>
        <v>ok</v>
      </c>
      <c r="AH1014" s="57"/>
      <c r="AI1014" s="57"/>
      <c r="AJ1014" s="110"/>
    </row>
    <row r="1015" spans="1:36" s="39" customFormat="1">
      <c r="F1015" s="59"/>
      <c r="G1015" s="59"/>
      <c r="H1015" s="59"/>
      <c r="I1015" s="59"/>
      <c r="J1015" s="59"/>
      <c r="K1015" s="59"/>
      <c r="L1015" s="59"/>
      <c r="M1015" s="59"/>
      <c r="N1015" s="59"/>
      <c r="O1015" s="59"/>
      <c r="P1015" s="59"/>
      <c r="Q1015" s="59"/>
      <c r="R1015" s="59"/>
      <c r="S1015" s="59"/>
      <c r="T1015" s="59"/>
      <c r="U1015" s="59"/>
      <c r="V1015" s="59"/>
      <c r="W1015" s="59"/>
      <c r="X1015" s="59"/>
      <c r="Y1015" s="59"/>
      <c r="Z1015" s="59"/>
      <c r="AA1015" s="59"/>
      <c r="AB1015" s="68"/>
      <c r="AH1015" s="58"/>
      <c r="AI1015" s="58"/>
      <c r="AJ1015" s="110"/>
    </row>
    <row r="1016" spans="1:36" s="39" customFormat="1">
      <c r="A1016" s="39" t="s">
        <v>136</v>
      </c>
      <c r="F1016" s="59"/>
      <c r="G1016" s="59"/>
      <c r="H1016" s="59"/>
      <c r="I1016" s="59"/>
      <c r="J1016" s="59"/>
      <c r="K1016" s="59"/>
      <c r="L1016" s="59"/>
      <c r="M1016" s="59"/>
      <c r="N1016" s="59"/>
      <c r="O1016" s="59"/>
      <c r="P1016" s="59"/>
      <c r="Q1016" s="59"/>
      <c r="R1016" s="59"/>
      <c r="S1016" s="59"/>
      <c r="T1016" s="59"/>
      <c r="U1016" s="59"/>
      <c r="V1016" s="59"/>
      <c r="W1016" s="59"/>
      <c r="X1016" s="59"/>
      <c r="Y1016" s="59"/>
      <c r="Z1016" s="59"/>
      <c r="AA1016" s="59"/>
      <c r="AB1016" s="68"/>
      <c r="AH1016" s="58"/>
      <c r="AI1016" s="58"/>
      <c r="AJ1016" s="110"/>
    </row>
    <row r="1017" spans="1:36" s="39" customFormat="1">
      <c r="A1017" s="39" t="s">
        <v>993</v>
      </c>
      <c r="F1017" s="59">
        <v>61763211.825808592</v>
      </c>
      <c r="G1017" s="57">
        <v>30238063.34040004</v>
      </c>
      <c r="H1017" s="57">
        <v>6743615.1163856834</v>
      </c>
      <c r="I1017" s="57">
        <v>28624</v>
      </c>
      <c r="J1017" s="57">
        <v>8753240.2638120055</v>
      </c>
      <c r="K1017" s="57">
        <v>8205551.217053771</v>
      </c>
      <c r="L1017" s="57">
        <v>2631416.9460117742</v>
      </c>
      <c r="M1017" s="57"/>
      <c r="N1017" s="57"/>
      <c r="O1017" s="57"/>
      <c r="P1017" s="57">
        <v>2851375</v>
      </c>
      <c r="Q1017" s="57">
        <v>1195733</v>
      </c>
      <c r="R1017" s="57">
        <v>219964</v>
      </c>
      <c r="S1017" s="57">
        <v>871224.64427714795</v>
      </c>
      <c r="T1017" s="57">
        <v>11397.277581391216</v>
      </c>
      <c r="U1017" s="57">
        <v>13007.020286775572</v>
      </c>
      <c r="V1017" s="57">
        <v>0</v>
      </c>
      <c r="W1017" s="57">
        <v>0</v>
      </c>
      <c r="X1017" s="57">
        <v>0</v>
      </c>
      <c r="Y1017" s="57">
        <v>0</v>
      </c>
      <c r="Z1017" s="57">
        <v>0</v>
      </c>
      <c r="AA1017" s="59">
        <f>SUM(G1017:Z1017)</f>
        <v>61763211.825808592</v>
      </c>
      <c r="AB1017" s="68" t="str">
        <f>IF(ABS(F1017-AA1017)&lt;0.01,"ok","err")</f>
        <v>ok</v>
      </c>
      <c r="AH1017" s="58"/>
      <c r="AI1017" s="58"/>
      <c r="AJ1017" s="110"/>
    </row>
    <row r="1018" spans="1:36" s="39" customFormat="1">
      <c r="A1018" s="39" t="s">
        <v>994</v>
      </c>
      <c r="E1018" s="39" t="s">
        <v>950</v>
      </c>
      <c r="F1018" s="58">
        <v>294670</v>
      </c>
      <c r="G1018" s="57">
        <f t="shared" ref="G1018:Z1018" si="474">IF(VLOOKUP($E1018,$D$6:$AN$1197,3,)=0,0,(VLOOKUP($E1018,$D$6:$AN$1197,G$2,)/VLOOKUP($E1018,$D$6:$AN$1197,3,))*$F1018)</f>
        <v>210054.57082464657</v>
      </c>
      <c r="H1018" s="57">
        <f t="shared" si="474"/>
        <v>35973.08223326732</v>
      </c>
      <c r="I1018" s="57">
        <f t="shared" si="474"/>
        <v>1351.9026495245039</v>
      </c>
      <c r="J1018" s="57">
        <f t="shared" si="474"/>
        <v>22967.982544663217</v>
      </c>
      <c r="K1018" s="57">
        <f t="shared" si="474"/>
        <v>12496.575148701686</v>
      </c>
      <c r="L1018" s="57">
        <f t="shared" si="474"/>
        <v>5442.8225958484109</v>
      </c>
      <c r="M1018" s="57">
        <f t="shared" si="474"/>
        <v>0</v>
      </c>
      <c r="N1018" s="57">
        <f t="shared" si="474"/>
        <v>0</v>
      </c>
      <c r="O1018" s="57">
        <f t="shared" si="474"/>
        <v>0</v>
      </c>
      <c r="P1018" s="57">
        <f t="shared" si="474"/>
        <v>0</v>
      </c>
      <c r="Q1018" s="57">
        <f t="shared" si="474"/>
        <v>1747.7022247017342</v>
      </c>
      <c r="R1018" s="57">
        <f t="shared" si="474"/>
        <v>395.00883974201946</v>
      </c>
      <c r="S1018" s="57">
        <f t="shared" si="474"/>
        <v>4118.6995868540798</v>
      </c>
      <c r="T1018" s="57">
        <f t="shared" si="474"/>
        <v>47.185166591018728</v>
      </c>
      <c r="U1018" s="57">
        <f t="shared" si="474"/>
        <v>74.468185459429378</v>
      </c>
      <c r="V1018" s="57">
        <f t="shared" si="474"/>
        <v>0</v>
      </c>
      <c r="W1018" s="57">
        <f t="shared" si="474"/>
        <v>0</v>
      </c>
      <c r="X1018" s="58">
        <f t="shared" si="474"/>
        <v>0</v>
      </c>
      <c r="Y1018" s="58">
        <f t="shared" si="474"/>
        <v>0</v>
      </c>
      <c r="Z1018" s="58">
        <f t="shared" si="474"/>
        <v>0</v>
      </c>
      <c r="AA1018" s="59">
        <f>SUM(G1018:Z1018)</f>
        <v>294670.00000000006</v>
      </c>
      <c r="AB1018" s="68" t="str">
        <f>IF(ABS(F1018-AA1018)&lt;0.01,"ok","err")</f>
        <v>ok</v>
      </c>
      <c r="AH1018" s="58"/>
      <c r="AI1018" s="58"/>
      <c r="AJ1018" s="110"/>
    </row>
    <row r="1019" spans="1:36" s="39" customFormat="1">
      <c r="AH1019" s="58"/>
      <c r="AI1019" s="58"/>
      <c r="AJ1019" s="110"/>
    </row>
    <row r="1020" spans="1:36" s="39" customFormat="1">
      <c r="A1020" s="39" t="s">
        <v>137</v>
      </c>
      <c r="F1020" s="59">
        <f>SUM(F1014:F1018)</f>
        <v>1045324127.4258087</v>
      </c>
      <c r="G1020" s="59">
        <f t="shared" ref="G1020:N1020" si="475">SUM(G1014:G1018)</f>
        <v>423044407.873546</v>
      </c>
      <c r="H1020" s="59">
        <f t="shared" si="475"/>
        <v>150202215.66386929</v>
      </c>
      <c r="I1020" s="59">
        <f t="shared" si="475"/>
        <v>18502079.582013234</v>
      </c>
      <c r="J1020" s="59">
        <f t="shared" si="475"/>
        <v>200196766.51597077</v>
      </c>
      <c r="K1020" s="59">
        <f t="shared" si="475"/>
        <v>133096941.74682465</v>
      </c>
      <c r="L1020" s="59">
        <f t="shared" si="475"/>
        <v>47004427.188939586</v>
      </c>
      <c r="M1020" s="59">
        <f t="shared" si="475"/>
        <v>0</v>
      </c>
      <c r="N1020" s="59">
        <f t="shared" si="475"/>
        <v>0</v>
      </c>
      <c r="O1020" s="59">
        <f>SUM(O1014:O1018)</f>
        <v>0</v>
      </c>
      <c r="P1020" s="59">
        <f>SUM(P1014:P1018)</f>
        <v>35297503.112328142</v>
      </c>
      <c r="Q1020" s="59">
        <f>SUM(Q1014:Q1018)</f>
        <v>14667940.53769918</v>
      </c>
      <c r="R1020" s="59">
        <f t="shared" ref="R1020:Z1020" si="476">SUM(R1014:R1018)</f>
        <v>3674796.2594655147</v>
      </c>
      <c r="S1020" s="59">
        <f t="shared" si="476"/>
        <v>19092439.190601978</v>
      </c>
      <c r="T1020" s="59">
        <f t="shared" si="476"/>
        <v>251429.69837929067</v>
      </c>
      <c r="U1020" s="59">
        <f t="shared" si="476"/>
        <v>293180.05617090483</v>
      </c>
      <c r="V1020" s="59">
        <f t="shared" si="476"/>
        <v>0</v>
      </c>
      <c r="W1020" s="59">
        <f t="shared" si="476"/>
        <v>0</v>
      </c>
      <c r="X1020" s="59">
        <f t="shared" si="476"/>
        <v>0</v>
      </c>
      <c r="Y1020" s="59">
        <f t="shared" si="476"/>
        <v>0</v>
      </c>
      <c r="Z1020" s="59">
        <f t="shared" si="476"/>
        <v>0</v>
      </c>
      <c r="AA1020" s="59">
        <f>ROUND(SUM(G1020:Z1020),2)</f>
        <v>1045324127.4299999</v>
      </c>
      <c r="AB1020" s="68" t="str">
        <f>IF(ABS(F1020-AA1020)&lt;0.01,"ok","err")</f>
        <v>ok</v>
      </c>
    </row>
    <row r="1021" spans="1:36" s="39" customFormat="1">
      <c r="AH1021" s="57"/>
      <c r="AI1021" s="57"/>
      <c r="AJ1021" s="110"/>
    </row>
    <row r="1022" spans="1:36" s="39" customFormat="1"/>
    <row r="1023" spans="1:36" s="39" customFormat="1">
      <c r="A1023" s="44" t="s">
        <v>1222</v>
      </c>
      <c r="F1023" s="59"/>
    </row>
    <row r="1024" spans="1:36" s="39" customFormat="1"/>
    <row r="1025" spans="1:31" s="39" customFormat="1">
      <c r="A1025" s="39" t="s">
        <v>1225</v>
      </c>
      <c r="F1025" s="59">
        <f>F980</f>
        <v>925658736.29469991</v>
      </c>
      <c r="G1025" s="59">
        <f t="shared" ref="G1025:Z1025" si="477">G980</f>
        <v>385279883.24160051</v>
      </c>
      <c r="H1025" s="59">
        <f t="shared" si="477"/>
        <v>126785867.67566366</v>
      </c>
      <c r="I1025" s="59">
        <f t="shared" si="477"/>
        <v>16521677.422569763</v>
      </c>
      <c r="J1025" s="59">
        <f t="shared" si="477"/>
        <v>171771247.86379614</v>
      </c>
      <c r="K1025" s="59">
        <f t="shared" si="477"/>
        <v>121387128.51528923</v>
      </c>
      <c r="L1025" s="59">
        <f t="shared" si="477"/>
        <v>40661128.72345566</v>
      </c>
      <c r="M1025" s="59">
        <f t="shared" si="477"/>
        <v>0</v>
      </c>
      <c r="N1025" s="59">
        <f t="shared" si="477"/>
        <v>0</v>
      </c>
      <c r="O1025" s="59">
        <f t="shared" si="477"/>
        <v>0</v>
      </c>
      <c r="P1025" s="59">
        <f t="shared" si="477"/>
        <v>31693605.413913466</v>
      </c>
      <c r="Q1025" s="59">
        <f t="shared" si="477"/>
        <v>14158428.006084574</v>
      </c>
      <c r="R1025" s="59">
        <f t="shared" si="477"/>
        <v>3519047.8016845067</v>
      </c>
      <c r="S1025" s="59">
        <f t="shared" si="477"/>
        <v>13405712.886764038</v>
      </c>
      <c r="T1025" s="59">
        <f t="shared" si="477"/>
        <v>222347.46651349906</v>
      </c>
      <c r="U1025" s="59">
        <f t="shared" si="477"/>
        <v>252661.27736480895</v>
      </c>
      <c r="V1025" s="59">
        <f t="shared" si="477"/>
        <v>0</v>
      </c>
      <c r="W1025" s="59">
        <f t="shared" si="477"/>
        <v>0</v>
      </c>
      <c r="X1025" s="59">
        <f t="shared" si="477"/>
        <v>0</v>
      </c>
      <c r="Y1025" s="59">
        <f t="shared" si="477"/>
        <v>0</v>
      </c>
      <c r="Z1025" s="59">
        <f t="shared" si="477"/>
        <v>0</v>
      </c>
      <c r="AA1025" s="59">
        <f>ROUND(SUM(G1025:Z1025),2)</f>
        <v>925658736.28999996</v>
      </c>
      <c r="AB1025" s="68" t="str">
        <f>IF(ABS(F1025-AA1025)&lt;0.01,"ok","err")</f>
        <v>ok</v>
      </c>
    </row>
    <row r="1026" spans="1:31" s="39" customFormat="1"/>
    <row r="1027" spans="1:31" s="39" customFormat="1">
      <c r="A1027" s="39" t="s">
        <v>770</v>
      </c>
      <c r="F1027" s="86">
        <f>F982</f>
        <v>-58640127</v>
      </c>
      <c r="G1027" s="86">
        <f t="shared" ref="G1027:AA1027" si="478">G982</f>
        <v>-25487933.032452017</v>
      </c>
      <c r="H1027" s="86">
        <f t="shared" si="478"/>
        <v>-8711563.1637249533</v>
      </c>
      <c r="I1027" s="86">
        <f t="shared" si="478"/>
        <v>-1177411.1837127625</v>
      </c>
      <c r="J1027" s="86">
        <f t="shared" si="478"/>
        <v>-11123163.814310623</v>
      </c>
      <c r="K1027" s="86">
        <f t="shared" si="478"/>
        <v>-7421972.2854512287</v>
      </c>
      <c r="L1027" s="86">
        <f t="shared" si="478"/>
        <v>-1462462.7016684781</v>
      </c>
      <c r="M1027" s="86">
        <f t="shared" si="478"/>
        <v>0</v>
      </c>
      <c r="N1027" s="86">
        <f t="shared" si="478"/>
        <v>0</v>
      </c>
      <c r="O1027" s="86">
        <f t="shared" si="478"/>
        <v>0</v>
      </c>
      <c r="P1027" s="86">
        <f t="shared" si="478"/>
        <v>-2002114.3831486341</v>
      </c>
      <c r="Q1027" s="86">
        <f t="shared" si="478"/>
        <v>-840465.48332966527</v>
      </c>
      <c r="R1027" s="86">
        <f t="shared" si="478"/>
        <v>-139056.43969970811</v>
      </c>
      <c r="S1027" s="86">
        <f t="shared" si="478"/>
        <v>-249542.83497443426</v>
      </c>
      <c r="T1027" s="86">
        <f t="shared" si="478"/>
        <v>-13822.229986108781</v>
      </c>
      <c r="U1027" s="86">
        <f t="shared" si="478"/>
        <v>-10619.447541383872</v>
      </c>
      <c r="V1027" s="86">
        <f t="shared" si="478"/>
        <v>0</v>
      </c>
      <c r="W1027" s="86">
        <f t="shared" si="478"/>
        <v>0</v>
      </c>
      <c r="X1027" s="86">
        <f t="shared" si="478"/>
        <v>0</v>
      </c>
      <c r="Y1027" s="86">
        <f t="shared" si="478"/>
        <v>0</v>
      </c>
      <c r="Z1027" s="86">
        <f t="shared" si="478"/>
        <v>0</v>
      </c>
      <c r="AA1027" s="86">
        <f t="shared" si="478"/>
        <v>-58640127</v>
      </c>
      <c r="AB1027" s="68" t="str">
        <f>IF(ABS(F1027-AA1027)&lt;0.01,"ok","err")</f>
        <v>ok</v>
      </c>
    </row>
    <row r="1028" spans="1:31" s="39" customFormat="1"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  <c r="P1028" s="86"/>
      <c r="Q1028" s="86"/>
      <c r="R1028" s="86"/>
      <c r="S1028" s="86"/>
      <c r="T1028" s="86"/>
      <c r="U1028" s="86"/>
      <c r="V1028" s="86"/>
      <c r="W1028" s="86"/>
      <c r="X1028" s="86"/>
      <c r="Y1028" s="86"/>
      <c r="Z1028" s="86"/>
      <c r="AA1028" s="59"/>
      <c r="AB1028" s="68"/>
    </row>
    <row r="1029" spans="1:31" s="39" customFormat="1">
      <c r="A1029" s="39" t="s">
        <v>771</v>
      </c>
      <c r="F1029" s="86">
        <f>(F1017+F1018)*$E$943</f>
        <v>23189416.933377199</v>
      </c>
      <c r="G1029" s="86">
        <f>(G1017+G1018)*$E$943</f>
        <v>11377670.012358973</v>
      </c>
      <c r="H1029" s="86">
        <f t="shared" ref="H1029:U1029" si="479">(H1017+H1018)*$E$943</f>
        <v>2533355.8405307378</v>
      </c>
      <c r="I1029" s="86">
        <f t="shared" si="479"/>
        <v>11201.21544665842</v>
      </c>
      <c r="J1029" s="86">
        <f t="shared" si="479"/>
        <v>3279440.8402490816</v>
      </c>
      <c r="K1029" s="86">
        <f t="shared" si="479"/>
        <v>3070870.7907034666</v>
      </c>
      <c r="L1029" s="86">
        <f t="shared" si="479"/>
        <v>985325.93717468472</v>
      </c>
      <c r="M1029" s="86">
        <f t="shared" si="479"/>
        <v>0</v>
      </c>
      <c r="N1029" s="86">
        <f t="shared" si="479"/>
        <v>0</v>
      </c>
      <c r="O1029" s="86">
        <f>(O1017+O1018)*$E$943</f>
        <v>0</v>
      </c>
      <c r="P1029" s="86">
        <f t="shared" si="479"/>
        <v>1065484.70175</v>
      </c>
      <c r="Q1029" s="86">
        <f t="shared" si="479"/>
        <v>447467.40392311319</v>
      </c>
      <c r="R1029" s="86">
        <f t="shared" si="479"/>
        <v>82342.432269181765</v>
      </c>
      <c r="S1029" s="86">
        <f t="shared" si="479"/>
        <v>327093.04867503711</v>
      </c>
      <c r="T1029" s="86">
        <f t="shared" si="479"/>
        <v>4276.4981728895136</v>
      </c>
      <c r="U1029" s="86">
        <f t="shared" si="479"/>
        <v>4888.2121233739417</v>
      </c>
      <c r="V1029" s="86">
        <f>(V1017+V1018)*0.37646875</f>
        <v>0</v>
      </c>
      <c r="W1029" s="86">
        <f>(W1017+W1018)*0.37646875</f>
        <v>0</v>
      </c>
      <c r="X1029" s="86">
        <f>(X1017+X1018)*0.37646875</f>
        <v>0</v>
      </c>
      <c r="Y1029" s="86">
        <f>(Y1017+Y1018)*0.37646875</f>
        <v>0</v>
      </c>
      <c r="Z1029" s="86">
        <f>(Z1017+Z1018)*0.37646875</f>
        <v>0</v>
      </c>
      <c r="AA1029" s="59">
        <f>ROUND(SUM(G1029:Z1029),2)</f>
        <v>23189416.93</v>
      </c>
      <c r="AB1029" s="68" t="str">
        <f>IF(ABS(F1029-AA1029)&lt;0.01,"ok","err")</f>
        <v>ok</v>
      </c>
    </row>
    <row r="1030" spans="1:31" s="39" customFormat="1">
      <c r="A1030" s="45"/>
      <c r="F1030" s="58"/>
      <c r="G1030" s="57"/>
      <c r="H1030" s="57"/>
      <c r="I1030" s="57"/>
      <c r="J1030" s="57"/>
      <c r="K1030" s="57"/>
      <c r="L1030" s="57"/>
      <c r="M1030" s="57"/>
      <c r="N1030" s="57"/>
      <c r="O1030" s="57"/>
      <c r="P1030" s="57"/>
      <c r="Q1030" s="57"/>
      <c r="R1030" s="57"/>
      <c r="S1030" s="57"/>
      <c r="T1030" s="57"/>
      <c r="U1030" s="57"/>
      <c r="V1030" s="57"/>
      <c r="W1030" s="57"/>
      <c r="X1030" s="57"/>
      <c r="Y1030" s="57"/>
      <c r="Z1030" s="57"/>
      <c r="AA1030" s="59"/>
      <c r="AB1030" s="68"/>
    </row>
    <row r="1031" spans="1:31" s="39" customFormat="1">
      <c r="A1031" s="39" t="s">
        <v>138</v>
      </c>
      <c r="F1031" s="59">
        <f t="shared" ref="F1031:O1031" si="480">SUM(F1025:F1030)</f>
        <v>890208026.22807705</v>
      </c>
      <c r="G1031" s="59">
        <f t="shared" si="480"/>
        <v>371169620.22150749</v>
      </c>
      <c r="H1031" s="59">
        <f t="shared" si="480"/>
        <v>120607660.35246944</v>
      </c>
      <c r="I1031" s="59">
        <f t="shared" si="480"/>
        <v>15355467.454303659</v>
      </c>
      <c r="J1031" s="59">
        <f t="shared" si="480"/>
        <v>163927524.88973463</v>
      </c>
      <c r="K1031" s="59">
        <f t="shared" si="480"/>
        <v>117036027.02054146</v>
      </c>
      <c r="L1031" s="59">
        <f t="shared" si="480"/>
        <v>40183991.958961867</v>
      </c>
      <c r="M1031" s="59">
        <f t="shared" si="480"/>
        <v>0</v>
      </c>
      <c r="N1031" s="59">
        <f t="shared" si="480"/>
        <v>0</v>
      </c>
      <c r="O1031" s="59">
        <f t="shared" si="480"/>
        <v>0</v>
      </c>
      <c r="P1031" s="59">
        <f t="shared" ref="P1031:Z1031" si="481">SUM(P1025:P1030)</f>
        <v>30756975.732514832</v>
      </c>
      <c r="Q1031" s="59">
        <f t="shared" si="481"/>
        <v>13765429.926678022</v>
      </c>
      <c r="R1031" s="59">
        <f t="shared" si="481"/>
        <v>3462333.7942539803</v>
      </c>
      <c r="S1031" s="59">
        <f t="shared" si="481"/>
        <v>13483263.100464642</v>
      </c>
      <c r="T1031" s="59">
        <f t="shared" si="481"/>
        <v>212801.73470027981</v>
      </c>
      <c r="U1031" s="59">
        <f t="shared" si="481"/>
        <v>246930.041946799</v>
      </c>
      <c r="V1031" s="59">
        <f t="shared" si="481"/>
        <v>0</v>
      </c>
      <c r="W1031" s="59">
        <f t="shared" si="481"/>
        <v>0</v>
      </c>
      <c r="X1031" s="59">
        <f t="shared" si="481"/>
        <v>0</v>
      </c>
      <c r="Y1031" s="59">
        <f t="shared" si="481"/>
        <v>0</v>
      </c>
      <c r="Z1031" s="59">
        <f t="shared" si="481"/>
        <v>0</v>
      </c>
      <c r="AA1031" s="59">
        <f>ROUND(SUM(G1031:Z1031),2)</f>
        <v>890208026.23000002</v>
      </c>
      <c r="AB1031" s="68" t="str">
        <f>IF(ABS(F1031-AA1031)&lt;0.01,"ok","err")</f>
        <v>ok</v>
      </c>
    </row>
    <row r="1032" spans="1:31" s="39" customFormat="1"/>
    <row r="1033" spans="1:31" s="39" customFormat="1">
      <c r="G1033" s="59"/>
      <c r="H1033" s="59"/>
      <c r="I1033" s="59"/>
    </row>
    <row r="1034" spans="1:31" s="39" customFormat="1">
      <c r="A1034" s="44" t="s">
        <v>992</v>
      </c>
      <c r="F1034" s="59">
        <f t="shared" ref="F1034:O1034" si="482">F1020-F1031</f>
        <v>155116101.19773161</v>
      </c>
      <c r="G1034" s="59">
        <f t="shared" si="482"/>
        <v>51874787.652038515</v>
      </c>
      <c r="H1034" s="59">
        <f t="shared" si="482"/>
        <v>29594555.311399847</v>
      </c>
      <c r="I1034" s="59">
        <f t="shared" si="482"/>
        <v>3146612.127709575</v>
      </c>
      <c r="J1034" s="59">
        <f t="shared" si="482"/>
        <v>36269241.626236141</v>
      </c>
      <c r="K1034" s="59">
        <f t="shared" si="482"/>
        <v>16060914.726283193</v>
      </c>
      <c r="L1034" s="59">
        <f t="shared" si="482"/>
        <v>6820435.2299777195</v>
      </c>
      <c r="M1034" s="59">
        <f t="shared" si="482"/>
        <v>0</v>
      </c>
      <c r="N1034" s="59">
        <f t="shared" si="482"/>
        <v>0</v>
      </c>
      <c r="O1034" s="59">
        <f t="shared" si="482"/>
        <v>0</v>
      </c>
      <c r="P1034" s="59">
        <f t="shared" ref="P1034:Z1034" si="483">P1020-P1031</f>
        <v>4540527.3798133098</v>
      </c>
      <c r="Q1034" s="59">
        <f t="shared" si="483"/>
        <v>902510.61102115735</v>
      </c>
      <c r="R1034" s="59">
        <f t="shared" si="483"/>
        <v>212462.46521153441</v>
      </c>
      <c r="S1034" s="59">
        <f t="shared" si="483"/>
        <v>5609176.0901373364</v>
      </c>
      <c r="T1034" s="59">
        <f t="shared" si="483"/>
        <v>38627.963679010863</v>
      </c>
      <c r="U1034" s="59">
        <f t="shared" si="483"/>
        <v>46250.014224105835</v>
      </c>
      <c r="V1034" s="59">
        <f t="shared" si="483"/>
        <v>0</v>
      </c>
      <c r="W1034" s="59">
        <f t="shared" si="483"/>
        <v>0</v>
      </c>
      <c r="X1034" s="59">
        <f t="shared" si="483"/>
        <v>0</v>
      </c>
      <c r="Y1034" s="59">
        <f t="shared" si="483"/>
        <v>0</v>
      </c>
      <c r="Z1034" s="59">
        <f t="shared" si="483"/>
        <v>0</v>
      </c>
      <c r="AA1034" s="59">
        <f>ROUND(SUM(G1034:Z1034),2)</f>
        <v>155116101.19999999</v>
      </c>
      <c r="AB1034" s="68" t="str">
        <f>IF(ABS(F1034-AA1034)&lt;0.01,"ok","err")</f>
        <v>ok</v>
      </c>
    </row>
    <row r="1035" spans="1:31" s="39" customFormat="1"/>
    <row r="1036" spans="1:31" s="39" customFormat="1">
      <c r="A1036" s="44" t="s">
        <v>1208</v>
      </c>
      <c r="F1036" s="59">
        <f>F991</f>
        <v>1894443755.0954001</v>
      </c>
      <c r="G1036" s="59">
        <f t="shared" ref="G1036:U1036" si="484">G991</f>
        <v>919864920.90748382</v>
      </c>
      <c r="H1036" s="59">
        <f t="shared" si="484"/>
        <v>246026164.86771092</v>
      </c>
      <c r="I1036" s="59">
        <f t="shared" si="484"/>
        <v>25254598.316034239</v>
      </c>
      <c r="J1036" s="59">
        <f t="shared" si="484"/>
        <v>291144488.1069302</v>
      </c>
      <c r="K1036" s="59">
        <f t="shared" si="484"/>
        <v>196251935.5148834</v>
      </c>
      <c r="L1036" s="59">
        <f t="shared" si="484"/>
        <v>72346854.719544739</v>
      </c>
      <c r="M1036" s="59">
        <f t="shared" si="484"/>
        <v>0</v>
      </c>
      <c r="N1036" s="59">
        <f t="shared" si="484"/>
        <v>0</v>
      </c>
      <c r="O1036" s="59">
        <f t="shared" si="484"/>
        <v>0</v>
      </c>
      <c r="P1036" s="59">
        <f t="shared" si="484"/>
        <v>51301441.16227708</v>
      </c>
      <c r="Q1036" s="59">
        <f t="shared" si="484"/>
        <v>27402587.590025134</v>
      </c>
      <c r="R1036" s="59">
        <f t="shared" si="484"/>
        <v>6115479.8705607615</v>
      </c>
      <c r="S1036" s="59">
        <f t="shared" si="484"/>
        <v>58029895.801223755</v>
      </c>
      <c r="T1036" s="59">
        <f t="shared" si="484"/>
        <v>253517.80058301476</v>
      </c>
      <c r="U1036" s="59">
        <f t="shared" si="484"/>
        <v>451870.43814328534</v>
      </c>
      <c r="V1036" s="59">
        <f>V924</f>
        <v>0</v>
      </c>
      <c r="W1036" s="59">
        <f>W924</f>
        <v>0</v>
      </c>
      <c r="X1036" s="59">
        <f>X924</f>
        <v>0</v>
      </c>
      <c r="Y1036" s="59">
        <f>Y924</f>
        <v>0</v>
      </c>
      <c r="Z1036" s="59">
        <f>Z924</f>
        <v>0</v>
      </c>
      <c r="AA1036" s="59">
        <f>ROUND(SUM(G1036:Z1036),2)</f>
        <v>1894443755.0999999</v>
      </c>
      <c r="AB1036" s="68" t="str">
        <f>IF(ABS(F1036-AA1036)&lt;0.01,"ok","err")</f>
        <v>ok</v>
      </c>
    </row>
    <row r="1037" spans="1:31" s="39" customFormat="1" ht="14.4" thickBot="1">
      <c r="AD1037" s="39" t="s">
        <v>1527</v>
      </c>
      <c r="AE1037" s="39" t="s">
        <v>1528</v>
      </c>
    </row>
    <row r="1038" spans="1:31" s="39" customFormat="1" ht="14.4" thickBot="1">
      <c r="A1038" s="107" t="s">
        <v>1226</v>
      </c>
      <c r="B1038" s="108"/>
      <c r="C1038" s="108"/>
      <c r="D1038" s="108"/>
      <c r="E1038" s="108"/>
      <c r="F1038" s="109">
        <f t="shared" ref="F1038:N1038" si="485">F1034/F1036</f>
        <v>8.1879496702144269E-2</v>
      </c>
      <c r="G1038" s="109">
        <f t="shared" si="485"/>
        <v>5.6393918795013889E-2</v>
      </c>
      <c r="H1038" s="109">
        <f t="shared" si="485"/>
        <v>0.12029027614730708</v>
      </c>
      <c r="I1038" s="109">
        <f t="shared" si="485"/>
        <v>0.12459561179049833</v>
      </c>
      <c r="J1038" s="109">
        <f>J1034/J1036</f>
        <v>0.12457471498795931</v>
      </c>
      <c r="K1038" s="109">
        <f t="shared" si="485"/>
        <v>8.1838248800685895E-2</v>
      </c>
      <c r="L1038" s="109">
        <f t="shared" si="485"/>
        <v>9.4274108479454832E-2</v>
      </c>
      <c r="M1038" s="109" t="e">
        <f t="shared" si="485"/>
        <v>#DIV/0!</v>
      </c>
      <c r="N1038" s="109" t="e">
        <f t="shared" si="485"/>
        <v>#DIV/0!</v>
      </c>
      <c r="O1038" s="109" t="e">
        <f>O1034/O1036</f>
        <v>#DIV/0!</v>
      </c>
      <c r="P1038" s="109">
        <f>P1034/P1036</f>
        <v>8.850681924218623E-2</v>
      </c>
      <c r="Q1038" s="109">
        <f>Q1034/Q1036</f>
        <v>3.293523314381018E-2</v>
      </c>
      <c r="R1038" s="109">
        <f t="shared" ref="R1038:Z1038" si="486">R1034/R1036</f>
        <v>3.4741748760273916E-2</v>
      </c>
      <c r="S1038" s="109">
        <f t="shared" si="486"/>
        <v>9.666010963299107E-2</v>
      </c>
      <c r="T1038" s="109">
        <f t="shared" si="486"/>
        <v>0.15236785578834366</v>
      </c>
      <c r="U1038" s="109">
        <f t="shared" si="486"/>
        <v>0.10235237873525208</v>
      </c>
      <c r="V1038" s="109" t="e">
        <f t="shared" si="486"/>
        <v>#DIV/0!</v>
      </c>
      <c r="W1038" s="109" t="e">
        <f t="shared" si="486"/>
        <v>#DIV/0!</v>
      </c>
      <c r="X1038" s="109" t="e">
        <f t="shared" si="486"/>
        <v>#DIV/0!</v>
      </c>
      <c r="Y1038" s="109" t="e">
        <f t="shared" si="486"/>
        <v>#DIV/0!</v>
      </c>
      <c r="Z1038" s="109" t="e">
        <f t="shared" si="486"/>
        <v>#DIV/0!</v>
      </c>
      <c r="AA1038" s="96"/>
      <c r="AB1038" s="96"/>
      <c r="AD1038" s="109">
        <f>SUM(Q1034:R1034)/SUM(Q1036:R1036)</f>
        <v>3.3264837763805913E-2</v>
      </c>
      <c r="AE1038" s="109">
        <f>SUM(S1034:U1034)/SUM(S1036:U1036)</f>
        <v>9.6944352293717034E-2</v>
      </c>
    </row>
    <row r="1039" spans="1:31" s="39" customFormat="1">
      <c r="Q1039" s="110"/>
      <c r="S1039" s="110"/>
    </row>
    <row r="1040" spans="1:31" s="39" customFormat="1"/>
    <row r="1041" spans="1:29" s="39" customFormat="1">
      <c r="A1041" s="44" t="s">
        <v>134</v>
      </c>
    </row>
    <row r="1042" spans="1:29" s="39" customFormat="1"/>
    <row r="1043" spans="1:29" s="39" customFormat="1">
      <c r="A1043" s="44" t="s">
        <v>1227</v>
      </c>
    </row>
    <row r="1044" spans="1:29" s="39" customFormat="1">
      <c r="A1044" s="39" t="s">
        <v>1228</v>
      </c>
      <c r="D1044" s="39" t="s">
        <v>1197</v>
      </c>
      <c r="E1044" s="39" t="s">
        <v>1034</v>
      </c>
      <c r="F1044" s="84">
        <v>1</v>
      </c>
      <c r="G1044" s="84">
        <f t="shared" ref="G1044:Z1044" si="487">IF(VLOOKUP($E1044,$D$6:$AN$1197,3,)=0,0,(VLOOKUP($E1044,$D$6:$AN$1197,G$2,)/VLOOKUP($E1044,$D$6:$AN$1197,3,))*$F1044)</f>
        <v>0.36674389535949559</v>
      </c>
      <c r="H1044" s="84">
        <f t="shared" si="487"/>
        <v>0.12245844214355162</v>
      </c>
      <c r="I1044" s="84">
        <f t="shared" si="487"/>
        <v>1.9974468412861303E-2</v>
      </c>
      <c r="J1044" s="84">
        <f t="shared" si="487"/>
        <v>0.20131841273878451</v>
      </c>
      <c r="K1044" s="84">
        <f t="shared" si="487"/>
        <v>0.16124136479285855</v>
      </c>
      <c r="L1044" s="84">
        <f t="shared" si="487"/>
        <v>5.1557703317304054E-2</v>
      </c>
      <c r="M1044" s="84">
        <f t="shared" si="487"/>
        <v>0</v>
      </c>
      <c r="N1044" s="84">
        <f t="shared" si="487"/>
        <v>0</v>
      </c>
      <c r="O1044" s="84">
        <f t="shared" si="487"/>
        <v>0</v>
      </c>
      <c r="P1044" s="84">
        <f t="shared" si="487"/>
        <v>4.3772209447256405E-2</v>
      </c>
      <c r="Q1044" s="84">
        <f t="shared" si="487"/>
        <v>1.8374750480207799E-2</v>
      </c>
      <c r="R1044" s="84">
        <f t="shared" si="487"/>
        <v>4.9380166696964744E-3</v>
      </c>
      <c r="S1044" s="84">
        <f t="shared" si="487"/>
        <v>9.0330328745791173E-3</v>
      </c>
      <c r="T1044" s="84">
        <f t="shared" si="487"/>
        <v>3.2016310801163484E-4</v>
      </c>
      <c r="U1044" s="84">
        <f t="shared" si="487"/>
        <v>2.6754065539308895E-4</v>
      </c>
      <c r="V1044" s="84">
        <f t="shared" si="487"/>
        <v>0</v>
      </c>
      <c r="W1044" s="84">
        <f t="shared" si="487"/>
        <v>0</v>
      </c>
      <c r="X1044" s="58">
        <f t="shared" si="487"/>
        <v>0</v>
      </c>
      <c r="Y1044" s="58">
        <f t="shared" si="487"/>
        <v>0</v>
      </c>
      <c r="Z1044" s="58">
        <f t="shared" si="487"/>
        <v>0</v>
      </c>
      <c r="AA1044" s="84">
        <f>SUM(G1044:Z1044)</f>
        <v>1.0000000000000002</v>
      </c>
      <c r="AB1044" s="68" t="str">
        <f>IF(ABS(F1044-AA1044)&lt;0.01,"ok","err")</f>
        <v>ok</v>
      </c>
    </row>
    <row r="1045" spans="1:29" s="39" customFormat="1"/>
    <row r="1046" spans="1:29" s="39" customFormat="1">
      <c r="A1046" s="44" t="s">
        <v>1229</v>
      </c>
    </row>
    <row r="1047" spans="1:29" s="39" customFormat="1">
      <c r="A1047" s="39" t="s">
        <v>1230</v>
      </c>
      <c r="D1047" s="39" t="s">
        <v>1200</v>
      </c>
      <c r="E1047" s="39" t="s">
        <v>733</v>
      </c>
      <c r="F1047" s="60">
        <v>1</v>
      </c>
      <c r="G1047" s="62">
        <f t="shared" ref="G1047:Z1047" si="488">IF(VLOOKUP($E1047,$D$6:$AN$1197,3,)=0,0,(VLOOKUP($E1047,$D$6:$AN$1197,G$2,)/VLOOKUP($E1047,$D$6:$AN$1197,3,))*$F1047)</f>
        <v>0.86087103754851191</v>
      </c>
      <c r="H1047" s="62">
        <f t="shared" si="488"/>
        <v>0.10714071768091663</v>
      </c>
      <c r="I1047" s="62">
        <f t="shared" si="488"/>
        <v>2.1040989332465952E-4</v>
      </c>
      <c r="J1047" s="62">
        <f t="shared" si="488"/>
        <v>7.2034445832324613E-3</v>
      </c>
      <c r="K1047" s="62">
        <f t="shared" si="488"/>
        <v>2.2773776689257266E-4</v>
      </c>
      <c r="L1047" s="62">
        <f t="shared" si="488"/>
        <v>4.01016502571704E-4</v>
      </c>
      <c r="M1047" s="62">
        <f t="shared" si="488"/>
        <v>0</v>
      </c>
      <c r="N1047" s="62">
        <f t="shared" si="488"/>
        <v>0</v>
      </c>
      <c r="O1047" s="62">
        <f t="shared" si="488"/>
        <v>0</v>
      </c>
      <c r="P1047" s="62">
        <f t="shared" si="488"/>
        <v>0</v>
      </c>
      <c r="Q1047" s="62">
        <f t="shared" si="488"/>
        <v>2.4754105097018764E-6</v>
      </c>
      <c r="R1047" s="62">
        <f t="shared" si="488"/>
        <v>4.9508210194037529E-6</v>
      </c>
      <c r="S1047" s="62">
        <f t="shared" si="488"/>
        <v>2.3644131024468447E-2</v>
      </c>
      <c r="T1047" s="62">
        <f t="shared" si="488"/>
        <v>4.2081978664931903E-5</v>
      </c>
      <c r="U1047" s="62">
        <f t="shared" si="488"/>
        <v>2.5199678988765105E-4</v>
      </c>
      <c r="V1047" s="62">
        <f t="shared" si="488"/>
        <v>0</v>
      </c>
      <c r="W1047" s="62">
        <f t="shared" si="488"/>
        <v>0</v>
      </c>
      <c r="X1047" s="58">
        <f t="shared" si="488"/>
        <v>0</v>
      </c>
      <c r="Y1047" s="58">
        <f t="shared" si="488"/>
        <v>0</v>
      </c>
      <c r="Z1047" s="58">
        <f t="shared" si="488"/>
        <v>0</v>
      </c>
      <c r="AA1047" s="62">
        <f t="shared" ref="AA1047:AA1052" si="489">SUM(G1047:Z1047)</f>
        <v>1</v>
      </c>
      <c r="AB1047" s="68" t="str">
        <f t="shared" ref="AB1047:AB1052" si="490">IF(ABS(F1047-AA1047)&lt;0.01,"ok","err")</f>
        <v>ok</v>
      </c>
    </row>
    <row r="1048" spans="1:29" s="39" customFormat="1">
      <c r="A1048" s="39" t="s">
        <v>209</v>
      </c>
      <c r="D1048" s="39" t="s">
        <v>1201</v>
      </c>
      <c r="F1048" s="60">
        <v>1</v>
      </c>
      <c r="G1048" s="62">
        <f>Services!G10</f>
        <v>0.8271943704499779</v>
      </c>
      <c r="H1048" s="62">
        <f>Services!G12</f>
        <v>0.13814954152935441</v>
      </c>
      <c r="I1048" s="62">
        <f>Services!G14</f>
        <v>0</v>
      </c>
      <c r="J1048" s="62">
        <f>Services!G16</f>
        <v>2.9511854576810374E-2</v>
      </c>
      <c r="K1048" s="62">
        <f>Services!G18</f>
        <v>0</v>
      </c>
      <c r="L1048" s="62">
        <f>Services!G20</f>
        <v>2.3500462401873316E-3</v>
      </c>
      <c r="M1048" s="62">
        <f>Services!G22</f>
        <v>0</v>
      </c>
      <c r="N1048" s="62">
        <f>Services!G24</f>
        <v>0</v>
      </c>
      <c r="O1048" s="62">
        <f>Services!G26</f>
        <v>0</v>
      </c>
      <c r="P1048" s="62">
        <f>Services!G28</f>
        <v>0</v>
      </c>
      <c r="Q1048" s="62">
        <f>Services!G30</f>
        <v>0</v>
      </c>
      <c r="R1048" s="62">
        <f>Services!G32</f>
        <v>0</v>
      </c>
      <c r="S1048" s="62">
        <f>Services!G34</f>
        <v>0</v>
      </c>
      <c r="T1048" s="62">
        <f>Services!G36</f>
        <v>4.0587270044910073E-4</v>
      </c>
      <c r="U1048" s="62">
        <f>Services!G38</f>
        <v>2.3883145032207198E-3</v>
      </c>
      <c r="V1048" s="62">
        <v>0</v>
      </c>
      <c r="W1048" s="62">
        <v>0</v>
      </c>
      <c r="X1048" s="62">
        <v>0</v>
      </c>
      <c r="Y1048" s="62">
        <v>0</v>
      </c>
      <c r="Z1048" s="62">
        <v>0</v>
      </c>
      <c r="AA1048" s="62">
        <f t="shared" si="489"/>
        <v>0.99999999999999989</v>
      </c>
      <c r="AB1048" s="68" t="str">
        <f t="shared" si="490"/>
        <v>ok</v>
      </c>
    </row>
    <row r="1049" spans="1:29" s="39" customFormat="1">
      <c r="A1049" s="39" t="s">
        <v>1231</v>
      </c>
      <c r="D1049" s="39" t="s">
        <v>1202</v>
      </c>
      <c r="F1049" s="60">
        <v>1</v>
      </c>
      <c r="G1049" s="62">
        <f>Meters!$G$10</f>
        <v>0.69989033141452828</v>
      </c>
      <c r="H1049" s="62">
        <f>Meters!$G$12</f>
        <v>0.20785279489032538</v>
      </c>
      <c r="I1049" s="62">
        <f>Meters!$G$14</f>
        <v>9.4843238979840112E-3</v>
      </c>
      <c r="J1049" s="62">
        <f>Meters!$G$16</f>
        <v>5.4458167843847827E-2</v>
      </c>
      <c r="K1049" s="62">
        <f>Meters!$G$18</f>
        <v>1.0673089136269845E-2</v>
      </c>
      <c r="L1049" s="62">
        <f>Meters!$G$20</f>
        <v>3.2718265432702519E-3</v>
      </c>
      <c r="M1049" s="62">
        <f>Meters!$G$22</f>
        <v>0</v>
      </c>
      <c r="N1049" s="62">
        <f>Meters!$G$24</f>
        <v>0</v>
      </c>
      <c r="O1049" s="62">
        <f>Meters!$G$26</f>
        <v>0</v>
      </c>
      <c r="P1049" s="62">
        <f>Meters!$G$28</f>
        <v>9.4327361174640564E-3</v>
      </c>
      <c r="Q1049" s="62">
        <f>Meters!$G$30</f>
        <v>8.5752146522400502E-4</v>
      </c>
      <c r="R1049" s="62">
        <f>Meters!$G$32</f>
        <v>1.71504293044801E-3</v>
      </c>
      <c r="S1049" s="62">
        <f>Meters!$G$34</f>
        <v>0</v>
      </c>
      <c r="T1049" s="62">
        <f>Meters!$G$36</f>
        <v>3.4340946816998279E-4</v>
      </c>
      <c r="U1049" s="62">
        <f>Meters!$G$38</f>
        <v>2.0207562924684538E-3</v>
      </c>
      <c r="V1049" s="62">
        <v>0</v>
      </c>
      <c r="W1049" s="62">
        <v>0</v>
      </c>
      <c r="X1049" s="62">
        <v>0</v>
      </c>
      <c r="Y1049" s="62">
        <v>0</v>
      </c>
      <c r="Z1049" s="62">
        <v>0</v>
      </c>
      <c r="AA1049" s="62">
        <f>SUM(G1049:Z1049)</f>
        <v>1.0000000000000002</v>
      </c>
      <c r="AB1049" s="68" t="str">
        <f t="shared" si="490"/>
        <v>ok</v>
      </c>
    </row>
    <row r="1050" spans="1:29" s="39" customFormat="1">
      <c r="A1050" s="39" t="s">
        <v>1232</v>
      </c>
      <c r="D1050" s="39" t="s">
        <v>1203</v>
      </c>
      <c r="E1050" s="39" t="s">
        <v>132</v>
      </c>
      <c r="F1050" s="60">
        <v>1</v>
      </c>
      <c r="G1050" s="62">
        <f t="shared" ref="G1050:R1052" si="491">IF(VLOOKUP($E1050,$D$6:$AN$1197,3,)=0,0,(VLOOKUP($E1050,$D$6:$AN$1197,G$2,)/VLOOKUP($E1050,$D$6:$AN$1197,3,))*$F1050)</f>
        <v>0</v>
      </c>
      <c r="H1050" s="62">
        <f t="shared" si="491"/>
        <v>0</v>
      </c>
      <c r="I1050" s="62">
        <f t="shared" si="491"/>
        <v>0</v>
      </c>
      <c r="J1050" s="62">
        <f t="shared" si="491"/>
        <v>0</v>
      </c>
      <c r="K1050" s="62">
        <f t="shared" si="491"/>
        <v>0</v>
      </c>
      <c r="L1050" s="62">
        <f t="shared" si="491"/>
        <v>0</v>
      </c>
      <c r="M1050" s="62">
        <f t="shared" si="491"/>
        <v>0</v>
      </c>
      <c r="N1050" s="62">
        <f t="shared" si="491"/>
        <v>0</v>
      </c>
      <c r="O1050" s="62">
        <f t="shared" si="491"/>
        <v>0</v>
      </c>
      <c r="P1050" s="62">
        <f t="shared" si="491"/>
        <v>0</v>
      </c>
      <c r="Q1050" s="62">
        <f t="shared" si="491"/>
        <v>0</v>
      </c>
      <c r="R1050" s="62">
        <f t="shared" si="491"/>
        <v>0</v>
      </c>
      <c r="S1050" s="62">
        <v>1</v>
      </c>
      <c r="T1050" s="62">
        <v>0</v>
      </c>
      <c r="U1050" s="62">
        <v>0</v>
      </c>
      <c r="V1050" s="62">
        <f t="shared" ref="V1050:Z1052" si="492">IF(VLOOKUP($E1050,$D$6:$AN$1197,3,)=0,0,(VLOOKUP($E1050,$D$6:$AN$1197,V$2,)/VLOOKUP($E1050,$D$6:$AN$1197,3,))*$F1050)</f>
        <v>0</v>
      </c>
      <c r="W1050" s="62">
        <f t="shared" si="492"/>
        <v>0</v>
      </c>
      <c r="X1050" s="58">
        <f t="shared" si="492"/>
        <v>0</v>
      </c>
      <c r="Y1050" s="58">
        <f t="shared" si="492"/>
        <v>0</v>
      </c>
      <c r="Z1050" s="58">
        <f t="shared" si="492"/>
        <v>0</v>
      </c>
      <c r="AA1050" s="62">
        <f t="shared" si="489"/>
        <v>1</v>
      </c>
      <c r="AB1050" s="68" t="str">
        <f t="shared" si="490"/>
        <v>ok</v>
      </c>
    </row>
    <row r="1051" spans="1:29" s="39" customFormat="1">
      <c r="A1051" s="39" t="s">
        <v>1233</v>
      </c>
      <c r="D1051" s="39" t="s">
        <v>1204</v>
      </c>
      <c r="E1051" s="39" t="s">
        <v>158</v>
      </c>
      <c r="F1051" s="60">
        <v>1</v>
      </c>
      <c r="G1051" s="62">
        <f t="shared" si="491"/>
        <v>0.74689702984246331</v>
      </c>
      <c r="H1051" s="62">
        <f t="shared" si="491"/>
        <v>0.18591189695252594</v>
      </c>
      <c r="I1051" s="62">
        <f t="shared" si="491"/>
        <v>9.1276461583133324E-4</v>
      </c>
      <c r="J1051" s="62">
        <f t="shared" si="491"/>
        <v>3.1248765083166818E-2</v>
      </c>
      <c r="K1051" s="62">
        <f t="shared" si="491"/>
        <v>4.9396673327342742E-3</v>
      </c>
      <c r="L1051" s="62">
        <f t="shared" si="491"/>
        <v>8.6981098685103512E-3</v>
      </c>
      <c r="M1051" s="62">
        <f t="shared" si="491"/>
        <v>0</v>
      </c>
      <c r="N1051" s="62">
        <f t="shared" si="491"/>
        <v>0</v>
      </c>
      <c r="O1051" s="62">
        <f t="shared" si="491"/>
        <v>0</v>
      </c>
      <c r="P1051" s="62">
        <f t="shared" si="491"/>
        <v>5.9061239847909793E-4</v>
      </c>
      <c r="Q1051" s="62">
        <f t="shared" si="491"/>
        <v>1.0738407245074509E-5</v>
      </c>
      <c r="R1051" s="62">
        <f t="shared" si="491"/>
        <v>2.1476814490149017E-5</v>
      </c>
      <c r="S1051" s="62">
        <f t="shared" ref="S1051:U1052" si="493">IF(VLOOKUP($E1051,$D$6:$AN$1197,3,)=0,0,(VLOOKUP($E1051,$D$6:$AN$1197,S$2,)/VLOOKUP($E1051,$D$6:$AN$1197,3,))*$F1051)</f>
        <v>2.0513794128410735E-2</v>
      </c>
      <c r="T1051" s="62">
        <f t="shared" si="493"/>
        <v>3.6510584633253329E-5</v>
      </c>
      <c r="U1051" s="62">
        <f t="shared" si="493"/>
        <v>2.18633971509717E-4</v>
      </c>
      <c r="V1051" s="62">
        <f t="shared" si="492"/>
        <v>0</v>
      </c>
      <c r="W1051" s="62">
        <f t="shared" si="492"/>
        <v>0</v>
      </c>
      <c r="X1051" s="58">
        <f t="shared" si="492"/>
        <v>0</v>
      </c>
      <c r="Y1051" s="58">
        <f t="shared" si="492"/>
        <v>0</v>
      </c>
      <c r="Z1051" s="58">
        <f t="shared" si="492"/>
        <v>0</v>
      </c>
      <c r="AA1051" s="62">
        <f t="shared" si="489"/>
        <v>1.0000000000000002</v>
      </c>
      <c r="AB1051" s="68" t="str">
        <f t="shared" si="490"/>
        <v>ok</v>
      </c>
    </row>
    <row r="1052" spans="1:29" s="39" customFormat="1">
      <c r="A1052" s="39" t="s">
        <v>188</v>
      </c>
      <c r="D1052" s="39" t="s">
        <v>1205</v>
      </c>
      <c r="E1052" s="39" t="s">
        <v>159</v>
      </c>
      <c r="F1052" s="60">
        <v>1</v>
      </c>
      <c r="G1052" s="62">
        <f t="shared" si="491"/>
        <v>0.86084759708543213</v>
      </c>
      <c r="H1052" s="62">
        <f t="shared" si="491"/>
        <v>0.10713780037050936</v>
      </c>
      <c r="I1052" s="62">
        <f t="shared" si="491"/>
        <v>2.1040416412118886E-4</v>
      </c>
      <c r="J1052" s="62">
        <f t="shared" si="491"/>
        <v>7.2032484422665834E-3</v>
      </c>
      <c r="K1052" s="62">
        <f t="shared" si="491"/>
        <v>2.277315658723456E-4</v>
      </c>
      <c r="L1052" s="62">
        <f t="shared" si="491"/>
        <v>4.0100558338391286E-4</v>
      </c>
      <c r="M1052" s="62">
        <f t="shared" si="491"/>
        <v>0</v>
      </c>
      <c r="N1052" s="62">
        <f t="shared" si="491"/>
        <v>0</v>
      </c>
      <c r="O1052" s="62">
        <f t="shared" si="491"/>
        <v>0</v>
      </c>
      <c r="P1052" s="62">
        <f t="shared" si="491"/>
        <v>2.7228774180389146E-5</v>
      </c>
      <c r="Q1052" s="62">
        <f t="shared" si="491"/>
        <v>2.475343107308104E-6</v>
      </c>
      <c r="R1052" s="62">
        <f t="shared" si="491"/>
        <v>4.9506862146162081E-6</v>
      </c>
      <c r="S1052" s="62">
        <f t="shared" si="493"/>
        <v>2.3643487223764088E-2</v>
      </c>
      <c r="T1052" s="62">
        <f t="shared" si="493"/>
        <v>4.2080832824237772E-5</v>
      </c>
      <c r="U1052" s="62">
        <f t="shared" si="493"/>
        <v>2.51989928323965E-4</v>
      </c>
      <c r="V1052" s="62">
        <f t="shared" si="492"/>
        <v>0</v>
      </c>
      <c r="W1052" s="62">
        <f t="shared" si="492"/>
        <v>0</v>
      </c>
      <c r="X1052" s="58">
        <f t="shared" si="492"/>
        <v>0</v>
      </c>
      <c r="Y1052" s="58">
        <f t="shared" si="492"/>
        <v>0</v>
      </c>
      <c r="Z1052" s="58">
        <f t="shared" si="492"/>
        <v>0</v>
      </c>
      <c r="AA1052" s="62">
        <f t="shared" si="489"/>
        <v>1</v>
      </c>
      <c r="AB1052" s="68" t="str">
        <f t="shared" si="490"/>
        <v>ok</v>
      </c>
    </row>
    <row r="1053" spans="1:29" s="39" customFormat="1"/>
    <row r="1054" spans="1:29" s="39" customFormat="1">
      <c r="A1054" s="39" t="s">
        <v>1499</v>
      </c>
      <c r="F1054" s="58">
        <v>909121260.40999997</v>
      </c>
      <c r="G1054" s="58">
        <f>'Billing Det'!$F$8</f>
        <v>364714022</v>
      </c>
      <c r="H1054" s="58">
        <f>'Billing Det'!$F10</f>
        <v>136541859</v>
      </c>
      <c r="I1054" s="58">
        <f>'Billing Det'!$F$12</f>
        <v>17392664</v>
      </c>
      <c r="J1054" s="58">
        <f>'Billing Det'!$F$14</f>
        <v>178058720</v>
      </c>
      <c r="K1054" s="58">
        <f>'Billing Det'!$F$16+'Billing Det'!$F$20</f>
        <v>112462772</v>
      </c>
      <c r="L1054" s="58">
        <f>'Billing Det'!$F$18+'Billing Det'!$F$22</f>
        <v>37487526</v>
      </c>
      <c r="M1054" s="58">
        <v>0</v>
      </c>
      <c r="N1054" s="58">
        <v>0</v>
      </c>
      <c r="O1054" s="58">
        <f>'Billing Det'!$F$24</f>
        <v>0</v>
      </c>
      <c r="P1054" s="58">
        <f>'Billing Det'!$F$26</f>
        <v>29951912</v>
      </c>
      <c r="Q1054" s="58">
        <f>'Billing Det'!$F$28</f>
        <v>11987837</v>
      </c>
      <c r="R1054" s="58">
        <f>'Billing Det'!$F$30</f>
        <v>2850388</v>
      </c>
      <c r="S1054" s="58">
        <f>'Billing Det'!$F$32</f>
        <v>17199655</v>
      </c>
      <c r="T1054" s="58">
        <f>'Billing Det'!$F$34</f>
        <v>217032.16000000003</v>
      </c>
      <c r="U1054" s="58">
        <f>'Billing Det'!$F$36</f>
        <v>256873.25000000003</v>
      </c>
      <c r="V1054" s="58">
        <v>0</v>
      </c>
      <c r="W1054" s="58">
        <v>0</v>
      </c>
      <c r="X1054" s="58">
        <v>0</v>
      </c>
      <c r="Y1054" s="58">
        <v>0</v>
      </c>
      <c r="Z1054" s="58">
        <v>0</v>
      </c>
      <c r="AA1054" s="58">
        <f>SUM(G1054:Z1054)</f>
        <v>909121260.40999997</v>
      </c>
      <c r="AB1054" s="68" t="str">
        <f t="shared" ref="AB1054:AB1061" si="494">IF(ABS(F1054-AA1054)&lt;0.01,"ok","err")</f>
        <v>ok</v>
      </c>
      <c r="AC1054" s="86">
        <f>+AA1054-F1054</f>
        <v>0</v>
      </c>
    </row>
    <row r="1055" spans="1:29" s="39" customFormat="1">
      <c r="A1055" s="39" t="s">
        <v>1500</v>
      </c>
      <c r="F1055" s="58">
        <v>-1178734</v>
      </c>
      <c r="G1055" s="58"/>
      <c r="H1055" s="58"/>
      <c r="I1055" s="58"/>
      <c r="J1055" s="58"/>
      <c r="K1055" s="58">
        <f>-200398</f>
        <v>-200398</v>
      </c>
      <c r="L1055" s="58"/>
      <c r="M1055" s="58">
        <v>0</v>
      </c>
      <c r="N1055" s="58"/>
      <c r="O1055" s="58"/>
      <c r="P1055" s="58">
        <f>-978336</f>
        <v>-978336</v>
      </c>
      <c r="Q1055" s="58"/>
      <c r="R1055" s="58"/>
      <c r="S1055" s="58"/>
      <c r="T1055" s="58"/>
      <c r="U1055" s="58"/>
      <c r="V1055" s="58"/>
      <c r="W1055" s="58"/>
      <c r="X1055" s="58"/>
      <c r="Y1055" s="58"/>
      <c r="Z1055" s="58"/>
      <c r="AA1055" s="58">
        <f>SUM(G1055:Z1055)</f>
        <v>-1178734</v>
      </c>
      <c r="AB1055" s="68" t="str">
        <f t="shared" si="494"/>
        <v>ok</v>
      </c>
      <c r="AC1055" s="86"/>
    </row>
    <row r="1056" spans="1:29" s="39" customFormat="1">
      <c r="A1056" s="39" t="s">
        <v>1501</v>
      </c>
      <c r="F1056" s="58">
        <v>88518</v>
      </c>
      <c r="G1056" s="58"/>
      <c r="H1056" s="58"/>
      <c r="I1056" s="58"/>
      <c r="J1056" s="58"/>
      <c r="K1056" s="58"/>
      <c r="L1056" s="58"/>
      <c r="M1056" s="58"/>
      <c r="N1056" s="58"/>
      <c r="O1056" s="58"/>
      <c r="P1056" s="58">
        <v>88518</v>
      </c>
      <c r="Q1056" s="58"/>
      <c r="R1056" s="58"/>
      <c r="S1056" s="58"/>
      <c r="T1056" s="58"/>
      <c r="U1056" s="58"/>
      <c r="V1056" s="58"/>
      <c r="W1056" s="58"/>
      <c r="X1056" s="58"/>
      <c r="Y1056" s="58"/>
      <c r="Z1056" s="58"/>
      <c r="AA1056" s="58">
        <f>SUM(G1056:Z1056)</f>
        <v>88518</v>
      </c>
      <c r="AB1056" s="68" t="str">
        <f t="shared" si="494"/>
        <v>ok</v>
      </c>
      <c r="AC1056" s="86"/>
    </row>
    <row r="1057" spans="1:29" s="39" customFormat="1">
      <c r="A1057" s="39" t="s">
        <v>1502</v>
      </c>
      <c r="D1057" s="39" t="s">
        <v>130</v>
      </c>
      <c r="F1057" s="58">
        <f>SUM(F1054:F1056)</f>
        <v>908031044.40999997</v>
      </c>
      <c r="G1057" s="58">
        <f t="shared" ref="G1057:U1057" si="495">SUM(G1054:G1056)</f>
        <v>364714022</v>
      </c>
      <c r="H1057" s="58">
        <f t="shared" si="495"/>
        <v>136541859</v>
      </c>
      <c r="I1057" s="58">
        <f t="shared" si="495"/>
        <v>17392664</v>
      </c>
      <c r="J1057" s="58">
        <f t="shared" si="495"/>
        <v>178058720</v>
      </c>
      <c r="K1057" s="58">
        <f t="shared" si="495"/>
        <v>112262374</v>
      </c>
      <c r="L1057" s="58">
        <f t="shared" si="495"/>
        <v>37487526</v>
      </c>
      <c r="M1057" s="58">
        <f t="shared" si="495"/>
        <v>0</v>
      </c>
      <c r="N1057" s="58">
        <f t="shared" si="495"/>
        <v>0</v>
      </c>
      <c r="O1057" s="58">
        <f t="shared" si="495"/>
        <v>0</v>
      </c>
      <c r="P1057" s="58">
        <f t="shared" si="495"/>
        <v>29062094</v>
      </c>
      <c r="Q1057" s="58">
        <f t="shared" si="495"/>
        <v>11987837</v>
      </c>
      <c r="R1057" s="58">
        <f t="shared" si="495"/>
        <v>2850388</v>
      </c>
      <c r="S1057" s="58">
        <f t="shared" si="495"/>
        <v>17199655</v>
      </c>
      <c r="T1057" s="58">
        <f t="shared" si="495"/>
        <v>217032.16000000003</v>
      </c>
      <c r="U1057" s="58">
        <f t="shared" si="495"/>
        <v>256873.25000000003</v>
      </c>
      <c r="V1057" s="58"/>
      <c r="W1057" s="58"/>
      <c r="X1057" s="58"/>
      <c r="Y1057" s="58"/>
      <c r="Z1057" s="58"/>
      <c r="AA1057" s="58">
        <f>SUM(G1057:Z1057)</f>
        <v>908031044.40999997</v>
      </c>
      <c r="AB1057" s="68" t="str">
        <f t="shared" si="494"/>
        <v>ok</v>
      </c>
      <c r="AC1057" s="86"/>
    </row>
    <row r="1058" spans="1:29" s="39" customFormat="1">
      <c r="A1058" s="39" t="s">
        <v>1034</v>
      </c>
      <c r="F1058" s="58">
        <v>11562384799</v>
      </c>
      <c r="G1058" s="58">
        <f>'Billing Det'!D8</f>
        <v>4217378380</v>
      </c>
      <c r="H1058" s="58">
        <f>'Billing Det'!$D10</f>
        <v>1434062636</v>
      </c>
      <c r="I1058" s="58">
        <f>'Billing Det'!D12</f>
        <v>238816300</v>
      </c>
      <c r="J1058" s="58">
        <f>'Billing Det'!D14</f>
        <v>2332828585</v>
      </c>
      <c r="K1058" s="58">
        <f>'Billing Det'!D16+'Billing Det'!D20</f>
        <v>1886025951</v>
      </c>
      <c r="L1058" s="58">
        <f>'Billing Det'!D18+'Billing Det'!D22</f>
        <v>549360142</v>
      </c>
      <c r="M1058" s="58">
        <v>0</v>
      </c>
      <c r="N1058" s="58">
        <v>0</v>
      </c>
      <c r="O1058" s="58">
        <f>'Billing Det'!D24</f>
        <v>0</v>
      </c>
      <c r="P1058" s="58">
        <f>'Billing Det'!D26</f>
        <v>523880472</v>
      </c>
      <c r="Q1058" s="58">
        <f>'Billing Det'!D28</f>
        <v>215705000</v>
      </c>
      <c r="R1058" s="58">
        <f>'Billing Det'!D30</f>
        <v>53731200</v>
      </c>
      <c r="S1058" s="58">
        <f>'Billing Det'!D32</f>
        <v>103846198</v>
      </c>
      <c r="T1058" s="58">
        <f>'Billing Det'!D34</f>
        <v>3674215</v>
      </c>
      <c r="U1058" s="58">
        <f>'Billing Det'!D36</f>
        <v>3075720</v>
      </c>
      <c r="V1058" s="58">
        <v>0</v>
      </c>
      <c r="W1058" s="58">
        <v>0</v>
      </c>
      <c r="X1058" s="58">
        <v>0</v>
      </c>
      <c r="Y1058" s="58">
        <v>0</v>
      </c>
      <c r="Z1058" s="58">
        <v>0</v>
      </c>
      <c r="AA1058" s="58">
        <f t="shared" ref="AA1058:AA1070" si="496">SUM(G1058:Z1058)</f>
        <v>11562384799</v>
      </c>
      <c r="AB1058" s="68" t="str">
        <f t="shared" si="494"/>
        <v>ok</v>
      </c>
    </row>
    <row r="1059" spans="1:29" s="204" customFormat="1">
      <c r="A1059" s="39" t="s">
        <v>1483</v>
      </c>
      <c r="F1059" s="58">
        <v>4237200</v>
      </c>
      <c r="G1059" s="58">
        <f>'Billing Det'!E8</f>
        <v>-1191004</v>
      </c>
      <c r="H1059" s="58">
        <f>'Billing Det'!E10</f>
        <v>-26247143</v>
      </c>
      <c r="I1059" s="58">
        <f>'Billing Det'!E12</f>
        <v>-4331880</v>
      </c>
      <c r="J1059" s="58">
        <f>'Billing Det'!E14</f>
        <v>-18417463</v>
      </c>
      <c r="K1059" s="58">
        <f>'Billing Det'!E16+'Billing Det'!E20</f>
        <v>6819812</v>
      </c>
      <c r="L1059" s="58">
        <f>'Billing Det'!E18+'Billing Det'!E22</f>
        <v>43361211</v>
      </c>
      <c r="M1059" s="58">
        <v>0</v>
      </c>
      <c r="N1059" s="58">
        <v>0</v>
      </c>
      <c r="O1059" s="58"/>
      <c r="P1059" s="58">
        <f>'Billing Det'!E26</f>
        <v>0</v>
      </c>
      <c r="Q1059" s="58">
        <f>'Billing Det'!E28</f>
        <v>0</v>
      </c>
      <c r="R1059" s="58">
        <f>'Billing Det'!E30</f>
        <v>4237200</v>
      </c>
      <c r="S1059" s="58">
        <f>'Billing Det'!E32</f>
        <v>0</v>
      </c>
      <c r="T1059" s="58">
        <f>'Billing Det'!E34</f>
        <v>6467</v>
      </c>
      <c r="U1059" s="58">
        <f>'Billing Det'!E36</f>
        <v>0</v>
      </c>
      <c r="V1059" s="205"/>
      <c r="W1059" s="206"/>
      <c r="X1059" s="207"/>
      <c r="AA1059" s="58">
        <f>SUM(G1059:Z1059)</f>
        <v>4237200</v>
      </c>
      <c r="AB1059" s="68" t="str">
        <f t="shared" si="494"/>
        <v>ok</v>
      </c>
    </row>
    <row r="1060" spans="1:29" s="204" customFormat="1">
      <c r="A1060" s="39" t="s">
        <v>1484</v>
      </c>
      <c r="F1060" s="58">
        <f>F1058+F1059</f>
        <v>11566621999</v>
      </c>
      <c r="G1060" s="58">
        <f>G1058+G1059</f>
        <v>4216187376</v>
      </c>
      <c r="H1060" s="58">
        <f t="shared" ref="H1060:U1060" si="497">H1058+H1059</f>
        <v>1407815493</v>
      </c>
      <c r="I1060" s="58">
        <f t="shared" si="497"/>
        <v>234484420</v>
      </c>
      <c r="J1060" s="58">
        <f t="shared" si="497"/>
        <v>2314411122</v>
      </c>
      <c r="K1060" s="58">
        <f t="shared" si="497"/>
        <v>1892845763</v>
      </c>
      <c r="L1060" s="58">
        <f t="shared" si="497"/>
        <v>592721353</v>
      </c>
      <c r="M1060" s="58">
        <f t="shared" si="497"/>
        <v>0</v>
      </c>
      <c r="N1060" s="58">
        <f t="shared" si="497"/>
        <v>0</v>
      </c>
      <c r="O1060" s="58">
        <f t="shared" si="497"/>
        <v>0</v>
      </c>
      <c r="P1060" s="58">
        <f t="shared" si="497"/>
        <v>523880472</v>
      </c>
      <c r="Q1060" s="58">
        <f t="shared" si="497"/>
        <v>215705000</v>
      </c>
      <c r="R1060" s="58">
        <f t="shared" si="497"/>
        <v>57968400</v>
      </c>
      <c r="S1060" s="58">
        <f t="shared" si="497"/>
        <v>103846198</v>
      </c>
      <c r="T1060" s="58">
        <f t="shared" si="497"/>
        <v>3680682</v>
      </c>
      <c r="U1060" s="58">
        <f t="shared" si="497"/>
        <v>3075720</v>
      </c>
      <c r="V1060" s="205"/>
      <c r="W1060" s="206"/>
      <c r="X1060" s="207"/>
      <c r="AA1060" s="58">
        <f>SUM(G1060:Z1060)</f>
        <v>11566621999</v>
      </c>
      <c r="AB1060" s="68" t="str">
        <f t="shared" si="494"/>
        <v>ok</v>
      </c>
    </row>
    <row r="1061" spans="1:29" s="39" customFormat="1">
      <c r="A1061" s="39" t="s">
        <v>751</v>
      </c>
      <c r="D1061" s="39" t="s">
        <v>1034</v>
      </c>
      <c r="F1061" s="58">
        <v>12251529227.047928</v>
      </c>
      <c r="G1061" s="58">
        <f>G1060/(1-0.061646)</f>
        <v>4493173552.8382673</v>
      </c>
      <c r="H1061" s="58">
        <f>H1060/(1-0.061646)</f>
        <v>1500303183.0204804</v>
      </c>
      <c r="I1061" s="58">
        <f>I1060/(1-0.041817)</f>
        <v>244717783.5549159</v>
      </c>
      <c r="J1061" s="58">
        <f>J1060/(1-0.061646)</f>
        <v>2466458417.6121163</v>
      </c>
      <c r="K1061" s="58">
        <f>K1060/(1-0.041817)</f>
        <v>1975453293.3688033</v>
      </c>
      <c r="L1061" s="58">
        <f>L1060/(1-0.061646)</f>
        <v>631660709.0714165</v>
      </c>
      <c r="M1061" s="58">
        <f>M1060/(1-0.041817)</f>
        <v>0</v>
      </c>
      <c r="N1061" s="58">
        <f>N1060/(1-0.061646)</f>
        <v>0</v>
      </c>
      <c r="O1061" s="58">
        <f>O1060/(1-0.023115)</f>
        <v>0</v>
      </c>
      <c r="P1061" s="58">
        <f>P1060/(1-0.023115)</f>
        <v>536276503.37552524</v>
      </c>
      <c r="Q1061" s="58">
        <f>Q1060/(1-0.041817)</f>
        <v>225118792.54797882</v>
      </c>
      <c r="R1061" s="58">
        <f>R1060/(1-0.041817)</f>
        <v>60498255.552436225</v>
      </c>
      <c r="S1061" s="58">
        <f>S1060/(1-0.061646)</f>
        <v>110668466.27179082</v>
      </c>
      <c r="T1061" s="58">
        <f>T1060/(1-0.061646)</f>
        <v>3922487.6752270465</v>
      </c>
      <c r="U1061" s="58">
        <f>U1060/(1-0.061646)</f>
        <v>3277782.1589719872</v>
      </c>
      <c r="V1061" s="58">
        <f>V1058/(1-0.041817)</f>
        <v>0</v>
      </c>
      <c r="W1061" s="58">
        <f>W1058/(1-0.061646)</f>
        <v>0</v>
      </c>
      <c r="X1061" s="58">
        <v>0</v>
      </c>
      <c r="Y1061" s="58">
        <v>0</v>
      </c>
      <c r="Z1061" s="58">
        <v>0</v>
      </c>
      <c r="AA1061" s="58">
        <f>SUM(G1061:Z1061)</f>
        <v>12251529227.04793</v>
      </c>
      <c r="AB1061" s="68" t="str">
        <f t="shared" si="494"/>
        <v>ok</v>
      </c>
      <c r="AC1061" s="86">
        <f>+AA1061-F1061</f>
        <v>0</v>
      </c>
    </row>
    <row r="1062" spans="1:29" s="39" customFormat="1">
      <c r="F1062" s="58"/>
      <c r="G1062" s="58"/>
      <c r="H1062" s="58"/>
      <c r="I1062" s="58"/>
      <c r="J1062" s="58"/>
      <c r="K1062" s="58"/>
      <c r="L1062" s="58"/>
      <c r="M1062" s="58"/>
      <c r="N1062" s="58"/>
      <c r="O1062" s="84"/>
      <c r="P1062" s="84"/>
      <c r="Q1062" s="58"/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  <c r="AB1062" s="68"/>
    </row>
    <row r="1063" spans="1:29" s="39" customFormat="1">
      <c r="A1063" s="44" t="s">
        <v>976</v>
      </c>
      <c r="F1063" s="58"/>
      <c r="G1063" s="58"/>
      <c r="H1063" s="58"/>
      <c r="I1063" s="58"/>
      <c r="J1063" s="58"/>
      <c r="K1063" s="58"/>
      <c r="L1063" s="58"/>
      <c r="M1063" s="58"/>
      <c r="N1063" s="58"/>
      <c r="O1063" s="58"/>
      <c r="P1063" s="58"/>
      <c r="Q1063" s="58"/>
      <c r="R1063" s="58"/>
      <c r="S1063" s="58"/>
      <c r="T1063" s="58"/>
      <c r="U1063" s="58"/>
      <c r="V1063" s="58"/>
      <c r="W1063" s="58"/>
      <c r="X1063" s="58"/>
      <c r="Y1063" s="58"/>
      <c r="Z1063" s="58"/>
      <c r="AA1063" s="58"/>
      <c r="AB1063" s="68"/>
    </row>
    <row r="1064" spans="1:29" s="39" customFormat="1">
      <c r="A1064" s="39" t="s">
        <v>127</v>
      </c>
      <c r="F1064" s="58">
        <v>5892216</v>
      </c>
      <c r="G1064" s="58">
        <f>'Billing Det'!C8*12</f>
        <v>4173228</v>
      </c>
      <c r="H1064" s="58">
        <f>'Billing Det'!C10*12</f>
        <v>519384</v>
      </c>
      <c r="I1064" s="58">
        <f>'Billing Det'!C12*12</f>
        <v>1020</v>
      </c>
      <c r="J1064" s="58">
        <f>'Billing Det'!C14*12</f>
        <v>34920</v>
      </c>
      <c r="K1064" s="58">
        <f>('Billing Det'!C16+'Billing Det'!C20)*12</f>
        <v>1104</v>
      </c>
      <c r="L1064" s="58">
        <f>('Billing Det'!C18+'Billing Det'!C22)*12</f>
        <v>1944</v>
      </c>
      <c r="M1064" s="58">
        <v>0</v>
      </c>
      <c r="N1064" s="58">
        <v>0</v>
      </c>
      <c r="O1064" s="58">
        <f>'Billing Det'!C24*12</f>
        <v>0</v>
      </c>
      <c r="P1064" s="58">
        <f>'Billing Det'!C26*12</f>
        <v>132</v>
      </c>
      <c r="Q1064" s="58">
        <f>'Billing Det'!C28*12</f>
        <v>12</v>
      </c>
      <c r="R1064" s="58">
        <f>'Billing Det'!C30*12</f>
        <v>24</v>
      </c>
      <c r="S1064" s="58">
        <f>'Billing Det'!C32*12</f>
        <v>1146192</v>
      </c>
      <c r="T1064" s="58">
        <f>'Billing Det'!C34*12</f>
        <v>2040</v>
      </c>
      <c r="U1064" s="58">
        <f>'Billing Det'!C36*12</f>
        <v>12216</v>
      </c>
      <c r="V1064" s="58">
        <v>0</v>
      </c>
      <c r="W1064" s="58">
        <v>0</v>
      </c>
      <c r="X1064" s="58">
        <v>0</v>
      </c>
      <c r="Y1064" s="58">
        <v>0</v>
      </c>
      <c r="Z1064" s="58">
        <v>0</v>
      </c>
      <c r="AA1064" s="58">
        <f t="shared" si="496"/>
        <v>5892216</v>
      </c>
      <c r="AB1064" s="68" t="str">
        <f t="shared" ref="AB1064:AB1072" si="498">IF(ABS(F1064-AA1064)&lt;0.01,"ok","err")</f>
        <v>ok</v>
      </c>
    </row>
    <row r="1065" spans="1:29" s="39" customFormat="1">
      <c r="A1065" s="39" t="s">
        <v>128</v>
      </c>
      <c r="F1065" s="58">
        <v>491018</v>
      </c>
      <c r="G1065" s="58">
        <f>G1064/12</f>
        <v>347769</v>
      </c>
      <c r="H1065" s="58">
        <f t="shared" ref="H1065:P1065" si="499">H1064/12</f>
        <v>43282</v>
      </c>
      <c r="I1065" s="58">
        <f t="shared" si="499"/>
        <v>85</v>
      </c>
      <c r="J1065" s="58">
        <f t="shared" si="499"/>
        <v>2910</v>
      </c>
      <c r="K1065" s="58">
        <f t="shared" si="499"/>
        <v>92</v>
      </c>
      <c r="L1065" s="58">
        <f t="shared" si="499"/>
        <v>162</v>
      </c>
      <c r="M1065" s="58">
        <f t="shared" si="499"/>
        <v>0</v>
      </c>
      <c r="N1065" s="58">
        <f t="shared" si="499"/>
        <v>0</v>
      </c>
      <c r="O1065" s="58">
        <f>O1064/12</f>
        <v>0</v>
      </c>
      <c r="P1065" s="58">
        <f t="shared" si="499"/>
        <v>11</v>
      </c>
      <c r="Q1065" s="58">
        <f>Q1064/12</f>
        <v>1</v>
      </c>
      <c r="R1065" s="58">
        <f>R1064/12</f>
        <v>2</v>
      </c>
      <c r="S1065" s="58">
        <f>S1064/12</f>
        <v>95516</v>
      </c>
      <c r="T1065" s="58">
        <f>T1064/12</f>
        <v>170</v>
      </c>
      <c r="U1065" s="58">
        <f t="shared" ref="U1065:Z1065" si="500">U1064/12</f>
        <v>1018</v>
      </c>
      <c r="V1065" s="58">
        <f t="shared" si="500"/>
        <v>0</v>
      </c>
      <c r="W1065" s="58">
        <f t="shared" si="500"/>
        <v>0</v>
      </c>
      <c r="X1065" s="58">
        <f t="shared" si="500"/>
        <v>0</v>
      </c>
      <c r="Y1065" s="58">
        <f t="shared" si="500"/>
        <v>0</v>
      </c>
      <c r="Z1065" s="58">
        <f t="shared" si="500"/>
        <v>0</v>
      </c>
      <c r="AA1065" s="58">
        <f t="shared" si="496"/>
        <v>491018</v>
      </c>
      <c r="AB1065" s="68" t="str">
        <f t="shared" si="498"/>
        <v>ok</v>
      </c>
    </row>
    <row r="1066" spans="1:29" s="39" customFormat="1">
      <c r="A1066" s="39" t="s">
        <v>129</v>
      </c>
      <c r="F1066" s="58">
        <v>491018</v>
      </c>
      <c r="G1066" s="86">
        <f>G1065</f>
        <v>347769</v>
      </c>
      <c r="H1066" s="86">
        <f t="shared" ref="H1066:M1066" si="501">H1065</f>
        <v>43282</v>
      </c>
      <c r="I1066" s="86">
        <f t="shared" si="501"/>
        <v>85</v>
      </c>
      <c r="J1066" s="86">
        <f t="shared" si="501"/>
        <v>2910</v>
      </c>
      <c r="K1066" s="86">
        <f t="shared" si="501"/>
        <v>92</v>
      </c>
      <c r="L1066" s="86">
        <f t="shared" si="501"/>
        <v>162</v>
      </c>
      <c r="M1066" s="86">
        <f t="shared" si="501"/>
        <v>0</v>
      </c>
      <c r="N1066" s="86">
        <f t="shared" ref="N1066:T1066" si="502">N1065</f>
        <v>0</v>
      </c>
      <c r="O1066" s="86">
        <f>O1065</f>
        <v>0</v>
      </c>
      <c r="P1066" s="86">
        <f t="shared" si="502"/>
        <v>11</v>
      </c>
      <c r="Q1066" s="86">
        <f t="shared" si="502"/>
        <v>1</v>
      </c>
      <c r="R1066" s="86">
        <f t="shared" si="502"/>
        <v>2</v>
      </c>
      <c r="S1066" s="86">
        <f t="shared" si="502"/>
        <v>95516</v>
      </c>
      <c r="T1066" s="86">
        <f t="shared" si="502"/>
        <v>170</v>
      </c>
      <c r="U1066" s="86">
        <f t="shared" ref="U1066:Z1067" si="503">U1065</f>
        <v>1018</v>
      </c>
      <c r="V1066" s="86">
        <f t="shared" si="503"/>
        <v>0</v>
      </c>
      <c r="W1066" s="86">
        <f t="shared" si="503"/>
        <v>0</v>
      </c>
      <c r="X1066" s="86">
        <f t="shared" si="503"/>
        <v>0</v>
      </c>
      <c r="Y1066" s="86">
        <f t="shared" si="503"/>
        <v>0</v>
      </c>
      <c r="Z1066" s="86">
        <f t="shared" si="503"/>
        <v>0</v>
      </c>
      <c r="AA1066" s="58">
        <f t="shared" si="496"/>
        <v>491018</v>
      </c>
      <c r="AB1066" s="68" t="str">
        <f t="shared" si="498"/>
        <v>ok</v>
      </c>
    </row>
    <row r="1067" spans="1:29" s="39" customFormat="1">
      <c r="A1067" s="39" t="s">
        <v>1450</v>
      </c>
      <c r="D1067" s="39" t="s">
        <v>158</v>
      </c>
      <c r="F1067" s="58">
        <v>465618.39999999997</v>
      </c>
      <c r="G1067" s="86">
        <f>G1066</f>
        <v>347769</v>
      </c>
      <c r="H1067" s="86">
        <f>H1066*2</f>
        <v>86564</v>
      </c>
      <c r="I1067" s="86">
        <f>I1066*5</f>
        <v>425</v>
      </c>
      <c r="J1067" s="86">
        <f>J1066*5</f>
        <v>14550</v>
      </c>
      <c r="K1067" s="86">
        <f t="shared" ref="K1067:P1067" si="504">K1066*25</f>
        <v>2300</v>
      </c>
      <c r="L1067" s="86">
        <f t="shared" si="504"/>
        <v>4050</v>
      </c>
      <c r="M1067" s="86">
        <f t="shared" si="504"/>
        <v>0</v>
      </c>
      <c r="N1067" s="86">
        <f t="shared" si="504"/>
        <v>0</v>
      </c>
      <c r="O1067" s="86">
        <f t="shared" si="504"/>
        <v>0</v>
      </c>
      <c r="P1067" s="86">
        <f t="shared" si="504"/>
        <v>275</v>
      </c>
      <c r="Q1067" s="86">
        <f>Q1066*5</f>
        <v>5</v>
      </c>
      <c r="R1067" s="86">
        <f>R1066*5</f>
        <v>10</v>
      </c>
      <c r="S1067" s="86">
        <f>S1066*(1/10)</f>
        <v>9551.6</v>
      </c>
      <c r="T1067" s="86">
        <f>T1066*(1/10)</f>
        <v>17</v>
      </c>
      <c r="U1067" s="86">
        <f>U1066*(1/10)</f>
        <v>101.80000000000001</v>
      </c>
      <c r="V1067" s="86">
        <f t="shared" si="503"/>
        <v>0</v>
      </c>
      <c r="W1067" s="86">
        <f t="shared" si="503"/>
        <v>0</v>
      </c>
      <c r="X1067" s="86">
        <f t="shared" si="503"/>
        <v>0</v>
      </c>
      <c r="Y1067" s="86">
        <f t="shared" si="503"/>
        <v>0</v>
      </c>
      <c r="Z1067" s="86">
        <f t="shared" si="503"/>
        <v>0</v>
      </c>
      <c r="AA1067" s="58">
        <f t="shared" si="496"/>
        <v>465618.39999999997</v>
      </c>
      <c r="AB1067" s="68" t="str">
        <f t="shared" si="498"/>
        <v>ok</v>
      </c>
    </row>
    <row r="1068" spans="1:29" s="39" customFormat="1">
      <c r="A1068" s="39" t="s">
        <v>1192</v>
      </c>
      <c r="D1068" s="39" t="s">
        <v>132</v>
      </c>
      <c r="F1068" s="58">
        <v>95516</v>
      </c>
      <c r="K1068" s="86"/>
      <c r="L1068" s="58">
        <v>0</v>
      </c>
      <c r="N1068" s="86">
        <v>0</v>
      </c>
      <c r="O1068" s="86">
        <v>0</v>
      </c>
      <c r="P1068" s="86">
        <v>0</v>
      </c>
      <c r="Q1068" s="86">
        <v>0</v>
      </c>
      <c r="R1068" s="86">
        <v>0</v>
      </c>
      <c r="S1068" s="86">
        <f>S1065</f>
        <v>95516</v>
      </c>
      <c r="T1068" s="86">
        <v>0</v>
      </c>
      <c r="U1068" s="86">
        <v>0</v>
      </c>
      <c r="V1068" s="86"/>
      <c r="W1068" s="86"/>
      <c r="X1068" s="86"/>
      <c r="Y1068" s="86"/>
      <c r="Z1068" s="86"/>
      <c r="AA1068" s="58">
        <f t="shared" si="496"/>
        <v>95516</v>
      </c>
      <c r="AB1068" s="68" t="str">
        <f t="shared" si="498"/>
        <v>ok</v>
      </c>
    </row>
    <row r="1069" spans="1:29" s="39" customFormat="1">
      <c r="A1069" s="39" t="s">
        <v>157</v>
      </c>
      <c r="D1069" s="39" t="s">
        <v>131</v>
      </c>
      <c r="F1069" s="58">
        <v>491018</v>
      </c>
      <c r="G1069" s="86">
        <f>G1066</f>
        <v>347769</v>
      </c>
      <c r="H1069" s="86">
        <f>H1066</f>
        <v>43282</v>
      </c>
      <c r="I1069" s="86">
        <f>I1066</f>
        <v>85</v>
      </c>
      <c r="J1069" s="86">
        <f>J1066</f>
        <v>2910</v>
      </c>
      <c r="K1069" s="86">
        <f t="shared" ref="K1069:W1069" si="505">K1066</f>
        <v>92</v>
      </c>
      <c r="L1069" s="86">
        <f t="shared" si="505"/>
        <v>162</v>
      </c>
      <c r="M1069" s="86">
        <f t="shared" si="505"/>
        <v>0</v>
      </c>
      <c r="N1069" s="86">
        <f t="shared" si="505"/>
        <v>0</v>
      </c>
      <c r="O1069" s="86">
        <f>O1066</f>
        <v>0</v>
      </c>
      <c r="P1069" s="86">
        <f t="shared" si="505"/>
        <v>11</v>
      </c>
      <c r="Q1069" s="86">
        <f t="shared" si="505"/>
        <v>1</v>
      </c>
      <c r="R1069" s="86">
        <f t="shared" si="505"/>
        <v>2</v>
      </c>
      <c r="S1069" s="86">
        <f t="shared" si="505"/>
        <v>95516</v>
      </c>
      <c r="T1069" s="86">
        <f t="shared" si="505"/>
        <v>170</v>
      </c>
      <c r="U1069" s="86">
        <f t="shared" si="505"/>
        <v>1018</v>
      </c>
      <c r="V1069" s="86">
        <f t="shared" si="505"/>
        <v>0</v>
      </c>
      <c r="W1069" s="86">
        <f t="shared" si="505"/>
        <v>0</v>
      </c>
      <c r="X1069" s="86">
        <f>X1067</f>
        <v>0</v>
      </c>
      <c r="Y1069" s="86">
        <f>Y1067</f>
        <v>0</v>
      </c>
      <c r="Z1069" s="86">
        <f>Z1067</f>
        <v>0</v>
      </c>
      <c r="AA1069" s="58">
        <f t="shared" si="496"/>
        <v>491018</v>
      </c>
      <c r="AB1069" s="68" t="str">
        <f t="shared" si="498"/>
        <v>ok</v>
      </c>
    </row>
    <row r="1070" spans="1:29" s="39" customFormat="1">
      <c r="A1070" s="39" t="s">
        <v>1454</v>
      </c>
      <c r="D1070" s="39" t="s">
        <v>159</v>
      </c>
      <c r="F1070" s="58">
        <v>403984.39999999997</v>
      </c>
      <c r="G1070" s="86">
        <f>G1066</f>
        <v>347769</v>
      </c>
      <c r="H1070" s="86">
        <f t="shared" ref="H1070:N1070" si="506">H1066</f>
        <v>43282</v>
      </c>
      <c r="I1070" s="86">
        <f t="shared" si="506"/>
        <v>85</v>
      </c>
      <c r="J1070" s="86">
        <f t="shared" si="506"/>
        <v>2910</v>
      </c>
      <c r="K1070" s="86">
        <f t="shared" si="506"/>
        <v>92</v>
      </c>
      <c r="L1070" s="86">
        <f t="shared" si="506"/>
        <v>162</v>
      </c>
      <c r="M1070" s="86">
        <f t="shared" si="506"/>
        <v>0</v>
      </c>
      <c r="N1070" s="86">
        <f t="shared" si="506"/>
        <v>0</v>
      </c>
      <c r="O1070" s="86">
        <f>O1069</f>
        <v>0</v>
      </c>
      <c r="P1070" s="86">
        <f>P1069</f>
        <v>11</v>
      </c>
      <c r="Q1070" s="86">
        <f t="shared" ref="Q1070:W1070" si="507">Q1069</f>
        <v>1</v>
      </c>
      <c r="R1070" s="86">
        <f t="shared" si="507"/>
        <v>2</v>
      </c>
      <c r="S1070" s="86">
        <f>S1069/10</f>
        <v>9551.6</v>
      </c>
      <c r="T1070" s="86">
        <f>T1069/10</f>
        <v>17</v>
      </c>
      <c r="U1070" s="86">
        <f>U1069/10</f>
        <v>101.8</v>
      </c>
      <c r="V1070" s="86">
        <f t="shared" si="507"/>
        <v>0</v>
      </c>
      <c r="W1070" s="86">
        <f t="shared" si="507"/>
        <v>0</v>
      </c>
      <c r="X1070" s="86"/>
      <c r="Y1070" s="86"/>
      <c r="Z1070" s="86"/>
      <c r="AA1070" s="58">
        <f t="shared" si="496"/>
        <v>403984.39999999997</v>
      </c>
      <c r="AB1070" s="68" t="str">
        <f t="shared" si="498"/>
        <v>ok</v>
      </c>
    </row>
    <row r="1071" spans="1:29" s="39" customFormat="1">
      <c r="A1071" s="39" t="s">
        <v>965</v>
      </c>
      <c r="D1071" s="39" t="s">
        <v>732</v>
      </c>
      <c r="F1071" s="58">
        <v>403793.39999999997</v>
      </c>
      <c r="G1071" s="86">
        <f>G1070</f>
        <v>347769</v>
      </c>
      <c r="H1071" s="86">
        <f>H1070</f>
        <v>43282</v>
      </c>
      <c r="I1071" s="86">
        <v>0</v>
      </c>
      <c r="J1071" s="86">
        <f>J1070</f>
        <v>2910</v>
      </c>
      <c r="K1071" s="86">
        <v>0</v>
      </c>
      <c r="L1071" s="86">
        <f>L1070</f>
        <v>162</v>
      </c>
      <c r="M1071" s="86">
        <v>0</v>
      </c>
      <c r="N1071" s="86">
        <f>N1070</f>
        <v>0</v>
      </c>
      <c r="O1071" s="86">
        <v>0</v>
      </c>
      <c r="P1071" s="86">
        <v>0</v>
      </c>
      <c r="Q1071" s="86">
        <v>0</v>
      </c>
      <c r="R1071" s="86">
        <v>0</v>
      </c>
      <c r="S1071" s="86">
        <f>S1069/10</f>
        <v>9551.6</v>
      </c>
      <c r="T1071" s="86">
        <f>T1069/10</f>
        <v>17</v>
      </c>
      <c r="U1071" s="86">
        <f>U1069/10</f>
        <v>101.8</v>
      </c>
      <c r="V1071" s="86">
        <v>0</v>
      </c>
      <c r="W1071" s="86">
        <f>W1070</f>
        <v>0</v>
      </c>
      <c r="X1071" s="86"/>
      <c r="Y1071" s="86"/>
      <c r="Z1071" s="86"/>
      <c r="AA1071" s="58">
        <f>SUM(G1071:Z1071)</f>
        <v>403793.39999999997</v>
      </c>
      <c r="AB1071" s="68" t="str">
        <f t="shared" si="498"/>
        <v>ok</v>
      </c>
    </row>
    <row r="1072" spans="1:29" s="39" customFormat="1">
      <c r="A1072" s="39" t="s">
        <v>966</v>
      </c>
      <c r="D1072" s="39" t="s">
        <v>733</v>
      </c>
      <c r="F1072" s="58">
        <v>403973.39999999997</v>
      </c>
      <c r="G1072" s="86">
        <f>G1069</f>
        <v>347769</v>
      </c>
      <c r="H1072" s="86">
        <f t="shared" ref="H1072:R1072" si="508">H1069</f>
        <v>43282</v>
      </c>
      <c r="I1072" s="86">
        <f t="shared" si="508"/>
        <v>85</v>
      </c>
      <c r="J1072" s="86">
        <f t="shared" si="508"/>
        <v>2910</v>
      </c>
      <c r="K1072" s="86">
        <f t="shared" si="508"/>
        <v>92</v>
      </c>
      <c r="L1072" s="86">
        <f t="shared" si="508"/>
        <v>162</v>
      </c>
      <c r="M1072" s="86">
        <f t="shared" si="508"/>
        <v>0</v>
      </c>
      <c r="N1072" s="86">
        <f t="shared" si="508"/>
        <v>0</v>
      </c>
      <c r="O1072" s="86">
        <v>0</v>
      </c>
      <c r="P1072" s="86">
        <v>0</v>
      </c>
      <c r="Q1072" s="86">
        <f t="shared" si="508"/>
        <v>1</v>
      </c>
      <c r="R1072" s="86">
        <f t="shared" si="508"/>
        <v>2</v>
      </c>
      <c r="S1072" s="86">
        <f>S1069/10</f>
        <v>9551.6</v>
      </c>
      <c r="T1072" s="86">
        <f>T1069/10</f>
        <v>17</v>
      </c>
      <c r="U1072" s="86">
        <f>U1069/10</f>
        <v>101.8</v>
      </c>
      <c r="V1072" s="86">
        <f>V1069</f>
        <v>0</v>
      </c>
      <c r="W1072" s="86">
        <f>W1069</f>
        <v>0</v>
      </c>
      <c r="X1072" s="86">
        <f>X1071</f>
        <v>0</v>
      </c>
      <c r="Y1072" s="86">
        <f>Y1071</f>
        <v>0</v>
      </c>
      <c r="Z1072" s="86">
        <f>Z1071</f>
        <v>0</v>
      </c>
      <c r="AA1072" s="58">
        <f>SUM(G1072:Z1072)</f>
        <v>403973.39999999997</v>
      </c>
      <c r="AB1072" s="68" t="str">
        <f t="shared" si="498"/>
        <v>ok</v>
      </c>
    </row>
    <row r="1073" spans="1:29" s="39" customFormat="1">
      <c r="F1073" s="58"/>
      <c r="G1073" s="86"/>
      <c r="H1073" s="86"/>
      <c r="I1073" s="86"/>
      <c r="J1073" s="86"/>
      <c r="K1073" s="86"/>
      <c r="L1073" s="86"/>
      <c r="M1073" s="86"/>
      <c r="N1073" s="86"/>
      <c r="O1073" s="86"/>
      <c r="P1073" s="86"/>
      <c r="Q1073" s="86"/>
      <c r="R1073" s="86"/>
      <c r="S1073" s="86"/>
      <c r="T1073" s="86"/>
      <c r="U1073" s="86"/>
      <c r="V1073" s="86"/>
      <c r="W1073" s="86"/>
      <c r="X1073" s="86"/>
      <c r="Y1073" s="86"/>
      <c r="Z1073" s="86"/>
      <c r="AA1073" s="58"/>
      <c r="AB1073" s="68"/>
    </row>
    <row r="1074" spans="1:29" s="39" customFormat="1">
      <c r="A1074" s="44" t="s">
        <v>977</v>
      </c>
      <c r="F1074" s="58"/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8"/>
      <c r="Z1074" s="58"/>
      <c r="AA1074" s="58"/>
      <c r="AB1074" s="68"/>
    </row>
    <row r="1075" spans="1:29" s="39" customFormat="1">
      <c r="A1075" s="39" t="s">
        <v>978</v>
      </c>
      <c r="F1075" s="58">
        <v>488377</v>
      </c>
      <c r="G1075" s="58">
        <f>'Billing Det'!B8</f>
        <v>352585</v>
      </c>
      <c r="H1075" s="58">
        <f>'Billing Det'!B10</f>
        <v>44326</v>
      </c>
      <c r="I1075" s="58">
        <f>'Billing Det'!B12</f>
        <v>85</v>
      </c>
      <c r="J1075" s="58">
        <f>'Billing Det'!B14</f>
        <v>2899</v>
      </c>
      <c r="K1075" s="58">
        <f>'Billing Det'!B16+'Billing Det'!B20</f>
        <v>94</v>
      </c>
      <c r="L1075" s="58">
        <f>'Billing Det'!B18+'Billing Det'!B22</f>
        <v>157</v>
      </c>
      <c r="M1075" s="58">
        <v>0</v>
      </c>
      <c r="N1075" s="58">
        <v>0</v>
      </c>
      <c r="O1075" s="58">
        <f>'Billing Det'!B24</f>
        <v>0</v>
      </c>
      <c r="P1075" s="58">
        <f>'Billing Det'!B26</f>
        <v>11</v>
      </c>
      <c r="Q1075" s="58">
        <f>'Billing Det'!B28</f>
        <v>1</v>
      </c>
      <c r="R1075" s="58">
        <f>'Billing Det'!B30</f>
        <v>2</v>
      </c>
      <c r="S1075" s="58">
        <f>'Billing Det'!B32</f>
        <v>87026</v>
      </c>
      <c r="T1075" s="58">
        <f>'Billing Det'!B34</f>
        <v>173</v>
      </c>
      <c r="U1075" s="58">
        <f>'Billing Det'!B36</f>
        <v>1018</v>
      </c>
      <c r="V1075" s="58">
        <v>0</v>
      </c>
      <c r="W1075" s="58">
        <v>0</v>
      </c>
      <c r="X1075" s="58">
        <v>0</v>
      </c>
      <c r="Y1075" s="58">
        <v>0</v>
      </c>
      <c r="Z1075" s="58">
        <v>0</v>
      </c>
      <c r="AA1075" s="58">
        <f t="shared" ref="AA1075:AA1080" si="509">SUM(G1075:Z1075)</f>
        <v>488377</v>
      </c>
      <c r="AB1075" s="68" t="str">
        <f t="shared" ref="AB1075:AB1082" si="510">IF(ABS(F1075-AA1075)&lt;0.01,"ok","err")</f>
        <v>ok</v>
      </c>
    </row>
    <row r="1076" spans="1:29" s="39" customFormat="1">
      <c r="A1076" s="39" t="s">
        <v>1452</v>
      </c>
      <c r="F1076" s="58">
        <v>488377</v>
      </c>
      <c r="G1076" s="86">
        <f t="shared" ref="G1076:R1076" si="511">G1075</f>
        <v>352585</v>
      </c>
      <c r="H1076" s="86">
        <f t="shared" si="511"/>
        <v>44326</v>
      </c>
      <c r="I1076" s="86">
        <f t="shared" si="511"/>
        <v>85</v>
      </c>
      <c r="J1076" s="86">
        <f t="shared" si="511"/>
        <v>2899</v>
      </c>
      <c r="K1076" s="86">
        <f t="shared" si="511"/>
        <v>94</v>
      </c>
      <c r="L1076" s="86">
        <f t="shared" si="511"/>
        <v>157</v>
      </c>
      <c r="M1076" s="86">
        <f t="shared" si="511"/>
        <v>0</v>
      </c>
      <c r="N1076" s="86">
        <f t="shared" si="511"/>
        <v>0</v>
      </c>
      <c r="O1076" s="86">
        <f>O1075</f>
        <v>0</v>
      </c>
      <c r="P1076" s="86">
        <f t="shared" si="511"/>
        <v>11</v>
      </c>
      <c r="Q1076" s="86">
        <f t="shared" si="511"/>
        <v>1</v>
      </c>
      <c r="R1076" s="86">
        <f t="shared" si="511"/>
        <v>2</v>
      </c>
      <c r="S1076" s="86">
        <f>S1075</f>
        <v>87026</v>
      </c>
      <c r="T1076" s="86">
        <f>T1075</f>
        <v>173</v>
      </c>
      <c r="U1076" s="86">
        <f t="shared" ref="U1076:Z1076" si="512">U1075</f>
        <v>1018</v>
      </c>
      <c r="V1076" s="86">
        <f t="shared" si="512"/>
        <v>0</v>
      </c>
      <c r="W1076" s="86">
        <f t="shared" si="512"/>
        <v>0</v>
      </c>
      <c r="X1076" s="86">
        <f t="shared" si="512"/>
        <v>0</v>
      </c>
      <c r="Y1076" s="86">
        <f t="shared" si="512"/>
        <v>0</v>
      </c>
      <c r="Z1076" s="86">
        <f t="shared" si="512"/>
        <v>0</v>
      </c>
      <c r="AA1076" s="58">
        <f t="shared" si="509"/>
        <v>488377</v>
      </c>
      <c r="AB1076" s="68" t="str">
        <f t="shared" si="510"/>
        <v>ok</v>
      </c>
    </row>
    <row r="1077" spans="1:29" s="39" customFormat="1">
      <c r="A1077" s="39" t="s">
        <v>1449</v>
      </c>
      <c r="D1077" s="39" t="s">
        <v>982</v>
      </c>
      <c r="F1077" s="58">
        <v>471543.69999999995</v>
      </c>
      <c r="G1077" s="86">
        <f>G1076</f>
        <v>352585</v>
      </c>
      <c r="H1077" s="86">
        <f>H1076*2</f>
        <v>88652</v>
      </c>
      <c r="I1077" s="86">
        <f>I1076*5</f>
        <v>425</v>
      </c>
      <c r="J1077" s="86">
        <f>J1076*5</f>
        <v>14495</v>
      </c>
      <c r="K1077" s="86">
        <f t="shared" ref="K1077:P1077" si="513">K1076*25</f>
        <v>2350</v>
      </c>
      <c r="L1077" s="86">
        <f t="shared" si="513"/>
        <v>3925</v>
      </c>
      <c r="M1077" s="86">
        <f t="shared" si="513"/>
        <v>0</v>
      </c>
      <c r="N1077" s="86">
        <f t="shared" si="513"/>
        <v>0</v>
      </c>
      <c r="O1077" s="86">
        <f t="shared" si="513"/>
        <v>0</v>
      </c>
      <c r="P1077" s="86">
        <f t="shared" si="513"/>
        <v>275</v>
      </c>
      <c r="Q1077" s="86">
        <f>Q1076*5</f>
        <v>5</v>
      </c>
      <c r="R1077" s="86">
        <f>R1076*5</f>
        <v>10</v>
      </c>
      <c r="S1077" s="86">
        <f>S1076*1/10</f>
        <v>8702.6</v>
      </c>
      <c r="T1077" s="86">
        <f>T1076*1/10</f>
        <v>17.3</v>
      </c>
      <c r="U1077" s="86">
        <f>U1076*1/10</f>
        <v>101.8</v>
      </c>
      <c r="V1077" s="86">
        <f>V1076</f>
        <v>0</v>
      </c>
      <c r="W1077" s="86">
        <f>W1076</f>
        <v>0</v>
      </c>
      <c r="X1077" s="86">
        <f>X1076</f>
        <v>0</v>
      </c>
      <c r="Y1077" s="86">
        <f>Y1076</f>
        <v>0</v>
      </c>
      <c r="Z1077" s="86">
        <f>Z1076</f>
        <v>0</v>
      </c>
      <c r="AA1077" s="58">
        <f t="shared" si="509"/>
        <v>471543.69999999995</v>
      </c>
      <c r="AB1077" s="68" t="str">
        <f t="shared" si="510"/>
        <v>ok</v>
      </c>
    </row>
    <row r="1078" spans="1:29" s="39" customFormat="1">
      <c r="A1078" s="85" t="s">
        <v>653</v>
      </c>
      <c r="D1078" s="39" t="s">
        <v>983</v>
      </c>
      <c r="F1078" s="86">
        <f>'Functional Assignment'!F43</f>
        <v>83856546.370000005</v>
      </c>
      <c r="K1078" s="86"/>
      <c r="L1078" s="58">
        <v>0</v>
      </c>
      <c r="N1078" s="86">
        <v>0</v>
      </c>
      <c r="O1078" s="86">
        <v>0</v>
      </c>
      <c r="P1078" s="86">
        <v>0</v>
      </c>
      <c r="Q1078" s="86">
        <v>0</v>
      </c>
      <c r="R1078" s="86">
        <v>0</v>
      </c>
      <c r="S1078" s="86">
        <f>Lighting!$O$8+Lighting!$O$7</f>
        <v>83856546.370000005</v>
      </c>
      <c r="T1078" s="86">
        <v>0</v>
      </c>
      <c r="U1078" s="86"/>
      <c r="V1078" s="86">
        <v>0</v>
      </c>
      <c r="W1078" s="86">
        <v>0</v>
      </c>
      <c r="X1078" s="86"/>
      <c r="Y1078" s="86"/>
      <c r="Z1078" s="86"/>
      <c r="AA1078" s="58">
        <f t="shared" si="509"/>
        <v>83856546.370000005</v>
      </c>
      <c r="AB1078" s="68" t="str">
        <f t="shared" si="510"/>
        <v>ok</v>
      </c>
    </row>
    <row r="1079" spans="1:29" s="39" customFormat="1">
      <c r="A1079" s="39" t="s">
        <v>979</v>
      </c>
      <c r="D1079" s="39" t="s">
        <v>984</v>
      </c>
      <c r="F1079" s="58">
        <v>488377</v>
      </c>
      <c r="G1079" s="86">
        <f>G1076</f>
        <v>352585</v>
      </c>
      <c r="H1079" s="86">
        <f>H1076</f>
        <v>44326</v>
      </c>
      <c r="I1079" s="86">
        <f>I1076</f>
        <v>85</v>
      </c>
      <c r="J1079" s="86">
        <f>J1076</f>
        <v>2899</v>
      </c>
      <c r="K1079" s="86">
        <f t="shared" ref="K1079:W1079" si="514">K1076</f>
        <v>94</v>
      </c>
      <c r="L1079" s="86">
        <f t="shared" si="514"/>
        <v>157</v>
      </c>
      <c r="M1079" s="86">
        <f t="shared" si="514"/>
        <v>0</v>
      </c>
      <c r="N1079" s="86">
        <f t="shared" si="514"/>
        <v>0</v>
      </c>
      <c r="O1079" s="86">
        <f>O1076</f>
        <v>0</v>
      </c>
      <c r="P1079" s="86">
        <f t="shared" si="514"/>
        <v>11</v>
      </c>
      <c r="Q1079" s="86">
        <f t="shared" si="514"/>
        <v>1</v>
      </c>
      <c r="R1079" s="86">
        <f t="shared" si="514"/>
        <v>2</v>
      </c>
      <c r="S1079" s="86">
        <f t="shared" si="514"/>
        <v>87026</v>
      </c>
      <c r="T1079" s="86">
        <f t="shared" si="514"/>
        <v>173</v>
      </c>
      <c r="U1079" s="86">
        <f t="shared" si="514"/>
        <v>1018</v>
      </c>
      <c r="V1079" s="86">
        <f t="shared" si="514"/>
        <v>0</v>
      </c>
      <c r="W1079" s="86">
        <f t="shared" si="514"/>
        <v>0</v>
      </c>
      <c r="X1079" s="86">
        <f>X1077</f>
        <v>0</v>
      </c>
      <c r="Y1079" s="86">
        <f>Y1077</f>
        <v>0</v>
      </c>
      <c r="Z1079" s="86">
        <f>Z1077</f>
        <v>0</v>
      </c>
      <c r="AA1079" s="58">
        <f t="shared" si="509"/>
        <v>488377</v>
      </c>
      <c r="AB1079" s="68" t="str">
        <f t="shared" si="510"/>
        <v>ok</v>
      </c>
    </row>
    <row r="1080" spans="1:29" s="39" customFormat="1">
      <c r="A1080" s="39" t="s">
        <v>1453</v>
      </c>
      <c r="D1080" s="39" t="s">
        <v>985</v>
      </c>
      <c r="F1080" s="58">
        <v>408981.69999999995</v>
      </c>
      <c r="G1080" s="86">
        <f>G1076</f>
        <v>352585</v>
      </c>
      <c r="H1080" s="86">
        <f t="shared" ref="H1080:N1080" si="515">H1076</f>
        <v>44326</v>
      </c>
      <c r="I1080" s="86">
        <f t="shared" si="515"/>
        <v>85</v>
      </c>
      <c r="J1080" s="86">
        <f t="shared" si="515"/>
        <v>2899</v>
      </c>
      <c r="K1080" s="86">
        <f t="shared" si="515"/>
        <v>94</v>
      </c>
      <c r="L1080" s="86">
        <f t="shared" si="515"/>
        <v>157</v>
      </c>
      <c r="M1080" s="86">
        <f t="shared" si="515"/>
        <v>0</v>
      </c>
      <c r="N1080" s="86">
        <f t="shared" si="515"/>
        <v>0</v>
      </c>
      <c r="O1080" s="86">
        <f>O1079</f>
        <v>0</v>
      </c>
      <c r="P1080" s="86">
        <f>P1079</f>
        <v>11</v>
      </c>
      <c r="Q1080" s="86">
        <f>Q1079</f>
        <v>1</v>
      </c>
      <c r="R1080" s="86">
        <f>R1079</f>
        <v>2</v>
      </c>
      <c r="S1080" s="86">
        <f>S1079/10</f>
        <v>8702.6</v>
      </c>
      <c r="T1080" s="86">
        <f>T1079/10</f>
        <v>17.3</v>
      </c>
      <c r="U1080" s="86">
        <f>U1079/10</f>
        <v>101.8</v>
      </c>
      <c r="V1080" s="86">
        <f>V1079</f>
        <v>0</v>
      </c>
      <c r="W1080" s="86">
        <f>W1079</f>
        <v>0</v>
      </c>
      <c r="X1080" s="86"/>
      <c r="Y1080" s="86"/>
      <c r="Z1080" s="86"/>
      <c r="AA1080" s="58">
        <f t="shared" si="509"/>
        <v>408981.69999999995</v>
      </c>
      <c r="AB1080" s="68" t="str">
        <f t="shared" si="510"/>
        <v>ok</v>
      </c>
    </row>
    <row r="1081" spans="1:29" s="39" customFormat="1">
      <c r="A1081" s="39" t="s">
        <v>980</v>
      </c>
      <c r="D1081" s="39" t="s">
        <v>986</v>
      </c>
      <c r="F1081" s="58">
        <v>408788.69999999995</v>
      </c>
      <c r="G1081" s="86">
        <f>G1080</f>
        <v>352585</v>
      </c>
      <c r="H1081" s="86">
        <f>H1080</f>
        <v>44326</v>
      </c>
      <c r="I1081" s="86">
        <v>0</v>
      </c>
      <c r="J1081" s="86">
        <f>J1080</f>
        <v>2899</v>
      </c>
      <c r="K1081" s="86">
        <v>0</v>
      </c>
      <c r="L1081" s="86">
        <f>L1080</f>
        <v>157</v>
      </c>
      <c r="M1081" s="86">
        <v>0</v>
      </c>
      <c r="N1081" s="86">
        <f>N1080</f>
        <v>0</v>
      </c>
      <c r="O1081" s="86">
        <v>0</v>
      </c>
      <c r="P1081" s="86">
        <v>0</v>
      </c>
      <c r="Q1081" s="86">
        <v>0</v>
      </c>
      <c r="R1081" s="86">
        <v>0</v>
      </c>
      <c r="S1081" s="86">
        <f>S1079/10</f>
        <v>8702.6</v>
      </c>
      <c r="T1081" s="86">
        <f>T1079/10</f>
        <v>17.3</v>
      </c>
      <c r="U1081" s="86">
        <f>U1079/10</f>
        <v>101.8</v>
      </c>
      <c r="V1081" s="86">
        <v>0</v>
      </c>
      <c r="W1081" s="86">
        <f>W1080</f>
        <v>0</v>
      </c>
      <c r="X1081" s="86"/>
      <c r="Y1081" s="86"/>
      <c r="Z1081" s="86"/>
      <c r="AA1081" s="58">
        <f>SUM(G1081:Z1081)</f>
        <v>408788.69999999995</v>
      </c>
      <c r="AB1081" s="68" t="str">
        <f t="shared" si="510"/>
        <v>ok</v>
      </c>
    </row>
    <row r="1082" spans="1:29" s="39" customFormat="1">
      <c r="A1082" s="39" t="s">
        <v>981</v>
      </c>
      <c r="D1082" s="39" t="s">
        <v>987</v>
      </c>
      <c r="F1082" s="58">
        <v>408970.69999999995</v>
      </c>
      <c r="G1082" s="86">
        <f>+G1075</f>
        <v>352585</v>
      </c>
      <c r="H1082" s="86">
        <f t="shared" ref="H1082:Z1082" si="516">+H1075</f>
        <v>44326</v>
      </c>
      <c r="I1082" s="86">
        <f t="shared" si="516"/>
        <v>85</v>
      </c>
      <c r="J1082" s="86">
        <f t="shared" si="516"/>
        <v>2899</v>
      </c>
      <c r="K1082" s="86">
        <f t="shared" si="516"/>
        <v>94</v>
      </c>
      <c r="L1082" s="86">
        <f t="shared" si="516"/>
        <v>157</v>
      </c>
      <c r="M1082" s="86">
        <f t="shared" si="516"/>
        <v>0</v>
      </c>
      <c r="N1082" s="86">
        <f t="shared" si="516"/>
        <v>0</v>
      </c>
      <c r="O1082" s="86">
        <v>0</v>
      </c>
      <c r="P1082" s="86">
        <v>0</v>
      </c>
      <c r="Q1082" s="86">
        <f t="shared" si="516"/>
        <v>1</v>
      </c>
      <c r="R1082" s="86">
        <f t="shared" si="516"/>
        <v>2</v>
      </c>
      <c r="S1082" s="86">
        <f>S1079/10</f>
        <v>8702.6</v>
      </c>
      <c r="T1082" s="86">
        <f>T1079/10</f>
        <v>17.3</v>
      </c>
      <c r="U1082" s="86">
        <f>U1079/10</f>
        <v>101.8</v>
      </c>
      <c r="V1082" s="86">
        <f t="shared" si="516"/>
        <v>0</v>
      </c>
      <c r="W1082" s="86">
        <f t="shared" si="516"/>
        <v>0</v>
      </c>
      <c r="X1082" s="86">
        <f t="shared" si="516"/>
        <v>0</v>
      </c>
      <c r="Y1082" s="86">
        <f t="shared" si="516"/>
        <v>0</v>
      </c>
      <c r="Z1082" s="86">
        <f t="shared" si="516"/>
        <v>0</v>
      </c>
      <c r="AA1082" s="58">
        <f>SUM(G1082:Z1082)</f>
        <v>408970.69999999995</v>
      </c>
      <c r="AB1082" s="68" t="str">
        <f t="shared" si="510"/>
        <v>ok</v>
      </c>
    </row>
    <row r="1083" spans="1:29" s="39" customFormat="1">
      <c r="F1083" s="58"/>
      <c r="G1083" s="86"/>
      <c r="H1083" s="86"/>
      <c r="I1083" s="86"/>
      <c r="J1083" s="86"/>
      <c r="K1083" s="86"/>
      <c r="L1083" s="86"/>
      <c r="M1083" s="86"/>
      <c r="N1083" s="86"/>
      <c r="O1083" s="86"/>
      <c r="P1083" s="86"/>
      <c r="Q1083" s="86"/>
      <c r="R1083" s="86"/>
      <c r="S1083" s="86"/>
      <c r="T1083" s="86"/>
      <c r="U1083" s="86"/>
      <c r="V1083" s="86"/>
      <c r="W1083" s="86"/>
      <c r="X1083" s="86"/>
      <c r="Y1083" s="86"/>
      <c r="Z1083" s="86"/>
      <c r="AA1083" s="58"/>
      <c r="AB1083" s="68"/>
    </row>
    <row r="1084" spans="1:29" s="39" customFormat="1">
      <c r="A1084" s="44" t="s">
        <v>1395</v>
      </c>
      <c r="F1084" s="58"/>
      <c r="G1084" s="86"/>
      <c r="H1084" s="86"/>
      <c r="I1084" s="86"/>
      <c r="J1084" s="86"/>
      <c r="K1084" s="86"/>
      <c r="L1084" s="86"/>
      <c r="M1084" s="86"/>
      <c r="N1084" s="86"/>
      <c r="O1084" s="86"/>
      <c r="P1084" s="86"/>
      <c r="Q1084" s="86"/>
      <c r="R1084" s="86"/>
      <c r="S1084" s="86"/>
      <c r="T1084" s="86"/>
      <c r="U1084" s="86"/>
      <c r="V1084" s="86"/>
      <c r="W1084" s="86"/>
      <c r="X1084" s="86"/>
      <c r="Y1084" s="86"/>
      <c r="Z1084" s="86"/>
      <c r="AA1084" s="58"/>
      <c r="AB1084" s="68"/>
    </row>
    <row r="1085" spans="1:29" s="39" customFormat="1">
      <c r="F1085" s="58"/>
      <c r="G1085" s="86"/>
      <c r="H1085" s="86"/>
      <c r="I1085" s="86"/>
      <c r="J1085" s="86"/>
      <c r="K1085" s="86"/>
      <c r="L1085" s="86"/>
      <c r="M1085" s="86"/>
      <c r="N1085" s="86"/>
      <c r="O1085" s="86"/>
      <c r="P1085" s="86"/>
      <c r="Q1085" s="86"/>
      <c r="R1085" s="86"/>
      <c r="S1085" s="86"/>
      <c r="T1085" s="86"/>
      <c r="U1085" s="86"/>
      <c r="V1085" s="86"/>
      <c r="W1085" s="86"/>
      <c r="X1085" s="86"/>
      <c r="Y1085" s="86"/>
      <c r="Z1085" s="86"/>
      <c r="AA1085" s="58"/>
      <c r="AB1085" s="68"/>
    </row>
    <row r="1086" spans="1:29" s="39" customFormat="1">
      <c r="A1086" s="38" t="s">
        <v>967</v>
      </c>
    </row>
    <row r="1087" spans="1:29" s="39" customFormat="1">
      <c r="A1087" s="39" t="s">
        <v>730</v>
      </c>
      <c r="D1087" s="39" t="s">
        <v>133</v>
      </c>
      <c r="F1087" s="58">
        <v>3163309.0848443843</v>
      </c>
      <c r="G1087" s="58">
        <f>'Billing Det'!J8+G1097</f>
        <v>1469824.1481585272</v>
      </c>
      <c r="H1087" s="58">
        <f>'Billing Det'!J10+H1097</f>
        <v>416991.24747690896</v>
      </c>
      <c r="I1087" s="58">
        <f>'Billing Det'!J12+I1097</f>
        <v>43456.834214433293</v>
      </c>
      <c r="J1087" s="58">
        <f>'Billing Det'!J14+J1097</f>
        <v>508405.26879879576</v>
      </c>
      <c r="K1087" s="58">
        <f>'Billing Det'!J16+'Billing Det'!J20+K1097</f>
        <v>406844.70742715884</v>
      </c>
      <c r="L1087" s="58">
        <f>'Billing Det'!J18+'Billing Det'!J22+L1097</f>
        <v>121895.23486130412</v>
      </c>
      <c r="M1087" s="58">
        <v>0</v>
      </c>
      <c r="N1087" s="58">
        <v>0</v>
      </c>
      <c r="O1087" s="58">
        <f>'Billing Det'!J24</f>
        <v>0</v>
      </c>
      <c r="P1087" s="58">
        <f>'Billing Det'!J26</f>
        <v>99606.752148729895</v>
      </c>
      <c r="Q1087" s="58">
        <f>'Billing Det'!J28</f>
        <v>56989.371566365378</v>
      </c>
      <c r="R1087" s="58">
        <f>'Billing Det'!J30</f>
        <v>12867.325610879094</v>
      </c>
      <c r="S1087" s="58">
        <f>'Billing Det'!J32</f>
        <v>25151.038406482148</v>
      </c>
      <c r="T1087" s="58">
        <f>'Billing Det'!J34+T1097</f>
        <v>905.17629118335674</v>
      </c>
      <c r="U1087" s="58">
        <f>'Billing Det'!J36</f>
        <v>371.9798836163248</v>
      </c>
      <c r="V1087" s="58">
        <v>0</v>
      </c>
      <c r="W1087" s="58">
        <v>0</v>
      </c>
      <c r="X1087" s="58">
        <v>0</v>
      </c>
      <c r="Y1087" s="58">
        <v>0</v>
      </c>
      <c r="Z1087" s="58">
        <v>0</v>
      </c>
      <c r="AA1087" s="58">
        <f t="shared" ref="AA1087:AA1093" si="517">SUM(G1087:Z1087)</f>
        <v>3163309.0848443843</v>
      </c>
      <c r="AB1087" s="68" t="str">
        <f t="shared" ref="AB1087:AB1093" si="518">IF(ABS(F1087-AA1087)&lt;0.01,"ok","err")</f>
        <v>ok</v>
      </c>
      <c r="AC1087" s="86"/>
    </row>
    <row r="1088" spans="1:29" s="39" customFormat="1">
      <c r="A1088" s="39" t="s">
        <v>1469</v>
      </c>
      <c r="D1088" s="39" t="s">
        <v>1471</v>
      </c>
      <c r="F1088" s="58">
        <v>3063702.3326956546</v>
      </c>
      <c r="G1088" s="58">
        <f t="shared" ref="G1088:O1089" si="519">G1087</f>
        <v>1469824.1481585272</v>
      </c>
      <c r="H1088" s="58">
        <f t="shared" si="519"/>
        <v>416991.24747690896</v>
      </c>
      <c r="I1088" s="58">
        <f t="shared" si="519"/>
        <v>43456.834214433293</v>
      </c>
      <c r="J1088" s="58">
        <f t="shared" si="519"/>
        <v>508405.26879879576</v>
      </c>
      <c r="K1088" s="58">
        <f t="shared" si="519"/>
        <v>406844.70742715884</v>
      </c>
      <c r="L1088" s="58">
        <f t="shared" si="519"/>
        <v>121895.23486130412</v>
      </c>
      <c r="M1088" s="58">
        <f t="shared" si="519"/>
        <v>0</v>
      </c>
      <c r="N1088" s="58">
        <f t="shared" si="519"/>
        <v>0</v>
      </c>
      <c r="O1088" s="58">
        <f t="shared" si="519"/>
        <v>0</v>
      </c>
      <c r="P1088" s="58">
        <v>0</v>
      </c>
      <c r="Q1088" s="58">
        <f t="shared" ref="Q1088:V1089" si="520">Q1087</f>
        <v>56989.371566365378</v>
      </c>
      <c r="R1088" s="58">
        <f t="shared" si="520"/>
        <v>12867.325610879094</v>
      </c>
      <c r="S1088" s="58">
        <f t="shared" si="520"/>
        <v>25151.038406482148</v>
      </c>
      <c r="T1088" s="58">
        <f t="shared" si="520"/>
        <v>905.17629118335674</v>
      </c>
      <c r="U1088" s="58">
        <f t="shared" si="520"/>
        <v>371.9798836163248</v>
      </c>
      <c r="V1088" s="58">
        <f t="shared" si="520"/>
        <v>0</v>
      </c>
      <c r="W1088" s="58">
        <v>0</v>
      </c>
      <c r="X1088" s="58">
        <v>0</v>
      </c>
      <c r="Y1088" s="58">
        <v>0</v>
      </c>
      <c r="Z1088" s="58">
        <v>0</v>
      </c>
      <c r="AA1088" s="58">
        <f t="shared" si="517"/>
        <v>3063702.3326956546</v>
      </c>
      <c r="AB1088" s="68" t="str">
        <f t="shared" si="518"/>
        <v>ok</v>
      </c>
    </row>
    <row r="1089" spans="1:29" s="39" customFormat="1">
      <c r="A1089" s="39" t="s">
        <v>1470</v>
      </c>
      <c r="D1089" s="39" t="s">
        <v>1472</v>
      </c>
      <c r="F1089" s="58">
        <v>3063702.3326956546</v>
      </c>
      <c r="G1089" s="58">
        <f t="shared" si="519"/>
        <v>1469824.1481585272</v>
      </c>
      <c r="H1089" s="58">
        <f t="shared" si="519"/>
        <v>416991.24747690896</v>
      </c>
      <c r="I1089" s="58">
        <f t="shared" si="519"/>
        <v>43456.834214433293</v>
      </c>
      <c r="J1089" s="58">
        <f t="shared" si="519"/>
        <v>508405.26879879576</v>
      </c>
      <c r="K1089" s="58">
        <f t="shared" si="519"/>
        <v>406844.70742715884</v>
      </c>
      <c r="L1089" s="58">
        <f t="shared" si="519"/>
        <v>121895.23486130412</v>
      </c>
      <c r="M1089" s="58">
        <f t="shared" si="519"/>
        <v>0</v>
      </c>
      <c r="N1089" s="58">
        <f t="shared" si="519"/>
        <v>0</v>
      </c>
      <c r="O1089" s="58">
        <v>0</v>
      </c>
      <c r="P1089" s="58">
        <v>0</v>
      </c>
      <c r="Q1089" s="58">
        <f t="shared" si="520"/>
        <v>56989.371566365378</v>
      </c>
      <c r="R1089" s="58">
        <f t="shared" si="520"/>
        <v>12867.325610879094</v>
      </c>
      <c r="S1089" s="58">
        <f t="shared" si="520"/>
        <v>25151.038406482148</v>
      </c>
      <c r="T1089" s="58">
        <f t="shared" si="520"/>
        <v>905.17629118335674</v>
      </c>
      <c r="U1089" s="58">
        <f t="shared" si="520"/>
        <v>371.9798836163248</v>
      </c>
      <c r="V1089" s="58">
        <f t="shared" si="520"/>
        <v>0</v>
      </c>
      <c r="W1089" s="58">
        <v>0</v>
      </c>
      <c r="X1089" s="58">
        <v>0</v>
      </c>
      <c r="Y1089" s="58">
        <v>0</v>
      </c>
      <c r="Z1089" s="58">
        <v>0</v>
      </c>
      <c r="AA1089" s="58">
        <f>SUM(G1089:Z1089)</f>
        <v>3063702.3326956546</v>
      </c>
      <c r="AB1089" s="68" t="str">
        <f>IF(ABS(F1089-AA1089)&lt;0.01,"ok","err")</f>
        <v>ok</v>
      </c>
    </row>
    <row r="1090" spans="1:29" s="39" customFormat="1">
      <c r="A1090" s="39" t="s">
        <v>710</v>
      </c>
      <c r="D1090" s="39" t="s">
        <v>711</v>
      </c>
      <c r="F1090" s="58">
        <v>4317585.0895404955</v>
      </c>
      <c r="G1090" s="58">
        <f>'Billing Det'!N8+G1096</f>
        <v>2988202.6793261021</v>
      </c>
      <c r="H1090" s="58">
        <f>'Billing Det'!N10+H1096</f>
        <v>575992.21132020582</v>
      </c>
      <c r="I1090" s="58">
        <v>0</v>
      </c>
      <c r="J1090" s="58">
        <f>'Billing Det'!N14+J1096</f>
        <v>574236.63936116209</v>
      </c>
      <c r="K1090" s="58">
        <v>0</v>
      </c>
      <c r="L1090" s="58">
        <f>'Billing Det'!N18+'Billing Det'!N22+L1096</f>
        <v>154086.47313795052</v>
      </c>
      <c r="M1090" s="58">
        <v>0</v>
      </c>
      <c r="N1090" s="58">
        <v>0</v>
      </c>
      <c r="O1090" s="58">
        <v>0</v>
      </c>
      <c r="P1090" s="58">
        <v>0</v>
      </c>
      <c r="Q1090" s="58">
        <v>0</v>
      </c>
      <c r="R1090" s="58">
        <v>0</v>
      </c>
      <c r="S1090" s="58">
        <f>'Billing Det'!N32</f>
        <v>23829.368321732658</v>
      </c>
      <c r="T1090" s="58">
        <f>'Billing Det'!N34+T1096</f>
        <v>885.28548142726913</v>
      </c>
      <c r="U1090" s="58">
        <f>'Billing Det'!N36</f>
        <v>352.43259191573304</v>
      </c>
      <c r="V1090" s="58">
        <v>0</v>
      </c>
      <c r="W1090" s="58">
        <v>0</v>
      </c>
      <c r="X1090" s="58">
        <v>0</v>
      </c>
      <c r="Y1090" s="58">
        <v>0</v>
      </c>
      <c r="Z1090" s="58">
        <v>0</v>
      </c>
      <c r="AA1090" s="58">
        <f t="shared" si="517"/>
        <v>4317585.0895404965</v>
      </c>
      <c r="AB1090" s="68" t="str">
        <f t="shared" si="518"/>
        <v>ok</v>
      </c>
    </row>
    <row r="1091" spans="1:29" s="39" customFormat="1">
      <c r="A1091" s="39" t="s">
        <v>930</v>
      </c>
      <c r="D1091" s="39" t="s">
        <v>192</v>
      </c>
      <c r="F1091" s="58">
        <v>2653132.5882298173</v>
      </c>
      <c r="G1091" s="58">
        <f>'Billing Det'!M8+G1098</f>
        <v>1295443.5963315801</v>
      </c>
      <c r="H1091" s="58">
        <f>'Billing Det'!M10+H1098</f>
        <v>346778.66546075844</v>
      </c>
      <c r="I1091" s="58">
        <f>'Billing Det'!M12+I1098</f>
        <v>38900.726579760296</v>
      </c>
      <c r="J1091" s="58">
        <f>'Billing Det'!M14+J1098</f>
        <v>463942.49521148956</v>
      </c>
      <c r="K1091" s="58">
        <f>'Billing Det'!M16+'Billing Det'!M20+K1098</f>
        <v>274019.24901283224</v>
      </c>
      <c r="L1091" s="58">
        <f>'Billing Det'!M18+'Billing Det'!M22+L1098</f>
        <v>104635.01281495308</v>
      </c>
      <c r="M1091" s="58">
        <v>0</v>
      </c>
      <c r="N1091" s="58">
        <v>0</v>
      </c>
      <c r="O1091" s="58">
        <f>'Billing Det'!M24</f>
        <v>0</v>
      </c>
      <c r="P1091" s="58">
        <f>'Billing Det'!M26</f>
        <v>69988.825372121006</v>
      </c>
      <c r="Q1091" s="58">
        <f>'Billing Det'!M28</f>
        <v>49469.838618381531</v>
      </c>
      <c r="R1091" s="58">
        <f>'Billing Det'!M30</f>
        <v>9559.7350044235591</v>
      </c>
      <c r="S1091" s="58">
        <f>'Billing Det'!M32</f>
        <v>0</v>
      </c>
      <c r="T1091" s="58">
        <f>'Billing Det'!M34+T1098</f>
        <v>22.463939900759218</v>
      </c>
      <c r="U1091" s="58">
        <f>'Billing Det'!M36</f>
        <v>371.9798836163248</v>
      </c>
      <c r="V1091" s="58">
        <v>0</v>
      </c>
      <c r="W1091" s="58">
        <v>0</v>
      </c>
      <c r="X1091" s="58"/>
      <c r="Y1091" s="58"/>
      <c r="Z1091" s="58"/>
      <c r="AA1091" s="58">
        <f t="shared" si="517"/>
        <v>2653132.5882298164</v>
      </c>
      <c r="AB1091" s="68" t="str">
        <f t="shared" si="518"/>
        <v>ok</v>
      </c>
      <c r="AC1091" s="91"/>
    </row>
    <row r="1092" spans="1:29" s="39" customFormat="1">
      <c r="A1092" s="39" t="s">
        <v>931</v>
      </c>
      <c r="D1092" s="39" t="s">
        <v>193</v>
      </c>
      <c r="F1092" s="58">
        <v>1690103.5960295342</v>
      </c>
      <c r="G1092" s="58">
        <f>'Billing Det'!L8+G1099</f>
        <v>681511.31317550736</v>
      </c>
      <c r="H1092" s="58">
        <f>'Billing Det'!L10+H1099</f>
        <v>269019.81528036017</v>
      </c>
      <c r="I1092" s="58">
        <f>'Billing Det'!L12+I1099</f>
        <v>27396.01219597302</v>
      </c>
      <c r="J1092" s="58">
        <f>'Billing Det'!L14+J1099</f>
        <v>315495.1431469107</v>
      </c>
      <c r="K1092" s="58">
        <f>'Billing Det'!L16+'Billing Det'!L20+K1099</f>
        <v>207552.61730070887</v>
      </c>
      <c r="L1092" s="58">
        <f>'Billing Det'!L18+'Billing Det'!L22+L1099</f>
        <v>79282.240403697579</v>
      </c>
      <c r="M1092" s="58">
        <v>0</v>
      </c>
      <c r="N1092" s="58">
        <v>0</v>
      </c>
      <c r="O1092" s="58">
        <f>'Billing Det'!L24</f>
        <v>0</v>
      </c>
      <c r="P1092" s="58">
        <f>'Billing Det'!L26</f>
        <v>73465.515867871058</v>
      </c>
      <c r="Q1092" s="58">
        <f>'Billing Det'!L28</f>
        <v>30160.163344508281</v>
      </c>
      <c r="R1092" s="58">
        <f>'Billing Det'!L30</f>
        <v>5836.975234304562</v>
      </c>
      <c r="S1092" s="58">
        <f>'Billing Det'!L32</f>
        <v>0</v>
      </c>
      <c r="T1092" s="58">
        <f>'Billing Det'!L34+T1099</f>
        <v>11.820196076369038</v>
      </c>
      <c r="U1092" s="58">
        <f>'Billing Det'!L36</f>
        <v>371.9798836163248</v>
      </c>
      <c r="V1092" s="58">
        <v>0</v>
      </c>
      <c r="W1092" s="58">
        <v>0</v>
      </c>
      <c r="X1092" s="58"/>
      <c r="Y1092" s="58"/>
      <c r="Z1092" s="58"/>
      <c r="AA1092" s="58">
        <f t="shared" si="517"/>
        <v>1690103.5960295342</v>
      </c>
      <c r="AB1092" s="68" t="str">
        <f t="shared" si="518"/>
        <v>ok</v>
      </c>
    </row>
    <row r="1093" spans="1:29" s="39" customFormat="1">
      <c r="A1093" s="39" t="s">
        <v>928</v>
      </c>
      <c r="D1093" s="39" t="s">
        <v>929</v>
      </c>
      <c r="F1093" s="58">
        <v>1394755.1300000001</v>
      </c>
      <c r="G1093" s="58">
        <f t="shared" ref="G1093:N1093" si="521">ROUND(G1061/8784,2)+G1100</f>
        <v>509886.4276712329</v>
      </c>
      <c r="H1093" s="58">
        <f t="shared" si="521"/>
        <v>168176.72026994225</v>
      </c>
      <c r="I1093" s="58">
        <f t="shared" si="521"/>
        <v>27525.488302687496</v>
      </c>
      <c r="J1093" s="58">
        <f t="shared" si="521"/>
        <v>280419.96285732958</v>
      </c>
      <c r="K1093" s="58">
        <f t="shared" si="521"/>
        <v>225507.78535831612</v>
      </c>
      <c r="L1093" s="58">
        <f t="shared" si="521"/>
        <v>76244.206636382107</v>
      </c>
      <c r="M1093" s="58">
        <f t="shared" si="521"/>
        <v>0</v>
      </c>
      <c r="N1093" s="58">
        <f t="shared" si="521"/>
        <v>0</v>
      </c>
      <c r="O1093" s="58">
        <f t="shared" ref="O1093:U1093" si="522">ROUND(O1061/8784,2)</f>
        <v>0</v>
      </c>
      <c r="P1093" s="58">
        <f t="shared" si="522"/>
        <v>61051.51</v>
      </c>
      <c r="Q1093" s="58">
        <f t="shared" si="522"/>
        <v>25628.28</v>
      </c>
      <c r="R1093" s="58">
        <f t="shared" si="522"/>
        <v>6887.32</v>
      </c>
      <c r="S1093" s="58">
        <f t="shared" si="522"/>
        <v>12598.87</v>
      </c>
      <c r="T1093" s="58">
        <f>ROUND(T1061/8784,2)+T1100</f>
        <v>455.40890410958906</v>
      </c>
      <c r="U1093" s="58">
        <f t="shared" si="522"/>
        <v>373.15</v>
      </c>
      <c r="V1093" s="58">
        <f>ROUND(V1061/8760,2)</f>
        <v>0</v>
      </c>
      <c r="W1093" s="58">
        <f>ROUND(W1061/8760,2)</f>
        <v>0</v>
      </c>
      <c r="X1093" s="58"/>
      <c r="Y1093" s="58"/>
      <c r="Z1093" s="58"/>
      <c r="AA1093" s="58">
        <f t="shared" si="517"/>
        <v>1394755.1300000001</v>
      </c>
      <c r="AB1093" s="68" t="str">
        <f t="shared" si="518"/>
        <v>ok</v>
      </c>
      <c r="AC1093" s="317"/>
    </row>
    <row r="1094" spans="1:29" s="39" customFormat="1">
      <c r="F1094" s="58"/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8"/>
      <c r="Z1094" s="58"/>
      <c r="AA1094" s="58"/>
      <c r="AB1094" s="68"/>
      <c r="AC1094" s="317"/>
    </row>
    <row r="1095" spans="1:29" s="39" customFormat="1">
      <c r="A1095" s="44" t="s">
        <v>1482</v>
      </c>
      <c r="F1095" s="58"/>
      <c r="G1095" s="12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  <c r="T1095" s="58"/>
      <c r="U1095" s="58"/>
      <c r="V1095" s="58"/>
      <c r="W1095" s="58"/>
      <c r="X1095" s="58"/>
      <c r="Y1095" s="58"/>
      <c r="Z1095" s="58"/>
      <c r="AA1095" s="58"/>
      <c r="AB1095" s="68"/>
      <c r="AC1095" s="317"/>
    </row>
    <row r="1096" spans="1:29" s="39" customFormat="1">
      <c r="A1096" s="39" t="s">
        <v>1481</v>
      </c>
      <c r="F1096" s="58">
        <v>0</v>
      </c>
      <c r="G1096" s="58">
        <v>-4481.0209644668394</v>
      </c>
      <c r="H1096" s="58">
        <v>-2737.1672098695472</v>
      </c>
      <c r="I1096" s="58">
        <v>-949.2</v>
      </c>
      <c r="J1096" s="58">
        <v>-2196.1500086620526</v>
      </c>
      <c r="K1096" s="58">
        <f>686.666666666667+905.366666666667</f>
        <v>1592.033333333334</v>
      </c>
      <c r="L1096" s="58">
        <f>5901.34166666667+2818.33333333333</f>
        <v>8719.6749999999993</v>
      </c>
      <c r="M1096" s="58">
        <v>0</v>
      </c>
      <c r="N1096" s="58">
        <v>0</v>
      </c>
      <c r="O1096" s="58">
        <v>0</v>
      </c>
      <c r="P1096" s="58">
        <v>0</v>
      </c>
      <c r="Q1096" s="58">
        <v>0</v>
      </c>
      <c r="R1096" s="58">
        <v>0</v>
      </c>
      <c r="S1096" s="58">
        <v>0</v>
      </c>
      <c r="T1096" s="58">
        <v>51.829849665105129</v>
      </c>
      <c r="U1096" s="58">
        <v>0</v>
      </c>
      <c r="V1096" s="58"/>
      <c r="W1096" s="58"/>
      <c r="X1096" s="58"/>
      <c r="Y1096" s="58"/>
      <c r="Z1096" s="58"/>
      <c r="AA1096" s="61">
        <f>SUM(G1096:Z1096)</f>
        <v>-8.1001871876651421E-13</v>
      </c>
      <c r="AB1096" s="68" t="str">
        <f>IF(ABS(F1096-AA1096)&lt;0.01,"ok","err")</f>
        <v>ok</v>
      </c>
      <c r="AC1096" s="317"/>
    </row>
    <row r="1097" spans="1:29" s="39" customFormat="1">
      <c r="A1097" s="39" t="s">
        <v>730</v>
      </c>
      <c r="F1097" s="58">
        <v>0</v>
      </c>
      <c r="G1097" s="58">
        <v>-3567.9272990582813</v>
      </c>
      <c r="H1097" s="58">
        <v>-3196.8504799964903</v>
      </c>
      <c r="I1097" s="58">
        <v>-607.82099564902273</v>
      </c>
      <c r="J1097" s="58">
        <v>-559.56856376793257</v>
      </c>
      <c r="K1097" s="58">
        <f>502.424907265987+561.116151964002</f>
        <v>1063.5410592299891</v>
      </c>
      <c r="L1097" s="58">
        <f>4687.47744802437+2155.65488500961</f>
        <v>6843.1323330339801</v>
      </c>
      <c r="M1097" s="58">
        <v>0</v>
      </c>
      <c r="N1097" s="58">
        <v>0</v>
      </c>
      <c r="O1097" s="58">
        <v>0</v>
      </c>
      <c r="P1097" s="58">
        <v>0</v>
      </c>
      <c r="Q1097" s="58">
        <v>0</v>
      </c>
      <c r="R1097" s="58">
        <v>0</v>
      </c>
      <c r="S1097" s="58">
        <v>0</v>
      </c>
      <c r="T1097" s="58">
        <v>25.493946207758221</v>
      </c>
      <c r="U1097" s="58">
        <v>0</v>
      </c>
      <c r="V1097" s="58"/>
      <c r="W1097" s="58"/>
      <c r="X1097" s="58"/>
      <c r="Y1097" s="58"/>
      <c r="Z1097" s="58"/>
      <c r="AA1097" s="61">
        <f>SUM(G1097:Z1097)</f>
        <v>2.1316282072803006E-14</v>
      </c>
      <c r="AB1097" s="68" t="str">
        <f>IF(ABS(F1097-AA1097)&lt;0.01,"ok","err")</f>
        <v>ok</v>
      </c>
      <c r="AC1097" s="317"/>
    </row>
    <row r="1098" spans="1:29" s="39" customFormat="1">
      <c r="A1098" s="39" t="s">
        <v>930</v>
      </c>
      <c r="F1098" s="58">
        <v>0</v>
      </c>
      <c r="G1098" s="58">
        <v>-2994.2675023017223</v>
      </c>
      <c r="H1098" s="58">
        <v>-3266.3091773136512</v>
      </c>
      <c r="I1098" s="58">
        <v>-411.97639878213437</v>
      </c>
      <c r="J1098" s="58">
        <v>59.123437072889828</v>
      </c>
      <c r="K1098" s="58">
        <f>463.496613451203+344.9262889792</f>
        <v>808.42290243040304</v>
      </c>
      <c r="L1098" s="58">
        <f>4128.5281488954+1654.01465009806</f>
        <v>5782.5427989934597</v>
      </c>
      <c r="M1098" s="58">
        <v>0</v>
      </c>
      <c r="N1098" s="58">
        <v>0</v>
      </c>
      <c r="O1098" s="58">
        <v>0</v>
      </c>
      <c r="P1098" s="58">
        <v>0</v>
      </c>
      <c r="Q1098" s="58">
        <v>0</v>
      </c>
      <c r="R1098" s="58">
        <v>0</v>
      </c>
      <c r="S1098" s="58">
        <v>0</v>
      </c>
      <c r="T1098" s="58">
        <v>22.463939900759218</v>
      </c>
      <c r="U1098" s="58">
        <v>0</v>
      </c>
      <c r="V1098" s="58"/>
      <c r="W1098" s="58"/>
      <c r="X1098" s="58"/>
      <c r="Y1098" s="58"/>
      <c r="Z1098" s="58"/>
      <c r="AA1098" s="61">
        <f>SUM(G1098:Z1098)</f>
        <v>4.5510262225434417E-12</v>
      </c>
      <c r="AB1098" s="68" t="str">
        <f>IF(ABS(F1098-AA1098)&lt;0.01,"ok","err")</f>
        <v>ok</v>
      </c>
      <c r="AC1098" s="317"/>
    </row>
    <row r="1099" spans="1:29" s="39" customFormat="1">
      <c r="A1099" s="39" t="s">
        <v>931</v>
      </c>
      <c r="F1099" s="58">
        <v>0</v>
      </c>
      <c r="G1099" s="58">
        <v>-2350.995082985246</v>
      </c>
      <c r="H1099" s="58">
        <v>-1835.0525814914317</v>
      </c>
      <c r="I1099" s="58">
        <v>-311.99935442298369</v>
      </c>
      <c r="J1099" s="58">
        <v>-563.19148663171018</v>
      </c>
      <c r="K1099" s="58">
        <f>295.27828548974+275.350516905601</f>
        <v>570.62880239534104</v>
      </c>
      <c r="L1099" s="58">
        <f>3076.99559047417+1401.79391658549</f>
        <v>4478.7895070596605</v>
      </c>
      <c r="M1099" s="58">
        <v>0</v>
      </c>
      <c r="N1099" s="58">
        <v>0</v>
      </c>
      <c r="O1099" s="58">
        <v>0</v>
      </c>
      <c r="P1099" s="58">
        <v>0</v>
      </c>
      <c r="Q1099" s="58">
        <v>0</v>
      </c>
      <c r="R1099" s="58">
        <v>0</v>
      </c>
      <c r="S1099" s="58">
        <v>0</v>
      </c>
      <c r="T1099" s="58">
        <v>11.820196076369038</v>
      </c>
      <c r="U1099" s="58">
        <v>0</v>
      </c>
      <c r="V1099" s="58"/>
      <c r="W1099" s="58"/>
      <c r="X1099" s="58"/>
      <c r="Y1099" s="58"/>
      <c r="Z1099" s="58"/>
      <c r="AA1099" s="61">
        <f>SUM(G1099:Z1099)</f>
        <v>-9.0061291757592699E-13</v>
      </c>
      <c r="AB1099" s="68" t="str">
        <f>IF(ABS(F1099-AA1099)&lt;0.01,"ok","err")</f>
        <v>ok</v>
      </c>
      <c r="AC1099" s="317"/>
    </row>
    <row r="1100" spans="1:29" s="39" customFormat="1">
      <c r="A1100" s="39" t="s">
        <v>928</v>
      </c>
      <c r="F1100" s="84">
        <v>0</v>
      </c>
      <c r="G1100" s="58">
        <v>-1631.5123287671233</v>
      </c>
      <c r="H1100" s="58">
        <v>-2622.8197300577567</v>
      </c>
      <c r="I1100" s="58">
        <v>-334.00169731250418</v>
      </c>
      <c r="J1100" s="58">
        <v>-369.92714267043266</v>
      </c>
      <c r="K1100" s="58">
        <f>313.715127029824+301.850231286298</f>
        <v>615.565358316122</v>
      </c>
      <c r="L1100" s="58">
        <f>2924.21030702086+1409.62632936125</f>
        <v>4333.8366363821096</v>
      </c>
      <c r="M1100" s="58">
        <v>0</v>
      </c>
      <c r="N1100" s="58">
        <v>0</v>
      </c>
      <c r="O1100" s="58">
        <v>0</v>
      </c>
      <c r="P1100" s="58">
        <v>0</v>
      </c>
      <c r="Q1100" s="58">
        <v>0</v>
      </c>
      <c r="R1100" s="58">
        <v>0</v>
      </c>
      <c r="S1100" s="58">
        <v>0</v>
      </c>
      <c r="T1100" s="58">
        <v>8.8589041095890426</v>
      </c>
      <c r="U1100" s="58">
        <v>0</v>
      </c>
      <c r="V1100" s="58"/>
      <c r="W1100" s="58"/>
      <c r="X1100" s="58"/>
      <c r="Y1100" s="58"/>
      <c r="Z1100" s="58"/>
      <c r="AA1100" s="61">
        <f>SUM(G1100:Z1100)</f>
        <v>4.3147707629032084E-12</v>
      </c>
      <c r="AB1100" s="68" t="str">
        <f>IF(ABS(F1100-AA1100)&lt;0.01,"ok","err")</f>
        <v>ok</v>
      </c>
    </row>
    <row r="1101" spans="1:29" s="39" customFormat="1">
      <c r="F1101" s="84"/>
      <c r="G1101" s="62">
        <f t="shared" ref="G1101:L1102" si="523">G1098/G1091</f>
        <v>-2.3113839234535946E-3</v>
      </c>
      <c r="H1101" s="62">
        <f t="shared" si="523"/>
        <v>-9.4190026741517285E-3</v>
      </c>
      <c r="I1101" s="62">
        <f t="shared" si="523"/>
        <v>-1.0590455114956184E-2</v>
      </c>
      <c r="J1101" s="62">
        <f t="shared" si="523"/>
        <v>1.2743699420321097E-4</v>
      </c>
      <c r="K1101" s="62">
        <f t="shared" si="523"/>
        <v>2.9502412890436936E-3</v>
      </c>
      <c r="L1101" s="62">
        <f t="shared" si="523"/>
        <v>5.5263937408980696E-2</v>
      </c>
      <c r="M1101" s="62"/>
      <c r="N1101" s="62"/>
      <c r="O1101" s="62"/>
      <c r="P1101" s="62"/>
      <c r="Q1101" s="62"/>
      <c r="R1101" s="62"/>
      <c r="S1101" s="62"/>
      <c r="T1101" s="62"/>
      <c r="U1101" s="62"/>
      <c r="V1101" s="62"/>
      <c r="W1101" s="62"/>
      <c r="X1101" s="62"/>
      <c r="Y1101" s="62"/>
      <c r="Z1101" s="62"/>
      <c r="AA1101" s="62"/>
      <c r="AB1101" s="68"/>
    </row>
    <row r="1102" spans="1:29" s="39" customFormat="1">
      <c r="A1102" s="170" t="s">
        <v>988</v>
      </c>
      <c r="F1102" s="84"/>
      <c r="G1102" s="62">
        <f t="shared" si="523"/>
        <v>-3.4496787324494525E-3</v>
      </c>
      <c r="H1102" s="62">
        <f t="shared" si="523"/>
        <v>-6.8212543361500112E-3</v>
      </c>
      <c r="I1102" s="62">
        <f t="shared" si="523"/>
        <v>-1.138849523759684E-2</v>
      </c>
      <c r="J1102" s="62">
        <f t="shared" si="523"/>
        <v>-1.7851035075029961E-3</v>
      </c>
      <c r="K1102" s="62">
        <f t="shared" si="523"/>
        <v>2.7493211592152355E-3</v>
      </c>
      <c r="L1102" s="62">
        <f t="shared" si="523"/>
        <v>5.6491712194989607E-2</v>
      </c>
      <c r="M1102" s="62"/>
      <c r="N1102" s="62"/>
      <c r="O1102" s="62"/>
      <c r="P1102" s="62"/>
      <c r="Q1102" s="62"/>
      <c r="R1102" s="62"/>
      <c r="S1102" s="62"/>
      <c r="T1102" s="62"/>
      <c r="U1102" s="62"/>
      <c r="V1102" s="62"/>
      <c r="W1102" s="62"/>
      <c r="X1102" s="62"/>
      <c r="Y1102" s="62"/>
      <c r="Z1102" s="62"/>
      <c r="AA1102" s="62"/>
      <c r="AB1102" s="68"/>
    </row>
    <row r="1103" spans="1:29" s="193" customFormat="1">
      <c r="A1103" s="193" t="s">
        <v>700</v>
      </c>
      <c r="D1103" s="193" t="s">
        <v>202</v>
      </c>
      <c r="F1103" s="408">
        <f t="shared" ref="F1103:Z1103" si="524">F1092</f>
        <v>1690103.5960295342</v>
      </c>
      <c r="G1103" s="408">
        <f t="shared" si="524"/>
        <v>681511.31317550736</v>
      </c>
      <c r="H1103" s="408">
        <f t="shared" si="524"/>
        <v>269019.81528036017</v>
      </c>
      <c r="I1103" s="408">
        <f t="shared" si="524"/>
        <v>27396.01219597302</v>
      </c>
      <c r="J1103" s="408">
        <f t="shared" si="524"/>
        <v>315495.1431469107</v>
      </c>
      <c r="K1103" s="408">
        <f t="shared" si="524"/>
        <v>207552.61730070887</v>
      </c>
      <c r="L1103" s="408">
        <f t="shared" si="524"/>
        <v>79282.240403697579</v>
      </c>
      <c r="M1103" s="408">
        <f t="shared" si="524"/>
        <v>0</v>
      </c>
      <c r="N1103" s="408">
        <f t="shared" si="524"/>
        <v>0</v>
      </c>
      <c r="O1103" s="408">
        <f>O1092</f>
        <v>0</v>
      </c>
      <c r="P1103" s="408">
        <f t="shared" si="524"/>
        <v>73465.515867871058</v>
      </c>
      <c r="Q1103" s="408">
        <f t="shared" si="524"/>
        <v>30160.163344508281</v>
      </c>
      <c r="R1103" s="408">
        <f t="shared" si="524"/>
        <v>5836.975234304562</v>
      </c>
      <c r="S1103" s="408">
        <f t="shared" si="524"/>
        <v>0</v>
      </c>
      <c r="T1103" s="408">
        <f t="shared" si="524"/>
        <v>11.820196076369038</v>
      </c>
      <c r="U1103" s="408">
        <f t="shared" si="524"/>
        <v>371.9798836163248</v>
      </c>
      <c r="V1103" s="408">
        <f t="shared" si="524"/>
        <v>0</v>
      </c>
      <c r="W1103" s="408">
        <f t="shared" si="524"/>
        <v>0</v>
      </c>
      <c r="X1103" s="408">
        <f t="shared" si="524"/>
        <v>0</v>
      </c>
      <c r="Y1103" s="408">
        <f t="shared" si="524"/>
        <v>0</v>
      </c>
      <c r="Z1103" s="408">
        <f t="shared" si="524"/>
        <v>0</v>
      </c>
      <c r="AA1103" s="408">
        <f>SUM(G1103:Z1103)</f>
        <v>1690103.5960295342</v>
      </c>
      <c r="AB1103" s="409" t="str">
        <f t="shared" ref="AB1103:AB1108" si="525">IF(ABS(F1103-AA1103)&lt;0.01,"ok","err")</f>
        <v>ok</v>
      </c>
    </row>
    <row r="1104" spans="1:29" s="39" customFormat="1">
      <c r="A1104" s="39" t="s">
        <v>701</v>
      </c>
      <c r="F1104" s="59">
        <f>F175</f>
        <v>39320003.504241824</v>
      </c>
      <c r="AA1104" s="59">
        <f>F1104</f>
        <v>39320003.504241824</v>
      </c>
      <c r="AB1104" s="68" t="str">
        <f t="shared" si="525"/>
        <v>ok</v>
      </c>
    </row>
    <row r="1105" spans="1:28" s="39" customFormat="1">
      <c r="A1105" s="39" t="s">
        <v>156</v>
      </c>
      <c r="F1105" s="59">
        <v>0</v>
      </c>
      <c r="H1105" s="58">
        <v>0</v>
      </c>
      <c r="I1105" s="57">
        <v>0</v>
      </c>
      <c r="J1105" s="58">
        <v>0</v>
      </c>
      <c r="K1105" s="58">
        <v>0</v>
      </c>
      <c r="L1105" s="86">
        <v>0</v>
      </c>
      <c r="M1105" s="58">
        <v>0</v>
      </c>
      <c r="N1105" s="58">
        <v>0</v>
      </c>
      <c r="O1105" s="58">
        <v>0</v>
      </c>
      <c r="P1105" s="58">
        <v>0</v>
      </c>
      <c r="T1105" s="58">
        <v>0</v>
      </c>
      <c r="V1105" s="58">
        <v>0</v>
      </c>
      <c r="W1105" s="58">
        <v>0</v>
      </c>
      <c r="AA1105" s="59">
        <f>SUM(G1105:Z1105)</f>
        <v>0</v>
      </c>
      <c r="AB1105" s="68" t="str">
        <f t="shared" si="525"/>
        <v>ok</v>
      </c>
    </row>
    <row r="1106" spans="1:28" s="39" customFormat="1">
      <c r="A1106" s="39" t="s">
        <v>702</v>
      </c>
      <c r="E1106" s="39" t="s">
        <v>202</v>
      </c>
      <c r="F1106" s="59">
        <f>F1104-F1105</f>
        <v>39320003.504241824</v>
      </c>
      <c r="G1106" s="57">
        <f t="shared" ref="G1106:Z1106" si="526">IF(VLOOKUP($E1106,$D$6:$AN$1197,3,)=0,0,(VLOOKUP($E1106,$D$6:$AN$1197,G$2,)/VLOOKUP($E1106,$D$6:$AN$1197,3,))*$F1106)</f>
        <v>15855257.207424534</v>
      </c>
      <c r="H1106" s="57">
        <f t="shared" si="526"/>
        <v>6258705.1494264761</v>
      </c>
      <c r="I1106" s="57">
        <f t="shared" si="526"/>
        <v>637364.06340921542</v>
      </c>
      <c r="J1106" s="57">
        <f t="shared" si="526"/>
        <v>7339946.5945465183</v>
      </c>
      <c r="K1106" s="57">
        <f t="shared" si="526"/>
        <v>4828680.1227750443</v>
      </c>
      <c r="L1106" s="57">
        <f t="shared" si="526"/>
        <v>1844489.2832729383</v>
      </c>
      <c r="M1106" s="57">
        <f t="shared" si="526"/>
        <v>0</v>
      </c>
      <c r="N1106" s="57">
        <f t="shared" si="526"/>
        <v>0</v>
      </c>
      <c r="O1106" s="57">
        <f t="shared" si="526"/>
        <v>0</v>
      </c>
      <c r="P1106" s="57">
        <f t="shared" si="526"/>
        <v>1709164.0702687106</v>
      </c>
      <c r="Q1106" s="57">
        <f t="shared" si="526"/>
        <v>701671.62011875166</v>
      </c>
      <c r="R1106" s="57">
        <f t="shared" si="526"/>
        <v>135796.34242906934</v>
      </c>
      <c r="S1106" s="57">
        <f t="shared" si="526"/>
        <v>0</v>
      </c>
      <c r="T1106" s="57">
        <f t="shared" si="526"/>
        <v>274.99506671396625</v>
      </c>
      <c r="U1106" s="57">
        <f t="shared" si="526"/>
        <v>8654.0555038531293</v>
      </c>
      <c r="V1106" s="57">
        <f t="shared" si="526"/>
        <v>0</v>
      </c>
      <c r="W1106" s="57">
        <f t="shared" si="526"/>
        <v>0</v>
      </c>
      <c r="X1106" s="57">
        <f t="shared" si="526"/>
        <v>0</v>
      </c>
      <c r="Y1106" s="57">
        <f t="shared" si="526"/>
        <v>0</v>
      </c>
      <c r="Z1106" s="57">
        <f t="shared" si="526"/>
        <v>0</v>
      </c>
      <c r="AA1106" s="59">
        <f>SUM(G1106:Z1106)</f>
        <v>39320003.504241839</v>
      </c>
      <c r="AB1106" s="68" t="str">
        <f t="shared" si="525"/>
        <v>ok</v>
      </c>
    </row>
    <row r="1107" spans="1:28" s="39" customFormat="1">
      <c r="A1107" s="39" t="s">
        <v>703</v>
      </c>
      <c r="D1107" s="39" t="s">
        <v>203</v>
      </c>
      <c r="F1107" s="59">
        <f t="shared" ref="F1107:W1107" si="527">F1105+F1106</f>
        <v>39320003.504241824</v>
      </c>
      <c r="G1107" s="59">
        <f t="shared" si="527"/>
        <v>15855257.207424534</v>
      </c>
      <c r="H1107" s="59">
        <f t="shared" si="527"/>
        <v>6258705.1494264761</v>
      </c>
      <c r="I1107" s="59">
        <f t="shared" si="527"/>
        <v>637364.06340921542</v>
      </c>
      <c r="J1107" s="59">
        <f t="shared" si="527"/>
        <v>7339946.5945465183</v>
      </c>
      <c r="K1107" s="59">
        <f t="shared" si="527"/>
        <v>4828680.1227750443</v>
      </c>
      <c r="L1107" s="59">
        <f t="shared" si="527"/>
        <v>1844489.2832729383</v>
      </c>
      <c r="M1107" s="59">
        <f t="shared" si="527"/>
        <v>0</v>
      </c>
      <c r="N1107" s="59">
        <f t="shared" si="527"/>
        <v>0</v>
      </c>
      <c r="O1107" s="59">
        <f>O1105+O1106</f>
        <v>0</v>
      </c>
      <c r="P1107" s="59">
        <f t="shared" si="527"/>
        <v>1709164.0702687106</v>
      </c>
      <c r="Q1107" s="59">
        <f t="shared" si="527"/>
        <v>701671.62011875166</v>
      </c>
      <c r="R1107" s="59">
        <f t="shared" si="527"/>
        <v>135796.34242906934</v>
      </c>
      <c r="S1107" s="59">
        <f t="shared" si="527"/>
        <v>0</v>
      </c>
      <c r="T1107" s="59">
        <f t="shared" si="527"/>
        <v>274.99506671396625</v>
      </c>
      <c r="U1107" s="59">
        <f t="shared" si="527"/>
        <v>8654.0555038531293</v>
      </c>
      <c r="V1107" s="59">
        <f t="shared" si="527"/>
        <v>0</v>
      </c>
      <c r="W1107" s="59">
        <f t="shared" si="527"/>
        <v>0</v>
      </c>
      <c r="X1107" s="59">
        <f>X1105+X1106</f>
        <v>0</v>
      </c>
      <c r="Y1107" s="59">
        <f>Y1105+Y1106</f>
        <v>0</v>
      </c>
      <c r="Z1107" s="59">
        <f>Z1105+Z1106</f>
        <v>0</v>
      </c>
      <c r="AA1107" s="59">
        <f>SUM(G1107:Z1107)</f>
        <v>39320003.504241839</v>
      </c>
      <c r="AB1107" s="68" t="str">
        <f t="shared" si="525"/>
        <v>ok</v>
      </c>
    </row>
    <row r="1108" spans="1:28" s="39" customFormat="1">
      <c r="A1108" s="39" t="s">
        <v>704</v>
      </c>
      <c r="D1108" s="39" t="s">
        <v>204</v>
      </c>
      <c r="E1108" s="39" t="s">
        <v>203</v>
      </c>
      <c r="F1108" s="84">
        <v>1</v>
      </c>
      <c r="G1108" s="62">
        <f t="shared" ref="G1108:Z1108" si="528">IF(VLOOKUP($E1108,$D$6:$AN$1197,3,)=0,0,(VLOOKUP($E1108,$D$6:$AN$1197,G$2,)/VLOOKUP($E1108,$D$6:$AN$1197,3,))*$F1108)</f>
        <v>0.40323641389589593</v>
      </c>
      <c r="H1108" s="62">
        <f t="shared" si="528"/>
        <v>0.15917356540294533</v>
      </c>
      <c r="I1108" s="62">
        <f t="shared" si="528"/>
        <v>1.6209664461002828E-2</v>
      </c>
      <c r="J1108" s="62">
        <f t="shared" si="528"/>
        <v>0.1866720737640496</v>
      </c>
      <c r="K1108" s="62">
        <f t="shared" si="528"/>
        <v>0.12280467173036057</v>
      </c>
      <c r="L1108" s="62">
        <f t="shared" si="528"/>
        <v>4.6909692748983496E-2</v>
      </c>
      <c r="M1108" s="62">
        <f t="shared" si="528"/>
        <v>0</v>
      </c>
      <c r="N1108" s="62">
        <f t="shared" si="528"/>
        <v>0</v>
      </c>
      <c r="O1108" s="62">
        <f t="shared" si="528"/>
        <v>0</v>
      </c>
      <c r="P1108" s="62">
        <f t="shared" si="528"/>
        <v>4.3468054881641266E-2</v>
      </c>
      <c r="Q1108" s="62">
        <f t="shared" si="528"/>
        <v>1.7845156601856753E-2</v>
      </c>
      <c r="R1108" s="62">
        <f t="shared" si="528"/>
        <v>3.4536197946782913E-3</v>
      </c>
      <c r="S1108" s="62">
        <f t="shared" si="528"/>
        <v>0</v>
      </c>
      <c r="T1108" s="62">
        <f t="shared" si="528"/>
        <v>6.9937701476628788E-6</v>
      </c>
      <c r="U1108" s="62">
        <f t="shared" si="528"/>
        <v>2.2009294843830656E-4</v>
      </c>
      <c r="V1108" s="62">
        <f t="shared" si="528"/>
        <v>0</v>
      </c>
      <c r="W1108" s="62">
        <f t="shared" si="528"/>
        <v>0</v>
      </c>
      <c r="X1108" s="62">
        <f t="shared" si="528"/>
        <v>0</v>
      </c>
      <c r="Y1108" s="62">
        <f t="shared" si="528"/>
        <v>0</v>
      </c>
      <c r="Z1108" s="62">
        <f t="shared" si="528"/>
        <v>0</v>
      </c>
      <c r="AA1108" s="62">
        <f>SUM(G1108:Z1108)</f>
        <v>1</v>
      </c>
      <c r="AB1108" s="68" t="str">
        <f t="shared" si="525"/>
        <v>ok</v>
      </c>
    </row>
    <row r="1109" spans="1:28" s="39" customFormat="1">
      <c r="F1109" s="84"/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  <c r="U1109" s="62"/>
      <c r="V1109" s="62"/>
      <c r="W1109" s="62"/>
      <c r="X1109" s="62"/>
      <c r="Y1109" s="62"/>
      <c r="Z1109" s="62"/>
      <c r="AA1109" s="62"/>
      <c r="AB1109" s="68"/>
    </row>
    <row r="1110" spans="1:28" s="193" customFormat="1">
      <c r="A1110" s="193" t="s">
        <v>705</v>
      </c>
      <c r="D1110" s="193" t="s">
        <v>205</v>
      </c>
      <c r="F1110" s="408">
        <f t="shared" ref="F1110:Z1110" si="529">F1091</f>
        <v>2653132.5882298173</v>
      </c>
      <c r="G1110" s="408">
        <f t="shared" si="529"/>
        <v>1295443.5963315801</v>
      </c>
      <c r="H1110" s="408">
        <f t="shared" si="529"/>
        <v>346778.66546075844</v>
      </c>
      <c r="I1110" s="408">
        <f t="shared" si="529"/>
        <v>38900.726579760296</v>
      </c>
      <c r="J1110" s="408">
        <f t="shared" si="529"/>
        <v>463942.49521148956</v>
      </c>
      <c r="K1110" s="408">
        <f t="shared" si="529"/>
        <v>274019.24901283224</v>
      </c>
      <c r="L1110" s="408">
        <f t="shared" si="529"/>
        <v>104635.01281495308</v>
      </c>
      <c r="M1110" s="408">
        <f t="shared" si="529"/>
        <v>0</v>
      </c>
      <c r="N1110" s="408">
        <f t="shared" si="529"/>
        <v>0</v>
      </c>
      <c r="O1110" s="408">
        <f>O1091</f>
        <v>0</v>
      </c>
      <c r="P1110" s="408">
        <f t="shared" si="529"/>
        <v>69988.825372121006</v>
      </c>
      <c r="Q1110" s="408">
        <f t="shared" si="529"/>
        <v>49469.838618381531</v>
      </c>
      <c r="R1110" s="408">
        <f t="shared" si="529"/>
        <v>9559.7350044235591</v>
      </c>
      <c r="S1110" s="408">
        <f t="shared" si="529"/>
        <v>0</v>
      </c>
      <c r="T1110" s="408">
        <f t="shared" si="529"/>
        <v>22.463939900759218</v>
      </c>
      <c r="U1110" s="408">
        <f t="shared" si="529"/>
        <v>371.9798836163248</v>
      </c>
      <c r="V1110" s="408">
        <f t="shared" si="529"/>
        <v>0</v>
      </c>
      <c r="W1110" s="408">
        <f t="shared" si="529"/>
        <v>0</v>
      </c>
      <c r="X1110" s="408">
        <f t="shared" si="529"/>
        <v>0</v>
      </c>
      <c r="Y1110" s="408">
        <f t="shared" si="529"/>
        <v>0</v>
      </c>
      <c r="Z1110" s="408">
        <f t="shared" si="529"/>
        <v>0</v>
      </c>
      <c r="AA1110" s="408">
        <f>SUM(G1110:Z1110)</f>
        <v>2653132.5882298164</v>
      </c>
      <c r="AB1110" s="409" t="str">
        <f t="shared" ref="AB1110:AB1115" si="530">IF(ABS(F1110-AA1110)&lt;0.01,"ok","err")</f>
        <v>ok</v>
      </c>
    </row>
    <row r="1111" spans="1:28" s="39" customFormat="1">
      <c r="A1111" s="39" t="s">
        <v>706</v>
      </c>
      <c r="F1111" s="59">
        <f>F176</f>
        <v>40381915.040524326</v>
      </c>
      <c r="AA1111" s="59">
        <f>F1111</f>
        <v>40381915.040524326</v>
      </c>
      <c r="AB1111" s="68" t="str">
        <f t="shared" si="530"/>
        <v>ok</v>
      </c>
    </row>
    <row r="1112" spans="1:28" s="39" customFormat="1">
      <c r="A1112" s="39" t="s">
        <v>156</v>
      </c>
      <c r="F1112" s="59">
        <v>0</v>
      </c>
      <c r="H1112" s="58">
        <v>0</v>
      </c>
      <c r="I1112" s="57">
        <v>0</v>
      </c>
      <c r="J1112" s="58">
        <v>0</v>
      </c>
      <c r="K1112" s="58">
        <v>0</v>
      </c>
      <c r="L1112" s="86">
        <v>0</v>
      </c>
      <c r="M1112" s="58">
        <v>0</v>
      </c>
      <c r="N1112" s="58">
        <v>0</v>
      </c>
      <c r="O1112" s="58">
        <v>0</v>
      </c>
      <c r="P1112" s="58">
        <v>0</v>
      </c>
      <c r="T1112" s="58">
        <v>0</v>
      </c>
      <c r="V1112" s="58">
        <v>0</v>
      </c>
      <c r="W1112" s="58">
        <v>0</v>
      </c>
      <c r="AA1112" s="59">
        <f>SUM(G1112:Z1112)</f>
        <v>0</v>
      </c>
      <c r="AB1112" s="68" t="str">
        <f t="shared" si="530"/>
        <v>ok</v>
      </c>
    </row>
    <row r="1113" spans="1:28" s="39" customFormat="1">
      <c r="A1113" s="39" t="s">
        <v>707</v>
      </c>
      <c r="E1113" s="39" t="s">
        <v>205</v>
      </c>
      <c r="F1113" s="59">
        <f>F1111-F1112</f>
        <v>40381915.040524326</v>
      </c>
      <c r="G1113" s="57">
        <f t="shared" ref="G1113:Z1113" si="531">IF(VLOOKUP($E1113,$D$6:$AN$1197,3,)=0,0,(VLOOKUP($E1113,$D$6:$AN$1197,G$2,)/VLOOKUP($E1113,$D$6:$AN$1197,3,))*$F1113)</f>
        <v>19717255.548753522</v>
      </c>
      <c r="H1113" s="57">
        <f t="shared" si="531"/>
        <v>5278132.9770805063</v>
      </c>
      <c r="I1113" s="57">
        <f t="shared" si="531"/>
        <v>592087.19636836892</v>
      </c>
      <c r="J1113" s="57">
        <f t="shared" si="531"/>
        <v>7061421.0946084838</v>
      </c>
      <c r="K1113" s="57">
        <f t="shared" si="531"/>
        <v>4170700.7339905971</v>
      </c>
      <c r="L1113" s="57">
        <f t="shared" si="531"/>
        <v>1592593.6820883842</v>
      </c>
      <c r="M1113" s="57">
        <f t="shared" si="531"/>
        <v>0</v>
      </c>
      <c r="N1113" s="57">
        <f t="shared" si="531"/>
        <v>0</v>
      </c>
      <c r="O1113" s="57">
        <f t="shared" si="531"/>
        <v>0</v>
      </c>
      <c r="P1113" s="57">
        <f t="shared" si="531"/>
        <v>1065262.5551023793</v>
      </c>
      <c r="Q1113" s="57">
        <f t="shared" si="531"/>
        <v>752954.00954265858</v>
      </c>
      <c r="R1113" s="57">
        <f t="shared" si="531"/>
        <v>145503.62408240087</v>
      </c>
      <c r="S1113" s="57">
        <f t="shared" si="531"/>
        <v>0</v>
      </c>
      <c r="T1113" s="57">
        <f t="shared" si="531"/>
        <v>341.91163930979769</v>
      </c>
      <c r="U1113" s="57">
        <f t="shared" si="531"/>
        <v>5661.7072677098331</v>
      </c>
      <c r="V1113" s="57">
        <f t="shared" si="531"/>
        <v>0</v>
      </c>
      <c r="W1113" s="57">
        <f t="shared" si="531"/>
        <v>0</v>
      </c>
      <c r="X1113" s="57">
        <f t="shared" si="531"/>
        <v>0</v>
      </c>
      <c r="Y1113" s="57">
        <f t="shared" si="531"/>
        <v>0</v>
      </c>
      <c r="Z1113" s="57">
        <f t="shared" si="531"/>
        <v>0</v>
      </c>
      <c r="AA1113" s="59">
        <f>SUM(G1113:Z1113)</f>
        <v>40381915.040524319</v>
      </c>
      <c r="AB1113" s="68" t="str">
        <f t="shared" si="530"/>
        <v>ok</v>
      </c>
    </row>
    <row r="1114" spans="1:28" s="39" customFormat="1">
      <c r="A1114" s="39" t="s">
        <v>708</v>
      </c>
      <c r="D1114" s="39" t="s">
        <v>206</v>
      </c>
      <c r="F1114" s="59">
        <f t="shared" ref="F1114:Z1114" si="532">F1112+F1113</f>
        <v>40381915.040524326</v>
      </c>
      <c r="G1114" s="59">
        <f t="shared" si="532"/>
        <v>19717255.548753522</v>
      </c>
      <c r="H1114" s="59">
        <f t="shared" si="532"/>
        <v>5278132.9770805063</v>
      </c>
      <c r="I1114" s="59">
        <f t="shared" si="532"/>
        <v>592087.19636836892</v>
      </c>
      <c r="J1114" s="59">
        <f t="shared" si="532"/>
        <v>7061421.0946084838</v>
      </c>
      <c r="K1114" s="59">
        <f t="shared" si="532"/>
        <v>4170700.7339905971</v>
      </c>
      <c r="L1114" s="59">
        <f t="shared" si="532"/>
        <v>1592593.6820883842</v>
      </c>
      <c r="M1114" s="59">
        <f t="shared" si="532"/>
        <v>0</v>
      </c>
      <c r="N1114" s="59">
        <f t="shared" si="532"/>
        <v>0</v>
      </c>
      <c r="O1114" s="59">
        <f>O1112+O1113</f>
        <v>0</v>
      </c>
      <c r="P1114" s="59">
        <f t="shared" si="532"/>
        <v>1065262.5551023793</v>
      </c>
      <c r="Q1114" s="59">
        <f t="shared" si="532"/>
        <v>752954.00954265858</v>
      </c>
      <c r="R1114" s="59">
        <f t="shared" si="532"/>
        <v>145503.62408240087</v>
      </c>
      <c r="S1114" s="59">
        <f t="shared" si="532"/>
        <v>0</v>
      </c>
      <c r="T1114" s="59">
        <f t="shared" si="532"/>
        <v>341.91163930979769</v>
      </c>
      <c r="U1114" s="59">
        <f t="shared" si="532"/>
        <v>5661.7072677098331</v>
      </c>
      <c r="V1114" s="59">
        <f t="shared" si="532"/>
        <v>0</v>
      </c>
      <c r="W1114" s="59">
        <f t="shared" si="532"/>
        <v>0</v>
      </c>
      <c r="X1114" s="59">
        <f t="shared" si="532"/>
        <v>0</v>
      </c>
      <c r="Y1114" s="59">
        <f t="shared" si="532"/>
        <v>0</v>
      </c>
      <c r="Z1114" s="59">
        <f t="shared" si="532"/>
        <v>0</v>
      </c>
      <c r="AA1114" s="59">
        <f>SUM(G1114:Z1114)</f>
        <v>40381915.040524319</v>
      </c>
      <c r="AB1114" s="68" t="str">
        <f t="shared" si="530"/>
        <v>ok</v>
      </c>
    </row>
    <row r="1115" spans="1:28" s="39" customFormat="1">
      <c r="A1115" s="39" t="s">
        <v>709</v>
      </c>
      <c r="D1115" s="39" t="s">
        <v>207</v>
      </c>
      <c r="E1115" s="39" t="s">
        <v>206</v>
      </c>
      <c r="F1115" s="84">
        <v>1</v>
      </c>
      <c r="G1115" s="62">
        <f t="shared" ref="G1115:Z1115" si="533">IF(VLOOKUP($E1115,$D$6:$AN$1197,3,)=0,0,(VLOOKUP($E1115,$D$6:$AN$1197,G$2,)/VLOOKUP($E1115,$D$6:$AN$1197,3,))*$F1115)</f>
        <v>0.48826945252513981</v>
      </c>
      <c r="H1115" s="62">
        <f t="shared" si="533"/>
        <v>0.13070536580010531</v>
      </c>
      <c r="I1115" s="62">
        <f t="shared" si="533"/>
        <v>1.4662187164085549E-2</v>
      </c>
      <c r="J1115" s="62">
        <f t="shared" si="533"/>
        <v>0.17486592915472582</v>
      </c>
      <c r="K1115" s="62">
        <f t="shared" si="533"/>
        <v>0.10328140034481247</v>
      </c>
      <c r="L1115" s="62">
        <f t="shared" si="533"/>
        <v>3.9438290147710282E-2</v>
      </c>
      <c r="M1115" s="62">
        <f t="shared" si="533"/>
        <v>0</v>
      </c>
      <c r="N1115" s="62">
        <f t="shared" si="533"/>
        <v>0</v>
      </c>
      <c r="O1115" s="62">
        <f t="shared" si="533"/>
        <v>0</v>
      </c>
      <c r="P1115" s="62">
        <f t="shared" si="533"/>
        <v>2.6379693831591691E-2</v>
      </c>
      <c r="Q1115" s="62">
        <f t="shared" si="533"/>
        <v>1.8645822239659739E-2</v>
      </c>
      <c r="R1115" s="62">
        <f t="shared" si="533"/>
        <v>3.603187811583084E-3</v>
      </c>
      <c r="S1115" s="62">
        <f t="shared" si="533"/>
        <v>0</v>
      </c>
      <c r="T1115" s="62">
        <f t="shared" si="533"/>
        <v>8.4669495977761393E-6</v>
      </c>
      <c r="U1115" s="62">
        <f t="shared" si="533"/>
        <v>1.4020403098833126E-4</v>
      </c>
      <c r="V1115" s="62">
        <f t="shared" si="533"/>
        <v>0</v>
      </c>
      <c r="W1115" s="62">
        <f t="shared" si="533"/>
        <v>0</v>
      </c>
      <c r="X1115" s="62">
        <f t="shared" si="533"/>
        <v>0</v>
      </c>
      <c r="Y1115" s="62">
        <f t="shared" si="533"/>
        <v>0</v>
      </c>
      <c r="Z1115" s="62">
        <f t="shared" si="533"/>
        <v>0</v>
      </c>
      <c r="AA1115" s="62">
        <f>SUM(G1115:Z1115)</f>
        <v>0.99999999999999978</v>
      </c>
      <c r="AB1115" s="68" t="str">
        <f t="shared" si="530"/>
        <v>ok</v>
      </c>
    </row>
    <row r="1116" spans="1:28" s="39" customFormat="1">
      <c r="F1116" s="84"/>
      <c r="G1116" s="62"/>
      <c r="H1116" s="62"/>
      <c r="I1116" s="62"/>
      <c r="J1116" s="62"/>
      <c r="K1116" s="62"/>
      <c r="L1116" s="62"/>
      <c r="M1116" s="62"/>
      <c r="N1116" s="62"/>
      <c r="O1116" s="62"/>
      <c r="P1116" s="62"/>
      <c r="Q1116" s="62"/>
      <c r="R1116" s="62"/>
      <c r="S1116" s="62"/>
      <c r="T1116" s="62"/>
      <c r="U1116" s="62"/>
      <c r="V1116" s="62"/>
      <c r="W1116" s="62"/>
      <c r="X1116" s="62"/>
      <c r="Y1116" s="62"/>
      <c r="Z1116" s="62"/>
      <c r="AA1116" s="62"/>
      <c r="AB1116" s="68"/>
    </row>
    <row r="1117" spans="1:28" s="193" customFormat="1">
      <c r="A1117" s="193" t="s">
        <v>932</v>
      </c>
      <c r="D1117" s="193" t="s">
        <v>937</v>
      </c>
      <c r="F1117" s="408">
        <f>F1093</f>
        <v>1394755.1300000001</v>
      </c>
      <c r="G1117" s="408">
        <f t="shared" ref="G1117:Z1117" si="534">G1093</f>
        <v>509886.4276712329</v>
      </c>
      <c r="H1117" s="408">
        <f t="shared" si="534"/>
        <v>168176.72026994225</v>
      </c>
      <c r="I1117" s="408">
        <f t="shared" si="534"/>
        <v>27525.488302687496</v>
      </c>
      <c r="J1117" s="408">
        <f t="shared" si="534"/>
        <v>280419.96285732958</v>
      </c>
      <c r="K1117" s="408">
        <f t="shared" si="534"/>
        <v>225507.78535831612</v>
      </c>
      <c r="L1117" s="408">
        <f t="shared" si="534"/>
        <v>76244.206636382107</v>
      </c>
      <c r="M1117" s="408">
        <f t="shared" si="534"/>
        <v>0</v>
      </c>
      <c r="N1117" s="408">
        <f t="shared" si="534"/>
        <v>0</v>
      </c>
      <c r="O1117" s="408">
        <f>O1093</f>
        <v>0</v>
      </c>
      <c r="P1117" s="408">
        <f t="shared" si="534"/>
        <v>61051.51</v>
      </c>
      <c r="Q1117" s="408">
        <f t="shared" si="534"/>
        <v>25628.28</v>
      </c>
      <c r="R1117" s="408">
        <f t="shared" si="534"/>
        <v>6887.32</v>
      </c>
      <c r="S1117" s="408">
        <f t="shared" si="534"/>
        <v>12598.87</v>
      </c>
      <c r="T1117" s="408">
        <f t="shared" si="534"/>
        <v>455.40890410958906</v>
      </c>
      <c r="U1117" s="408">
        <f t="shared" si="534"/>
        <v>373.15</v>
      </c>
      <c r="V1117" s="408">
        <f t="shared" si="534"/>
        <v>0</v>
      </c>
      <c r="W1117" s="408">
        <f t="shared" si="534"/>
        <v>0</v>
      </c>
      <c r="X1117" s="408">
        <f t="shared" si="534"/>
        <v>0</v>
      </c>
      <c r="Y1117" s="408">
        <f t="shared" si="534"/>
        <v>0</v>
      </c>
      <c r="Z1117" s="408">
        <f t="shared" si="534"/>
        <v>0</v>
      </c>
      <c r="AA1117" s="408">
        <f>SUM(G1117:Z1117)</f>
        <v>1394755.1300000001</v>
      </c>
      <c r="AB1117" s="409" t="str">
        <f t="shared" ref="AB1117:AB1122" si="535">IF(ABS(F1117-AA1117)&lt;0.01,"ok","err")</f>
        <v>ok</v>
      </c>
    </row>
    <row r="1118" spans="1:28" s="39" customFormat="1">
      <c r="A1118" s="39" t="s">
        <v>933</v>
      </c>
      <c r="F1118" s="59">
        <f>F174</f>
        <v>41710970.223765999</v>
      </c>
      <c r="AA1118" s="59">
        <f>F1118</f>
        <v>41710970.223765999</v>
      </c>
      <c r="AB1118" s="68" t="str">
        <f t="shared" si="535"/>
        <v>ok</v>
      </c>
    </row>
    <row r="1119" spans="1:28" s="39" customFormat="1">
      <c r="A1119" s="39" t="s">
        <v>156</v>
      </c>
      <c r="F1119" s="59">
        <v>0</v>
      </c>
      <c r="H1119" s="58">
        <v>0</v>
      </c>
      <c r="I1119" s="57">
        <v>0</v>
      </c>
      <c r="J1119" s="58">
        <v>0</v>
      </c>
      <c r="K1119" s="58">
        <v>0</v>
      </c>
      <c r="L1119" s="86">
        <v>0</v>
      </c>
      <c r="M1119" s="58">
        <v>0</v>
      </c>
      <c r="N1119" s="58">
        <v>0</v>
      </c>
      <c r="O1119" s="58">
        <v>0</v>
      </c>
      <c r="P1119" s="58">
        <v>0</v>
      </c>
      <c r="T1119" s="58">
        <v>0</v>
      </c>
      <c r="V1119" s="58">
        <v>0</v>
      </c>
      <c r="W1119" s="58">
        <v>0</v>
      </c>
      <c r="AA1119" s="59">
        <f>SUM(G1119:Z1119)</f>
        <v>0</v>
      </c>
      <c r="AB1119" s="68" t="str">
        <f t="shared" si="535"/>
        <v>ok</v>
      </c>
    </row>
    <row r="1120" spans="1:28" s="39" customFormat="1">
      <c r="A1120" s="39" t="s">
        <v>934</v>
      </c>
      <c r="E1120" s="39" t="s">
        <v>937</v>
      </c>
      <c r="F1120" s="59">
        <f>F1118-F1119</f>
        <v>41710970.223765999</v>
      </c>
      <c r="G1120" s="57">
        <f t="shared" ref="G1120:Z1120" si="536">IF(VLOOKUP($E1120,$D$6:$AN$1197,3,)=0,0,(VLOOKUP($E1120,$D$6:$AN$1197,G$2,)/VLOOKUP($E1120,$D$6:$AN$1197,3,))*$F1120)</f>
        <v>15248452.681509197</v>
      </c>
      <c r="H1120" s="57">
        <f t="shared" si="536"/>
        <v>5029423.4598084493</v>
      </c>
      <c r="I1120" s="57">
        <f t="shared" si="536"/>
        <v>823165.87212553748</v>
      </c>
      <c r="J1120" s="57">
        <f t="shared" si="536"/>
        <v>8386123.4630423198</v>
      </c>
      <c r="K1120" s="57">
        <f t="shared" si="536"/>
        <v>6743942.5874763671</v>
      </c>
      <c r="L1120" s="57">
        <f t="shared" si="536"/>
        <v>2280127.7187234978</v>
      </c>
      <c r="M1120" s="57">
        <f t="shared" si="536"/>
        <v>0</v>
      </c>
      <c r="N1120" s="57">
        <f t="shared" si="536"/>
        <v>0</v>
      </c>
      <c r="O1120" s="57">
        <f t="shared" si="536"/>
        <v>0</v>
      </c>
      <c r="P1120" s="57">
        <f t="shared" si="536"/>
        <v>1825781.2148903527</v>
      </c>
      <c r="Q1120" s="57">
        <f t="shared" si="536"/>
        <v>766428.74507035338</v>
      </c>
      <c r="R1120" s="57">
        <f t="shared" si="536"/>
        <v>205969.34419703335</v>
      </c>
      <c r="S1120" s="57">
        <f t="shared" si="536"/>
        <v>376776.59692357521</v>
      </c>
      <c r="T1120" s="57">
        <f t="shared" si="536"/>
        <v>13619.27038687642</v>
      </c>
      <c r="U1120" s="57">
        <f t="shared" si="536"/>
        <v>11159.269612436041</v>
      </c>
      <c r="V1120" s="57">
        <f t="shared" si="536"/>
        <v>0</v>
      </c>
      <c r="W1120" s="57">
        <f t="shared" si="536"/>
        <v>0</v>
      </c>
      <c r="X1120" s="57">
        <f t="shared" si="536"/>
        <v>0</v>
      </c>
      <c r="Y1120" s="57">
        <f t="shared" si="536"/>
        <v>0</v>
      </c>
      <c r="Z1120" s="57">
        <f t="shared" si="536"/>
        <v>0</v>
      </c>
      <c r="AA1120" s="59">
        <f>SUM(G1120:Z1120)</f>
        <v>41710970.223765999</v>
      </c>
      <c r="AB1120" s="68" t="str">
        <f t="shared" si="535"/>
        <v>ok</v>
      </c>
    </row>
    <row r="1121" spans="1:29" s="39" customFormat="1">
      <c r="A1121" s="39" t="s">
        <v>935</v>
      </c>
      <c r="D1121" s="39" t="s">
        <v>938</v>
      </c>
      <c r="F1121" s="59">
        <f t="shared" ref="F1121:Z1121" si="537">F1119+F1120</f>
        <v>41710970.223765999</v>
      </c>
      <c r="G1121" s="59">
        <f t="shared" si="537"/>
        <v>15248452.681509197</v>
      </c>
      <c r="H1121" s="59">
        <f t="shared" si="537"/>
        <v>5029423.4598084493</v>
      </c>
      <c r="I1121" s="59">
        <f t="shared" si="537"/>
        <v>823165.87212553748</v>
      </c>
      <c r="J1121" s="59">
        <f t="shared" si="537"/>
        <v>8386123.4630423198</v>
      </c>
      <c r="K1121" s="59">
        <f t="shared" si="537"/>
        <v>6743942.5874763671</v>
      </c>
      <c r="L1121" s="59">
        <f t="shared" si="537"/>
        <v>2280127.7187234978</v>
      </c>
      <c r="M1121" s="59">
        <f t="shared" si="537"/>
        <v>0</v>
      </c>
      <c r="N1121" s="59">
        <f t="shared" si="537"/>
        <v>0</v>
      </c>
      <c r="O1121" s="59">
        <f>O1119+O1120</f>
        <v>0</v>
      </c>
      <c r="P1121" s="59">
        <f t="shared" si="537"/>
        <v>1825781.2148903527</v>
      </c>
      <c r="Q1121" s="59">
        <f t="shared" si="537"/>
        <v>766428.74507035338</v>
      </c>
      <c r="R1121" s="59">
        <f t="shared" si="537"/>
        <v>205969.34419703335</v>
      </c>
      <c r="S1121" s="59">
        <f t="shared" si="537"/>
        <v>376776.59692357521</v>
      </c>
      <c r="T1121" s="59">
        <f t="shared" si="537"/>
        <v>13619.27038687642</v>
      </c>
      <c r="U1121" s="59">
        <f t="shared" si="537"/>
        <v>11159.269612436041</v>
      </c>
      <c r="V1121" s="59">
        <f t="shared" si="537"/>
        <v>0</v>
      </c>
      <c r="W1121" s="59">
        <f t="shared" si="537"/>
        <v>0</v>
      </c>
      <c r="X1121" s="59">
        <f t="shared" si="537"/>
        <v>0</v>
      </c>
      <c r="Y1121" s="59">
        <f t="shared" si="537"/>
        <v>0</v>
      </c>
      <c r="Z1121" s="59">
        <f t="shared" si="537"/>
        <v>0</v>
      </c>
      <c r="AA1121" s="59">
        <f>SUM(G1121:Z1121)</f>
        <v>41710970.223765999</v>
      </c>
      <c r="AB1121" s="68" t="str">
        <f t="shared" si="535"/>
        <v>ok</v>
      </c>
    </row>
    <row r="1122" spans="1:29" s="39" customFormat="1">
      <c r="A1122" s="39" t="s">
        <v>936</v>
      </c>
      <c r="D1122" s="39" t="s">
        <v>939</v>
      </c>
      <c r="E1122" s="39" t="s">
        <v>938</v>
      </c>
      <c r="F1122" s="84">
        <v>1</v>
      </c>
      <c r="G1122" s="62">
        <f t="shared" ref="G1122:Z1122" si="538">IF(VLOOKUP($E1122,$D$6:$AN$1197,3,)=0,0,(VLOOKUP($E1122,$D$6:$AN$1197,G$2,)/VLOOKUP($E1122,$D$6:$AN$1197,3,))*$F1122)</f>
        <v>0.36557415470573162</v>
      </c>
      <c r="H1122" s="62">
        <f t="shared" si="538"/>
        <v>0.1205779542606466</v>
      </c>
      <c r="I1122" s="62">
        <f t="shared" si="538"/>
        <v>1.973499699742097E-2</v>
      </c>
      <c r="J1122" s="62">
        <f t="shared" si="538"/>
        <v>0.20105318620145857</v>
      </c>
      <c r="K1122" s="62">
        <f t="shared" si="538"/>
        <v>0.16168270724217812</v>
      </c>
      <c r="L1122" s="62">
        <f t="shared" si="538"/>
        <v>5.4664940817519776E-2</v>
      </c>
      <c r="M1122" s="62">
        <f t="shared" si="538"/>
        <v>0</v>
      </c>
      <c r="N1122" s="62">
        <f t="shared" si="538"/>
        <v>0</v>
      </c>
      <c r="O1122" s="62">
        <f t="shared" si="538"/>
        <v>0</v>
      </c>
      <c r="P1122" s="62">
        <f t="shared" si="538"/>
        <v>4.3772206810237718E-2</v>
      </c>
      <c r="Q1122" s="62">
        <f t="shared" si="538"/>
        <v>1.8374752276408546E-2</v>
      </c>
      <c r="R1122" s="62">
        <f t="shared" si="538"/>
        <v>4.9380137429571591E-3</v>
      </c>
      <c r="S1122" s="62">
        <f t="shared" si="538"/>
        <v>9.0330336336529558E-3</v>
      </c>
      <c r="T1122" s="62">
        <f t="shared" si="538"/>
        <v>3.2651531033235133E-4</v>
      </c>
      <c r="U1122" s="62">
        <f t="shared" si="538"/>
        <v>2.6753800145549561E-4</v>
      </c>
      <c r="V1122" s="62">
        <f t="shared" si="538"/>
        <v>0</v>
      </c>
      <c r="W1122" s="62">
        <f t="shared" si="538"/>
        <v>0</v>
      </c>
      <c r="X1122" s="57">
        <f t="shared" si="538"/>
        <v>0</v>
      </c>
      <c r="Y1122" s="57">
        <f t="shared" si="538"/>
        <v>0</v>
      </c>
      <c r="Z1122" s="57">
        <f t="shared" si="538"/>
        <v>0</v>
      </c>
      <c r="AA1122" s="62">
        <f>SUM(G1122:Z1122)</f>
        <v>0.99999999999999989</v>
      </c>
      <c r="AB1122" s="68" t="str">
        <f t="shared" si="535"/>
        <v>ok</v>
      </c>
    </row>
    <row r="1123" spans="1:29" s="39" customFormat="1">
      <c r="F1123" s="84"/>
      <c r="G1123" s="62"/>
      <c r="H1123" s="62"/>
      <c r="I1123" s="62"/>
      <c r="J1123" s="62"/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  <c r="U1123" s="62"/>
      <c r="V1123" s="62"/>
      <c r="W1123" s="62"/>
      <c r="X1123" s="62"/>
      <c r="Y1123" s="62"/>
      <c r="Z1123" s="62"/>
      <c r="AA1123" s="62"/>
      <c r="AB1123" s="68"/>
    </row>
    <row r="1124" spans="1:29" s="39" customFormat="1">
      <c r="A1124" s="44" t="s">
        <v>1395</v>
      </c>
      <c r="F1124" s="84"/>
      <c r="G1124" s="62"/>
      <c r="H1124" s="62"/>
      <c r="I1124" s="62"/>
      <c r="J1124" s="62"/>
      <c r="K1124" s="62"/>
      <c r="L1124" s="62"/>
      <c r="M1124" s="62"/>
      <c r="N1124" s="62"/>
      <c r="O1124" s="62"/>
      <c r="P1124" s="62"/>
      <c r="Q1124" s="62"/>
      <c r="R1124" s="62"/>
      <c r="S1124" s="62"/>
      <c r="T1124" s="62"/>
      <c r="U1124" s="62"/>
      <c r="V1124" s="62"/>
      <c r="W1124" s="62"/>
      <c r="X1124" s="62"/>
      <c r="Y1124" s="62"/>
      <c r="Z1124" s="62"/>
      <c r="AA1124" s="62"/>
      <c r="AB1124" s="68"/>
    </row>
    <row r="1125" spans="1:29" s="39" customFormat="1">
      <c r="F1125" s="84"/>
      <c r="G1125" s="62"/>
      <c r="H1125" s="62"/>
      <c r="I1125" s="62"/>
      <c r="J1125" s="62"/>
      <c r="K1125" s="62"/>
      <c r="L1125" s="62"/>
      <c r="M1125" s="62"/>
      <c r="N1125" s="62"/>
      <c r="O1125" s="62"/>
      <c r="P1125" s="62"/>
      <c r="Q1125" s="62"/>
      <c r="R1125" s="62"/>
      <c r="S1125" s="62"/>
      <c r="T1125" s="62"/>
      <c r="U1125" s="62"/>
      <c r="V1125" s="62"/>
      <c r="W1125" s="62"/>
      <c r="X1125" s="62"/>
      <c r="Y1125" s="62"/>
      <c r="Z1125" s="62"/>
      <c r="AA1125" s="62"/>
      <c r="AB1125" s="68"/>
    </row>
    <row r="1126" spans="1:29" s="39" customFormat="1">
      <c r="A1126" s="44" t="s">
        <v>948</v>
      </c>
      <c r="F1126" s="84"/>
      <c r="G1126" s="62"/>
      <c r="H1126" s="62"/>
      <c r="I1126" s="62"/>
      <c r="J1126" s="62"/>
      <c r="K1126" s="62"/>
      <c r="L1126" s="62"/>
      <c r="M1126" s="62"/>
      <c r="N1126" s="62"/>
      <c r="O1126" s="62"/>
      <c r="P1126" s="62"/>
      <c r="Q1126" s="62"/>
      <c r="R1126" s="62"/>
      <c r="S1126" s="62"/>
      <c r="T1126" s="62"/>
      <c r="U1126" s="62"/>
      <c r="V1126" s="62"/>
      <c r="W1126" s="62"/>
      <c r="X1126" s="62"/>
      <c r="Y1126" s="62"/>
      <c r="Z1126" s="62"/>
      <c r="AA1126" s="62"/>
      <c r="AB1126" s="68"/>
    </row>
    <row r="1127" spans="1:29" s="39" customFormat="1">
      <c r="A1127" s="39" t="s">
        <v>949</v>
      </c>
      <c r="D1127" s="39" t="s">
        <v>950</v>
      </c>
      <c r="F1127" s="61">
        <f t="shared" ref="F1127:Z1127" si="539">F24+F27+F35+F40+F43</f>
        <v>928173010.51454473</v>
      </c>
      <c r="G1127" s="61">
        <f t="shared" si="539"/>
        <v>661645173.83735311</v>
      </c>
      <c r="H1127" s="61">
        <f t="shared" si="539"/>
        <v>113310632.34784339</v>
      </c>
      <c r="I1127" s="61">
        <f t="shared" si="539"/>
        <v>4258321.3497531079</v>
      </c>
      <c r="J1127" s="61">
        <f t="shared" si="539"/>
        <v>72346222.906728104</v>
      </c>
      <c r="K1127" s="61">
        <f t="shared" si="539"/>
        <v>39362621.83762069</v>
      </c>
      <c r="L1127" s="61">
        <f t="shared" si="539"/>
        <v>17144198.712068446</v>
      </c>
      <c r="M1127" s="61">
        <f t="shared" si="539"/>
        <v>0</v>
      </c>
      <c r="N1127" s="61">
        <f t="shared" si="539"/>
        <v>0</v>
      </c>
      <c r="O1127" s="61">
        <f t="shared" si="539"/>
        <v>0</v>
      </c>
      <c r="P1127" s="61">
        <f t="shared" si="539"/>
        <v>0</v>
      </c>
      <c r="Q1127" s="61">
        <f t="shared" si="539"/>
        <v>5505039.6558332238</v>
      </c>
      <c r="R1127" s="61">
        <f t="shared" si="539"/>
        <v>1244227.5900607714</v>
      </c>
      <c r="S1127" s="61">
        <f t="shared" si="539"/>
        <v>12973379.695711687</v>
      </c>
      <c r="T1127" s="61">
        <f t="shared" si="539"/>
        <v>148627.27161372441</v>
      </c>
      <c r="U1127" s="61">
        <f t="shared" si="539"/>
        <v>234565.30995837381</v>
      </c>
      <c r="V1127" s="61">
        <f t="shared" si="539"/>
        <v>0</v>
      </c>
      <c r="W1127" s="61">
        <f t="shared" si="539"/>
        <v>0</v>
      </c>
      <c r="X1127" s="61">
        <f t="shared" si="539"/>
        <v>0</v>
      </c>
      <c r="Y1127" s="61">
        <f t="shared" si="539"/>
        <v>0</v>
      </c>
      <c r="Z1127" s="61">
        <f t="shared" si="539"/>
        <v>0</v>
      </c>
      <c r="AA1127" s="59">
        <f>SUM(G1127:Z1127)</f>
        <v>928173010.51454484</v>
      </c>
      <c r="AB1127" s="68" t="str">
        <f>IF(ABS(F1127-AA1127)&lt;0.01,"ok","err")</f>
        <v>ok</v>
      </c>
    </row>
    <row r="1128" spans="1:29" s="39" customFormat="1">
      <c r="F1128" s="84"/>
      <c r="G1128" s="62"/>
      <c r="H1128" s="62"/>
      <c r="I1128" s="62"/>
      <c r="J1128" s="62"/>
      <c r="K1128" s="62"/>
      <c r="L1128" s="62"/>
      <c r="M1128" s="62"/>
      <c r="N1128" s="62"/>
      <c r="O1128" s="62"/>
      <c r="P1128" s="62"/>
      <c r="Q1128" s="62"/>
      <c r="R1128" s="62"/>
      <c r="S1128" s="62"/>
      <c r="T1128" s="62"/>
      <c r="U1128" s="62"/>
      <c r="V1128" s="62"/>
      <c r="W1128" s="62"/>
      <c r="X1128" s="62"/>
      <c r="Y1128" s="62"/>
      <c r="Z1128" s="62"/>
      <c r="AA1128" s="62"/>
      <c r="AB1128" s="68"/>
    </row>
    <row r="1129" spans="1:29" s="39" customFormat="1">
      <c r="A1129" s="44" t="s">
        <v>728</v>
      </c>
      <c r="F1129" s="84"/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  <c r="U1129" s="62"/>
      <c r="V1129" s="62"/>
      <c r="W1129" s="62"/>
      <c r="X1129" s="62"/>
      <c r="Y1129" s="62"/>
      <c r="Z1129" s="62"/>
      <c r="AA1129" s="62"/>
      <c r="AB1129" s="68"/>
    </row>
    <row r="1130" spans="1:29" s="39" customFormat="1">
      <c r="F1130" s="58"/>
      <c r="G1130" s="58"/>
      <c r="H1130" s="58"/>
      <c r="I1130" s="58"/>
      <c r="J1130" s="58"/>
      <c r="K1130" s="58"/>
      <c r="L1130" s="58"/>
      <c r="M1130" s="58"/>
      <c r="N1130" s="58"/>
      <c r="O1130" s="62"/>
      <c r="P1130" s="62"/>
      <c r="Q1130" s="62"/>
      <c r="R1130" s="62"/>
      <c r="S1130" s="58"/>
      <c r="T1130" s="58"/>
      <c r="U1130" s="58"/>
      <c r="V1130" s="62"/>
      <c r="W1130" s="62"/>
      <c r="X1130" s="62"/>
      <c r="Y1130" s="62"/>
      <c r="Z1130" s="62"/>
      <c r="AA1130" s="59"/>
      <c r="AB1130" s="68"/>
    </row>
    <row r="1131" spans="1:29" s="39" customFormat="1">
      <c r="A1131" s="39" t="s">
        <v>784</v>
      </c>
      <c r="D1131" s="39" t="s">
        <v>785</v>
      </c>
      <c r="F1131" s="58">
        <f>F676</f>
        <v>5456485.5300000003</v>
      </c>
      <c r="G1131" s="58">
        <v>4190878.91</v>
      </c>
      <c r="H1131" s="58">
        <v>944053.52000000014</v>
      </c>
      <c r="I1131" s="58">
        <v>10699.580000000002</v>
      </c>
      <c r="J1131" s="58">
        <v>193797.68999999997</v>
      </c>
      <c r="K1131" s="58">
        <f>15208.2+55950.11</f>
        <v>71158.31</v>
      </c>
      <c r="L1131" s="58">
        <f>31331.17+8789.98</f>
        <v>40121.149999999994</v>
      </c>
      <c r="M1131" s="58">
        <v>0</v>
      </c>
      <c r="N1131" s="58">
        <v>0</v>
      </c>
      <c r="O1131" s="58">
        <v>0</v>
      </c>
      <c r="P1131" s="58">
        <v>5776.369999999999</v>
      </c>
      <c r="Q1131" s="58">
        <v>0</v>
      </c>
      <c r="R1131" s="58">
        <v>0</v>
      </c>
      <c r="S1131" s="58">
        <v>0</v>
      </c>
      <c r="T1131" s="58">
        <v>0</v>
      </c>
      <c r="U1131" s="58">
        <v>0</v>
      </c>
      <c r="V1131" s="58"/>
      <c r="W1131" s="58"/>
      <c r="X1131" s="58"/>
      <c r="Y1131" s="58"/>
      <c r="Z1131" s="58"/>
      <c r="AA1131" s="86">
        <f t="shared" ref="AA1131:AA1136" si="540">SUM(G1131:Z1131)</f>
        <v>5456485.5300000012</v>
      </c>
      <c r="AB1131" s="68" t="str">
        <f>IF(ABS(F1131-AA1131)&lt;0.01,"ok","err")</f>
        <v>ok</v>
      </c>
    </row>
    <row r="1132" spans="1:29" s="39" customFormat="1">
      <c r="A1132" s="39" t="s">
        <v>1460</v>
      </c>
      <c r="D1132" s="39" t="s">
        <v>197</v>
      </c>
      <c r="F1132" s="62">
        <v>1</v>
      </c>
      <c r="G1132" s="62">
        <f>0.8451</f>
        <v>0.84509999999999996</v>
      </c>
      <c r="H1132" s="62">
        <f>0.1549</f>
        <v>0.15490000000000001</v>
      </c>
      <c r="I1132" s="58">
        <v>0</v>
      </c>
      <c r="J1132" s="58">
        <v>0</v>
      </c>
      <c r="K1132" s="58">
        <v>0</v>
      </c>
      <c r="L1132" s="58">
        <v>0</v>
      </c>
      <c r="M1132" s="58">
        <v>0</v>
      </c>
      <c r="N1132" s="58">
        <v>0</v>
      </c>
      <c r="O1132" s="58">
        <v>0</v>
      </c>
      <c r="P1132" s="58">
        <v>0</v>
      </c>
      <c r="Q1132" s="58"/>
      <c r="R1132" s="58"/>
      <c r="S1132" s="58"/>
      <c r="T1132" s="58"/>
      <c r="U1132" s="58"/>
      <c r="V1132" s="58"/>
      <c r="W1132" s="58"/>
      <c r="X1132" s="58"/>
      <c r="Y1132" s="58"/>
      <c r="Z1132" s="58"/>
      <c r="AA1132" s="86">
        <f t="shared" si="540"/>
        <v>1</v>
      </c>
      <c r="AB1132" s="68" t="str">
        <f>IF(ROUND(F1132-AA1132,2)=0,"ok","err")</f>
        <v>ok</v>
      </c>
      <c r="AC1132" s="126"/>
    </row>
    <row r="1133" spans="1:29" s="39" customFormat="1">
      <c r="A1133" s="39" t="s">
        <v>1372</v>
      </c>
      <c r="D1133" s="39" t="s">
        <v>1373</v>
      </c>
      <c r="F1133" s="59">
        <f t="shared" ref="F1133:Z1133" si="541">SUM(F732:F748)-SUM(F771:F799)</f>
        <v>-10117393</v>
      </c>
      <c r="G1133" s="59">
        <f t="shared" si="541"/>
        <v>-4788917.6094482653</v>
      </c>
      <c r="H1133" s="59">
        <f t="shared" si="541"/>
        <v>-3709075.6860540304</v>
      </c>
      <c r="I1133" s="59">
        <f t="shared" si="541"/>
        <v>-483336.88691412727</v>
      </c>
      <c r="J1133" s="59">
        <f t="shared" si="541"/>
        <v>-2999528.1455796268</v>
      </c>
      <c r="K1133" s="59">
        <f t="shared" si="541"/>
        <v>-523574.51627964247</v>
      </c>
      <c r="L1133" s="59">
        <f t="shared" si="541"/>
        <v>2656584.6860022708</v>
      </c>
      <c r="M1133" s="59">
        <f t="shared" si="541"/>
        <v>0</v>
      </c>
      <c r="N1133" s="59">
        <f t="shared" si="541"/>
        <v>0</v>
      </c>
      <c r="O1133" s="59">
        <f t="shared" si="541"/>
        <v>0</v>
      </c>
      <c r="P1133" s="59">
        <f t="shared" si="541"/>
        <v>-267423.33629888343</v>
      </c>
      <c r="Q1133" s="59">
        <f t="shared" si="541"/>
        <v>-113266.64427393116</v>
      </c>
      <c r="R1133" s="59">
        <f t="shared" si="541"/>
        <v>196539.44920102673</v>
      </c>
      <c r="S1133" s="59">
        <f t="shared" si="541"/>
        <v>-84013.669683830725</v>
      </c>
      <c r="T1133" s="59">
        <f t="shared" si="541"/>
        <v>-583.96157956544266</v>
      </c>
      <c r="U1133" s="59">
        <f t="shared" si="541"/>
        <v>-796.67909140155098</v>
      </c>
      <c r="V1133" s="59">
        <f t="shared" si="541"/>
        <v>0</v>
      </c>
      <c r="W1133" s="59">
        <f t="shared" si="541"/>
        <v>0</v>
      </c>
      <c r="X1133" s="59">
        <f t="shared" si="541"/>
        <v>0</v>
      </c>
      <c r="Y1133" s="59">
        <f t="shared" si="541"/>
        <v>0</v>
      </c>
      <c r="Z1133" s="59">
        <f t="shared" si="541"/>
        <v>0</v>
      </c>
      <c r="AA1133" s="57">
        <f t="shared" si="540"/>
        <v>-10117393.000000004</v>
      </c>
      <c r="AB1133" s="68" t="str">
        <f t="shared" ref="AB1133:AB1143" si="542">IF(ABS(F1133-AA1133)&lt;0.01,"ok","err")</f>
        <v>ok</v>
      </c>
    </row>
    <row r="1134" spans="1:29" s="39" customFormat="1">
      <c r="A1134" s="39" t="s">
        <v>1456</v>
      </c>
      <c r="D1134" s="39" t="s">
        <v>1368</v>
      </c>
      <c r="F1134" s="58">
        <v>-8285846</v>
      </c>
      <c r="G1134" s="58">
        <v>-3179957</v>
      </c>
      <c r="H1134" s="58">
        <v>-1016165</v>
      </c>
      <c r="I1134" s="58">
        <v>-182388</v>
      </c>
      <c r="J1134" s="58">
        <v>-1628781</v>
      </c>
      <c r="K1134" s="58">
        <f>-252911+-1038645</f>
        <v>-1291556</v>
      </c>
      <c r="L1134" s="58">
        <f>-285971+-80436</f>
        <v>-366407</v>
      </c>
      <c r="M1134" s="58">
        <v>0</v>
      </c>
      <c r="N1134" s="58">
        <v>0</v>
      </c>
      <c r="O1134" s="58">
        <v>0</v>
      </c>
      <c r="P1134" s="58">
        <v>-364710</v>
      </c>
      <c r="Q1134" s="58">
        <v>-152577</v>
      </c>
      <c r="R1134" s="58">
        <v>-40644</v>
      </c>
      <c r="S1134" s="58">
        <v>-58627</v>
      </c>
      <c r="T1134" s="58">
        <v>-2022</v>
      </c>
      <c r="U1134" s="58">
        <v>-2012</v>
      </c>
      <c r="V1134" s="58"/>
      <c r="W1134" s="58"/>
      <c r="X1134" s="58"/>
      <c r="Y1134" s="58"/>
      <c r="Z1134" s="58"/>
      <c r="AA1134" s="58">
        <f t="shared" si="540"/>
        <v>-8285846</v>
      </c>
      <c r="AB1134" s="68" t="str">
        <f t="shared" si="542"/>
        <v>ok</v>
      </c>
    </row>
    <row r="1135" spans="1:29" s="39" customFormat="1">
      <c r="A1135" s="39" t="s">
        <v>1366</v>
      </c>
      <c r="D1135" s="39" t="s">
        <v>1364</v>
      </c>
      <c r="F1135" s="58">
        <v>0</v>
      </c>
      <c r="G1135" s="58">
        <v>0</v>
      </c>
      <c r="H1135" s="58">
        <v>0</v>
      </c>
      <c r="I1135" s="58">
        <v>0</v>
      </c>
      <c r="J1135" s="58">
        <v>0</v>
      </c>
      <c r="K1135" s="58">
        <v>0</v>
      </c>
      <c r="L1135" s="58">
        <v>0</v>
      </c>
      <c r="M1135" s="58">
        <v>0</v>
      </c>
      <c r="N1135" s="58">
        <v>0</v>
      </c>
      <c r="O1135" s="58">
        <v>0</v>
      </c>
      <c r="P1135" s="58">
        <v>0</v>
      </c>
      <c r="Q1135" s="58">
        <v>0</v>
      </c>
      <c r="R1135" s="58">
        <v>0</v>
      </c>
      <c r="S1135" s="58">
        <v>0</v>
      </c>
      <c r="T1135" s="58">
        <v>0</v>
      </c>
      <c r="U1135" s="58">
        <v>0</v>
      </c>
      <c r="V1135" s="58"/>
      <c r="W1135" s="58"/>
      <c r="X1135" s="58"/>
      <c r="Y1135" s="58"/>
      <c r="Z1135" s="58"/>
      <c r="AA1135" s="58">
        <f t="shared" si="540"/>
        <v>0</v>
      </c>
      <c r="AB1135" s="68" t="str">
        <f t="shared" si="542"/>
        <v>ok</v>
      </c>
    </row>
    <row r="1136" spans="1:29" s="39" customFormat="1">
      <c r="A1136" s="39" t="s">
        <v>1367</v>
      </c>
      <c r="D1136" s="39" t="s">
        <v>1365</v>
      </c>
      <c r="F1136" s="58">
        <v>0</v>
      </c>
      <c r="G1136" s="58">
        <v>0</v>
      </c>
      <c r="H1136" s="58">
        <v>0</v>
      </c>
      <c r="I1136" s="58">
        <v>0</v>
      </c>
      <c r="J1136" s="58">
        <v>0</v>
      </c>
      <c r="K1136" s="58">
        <v>0</v>
      </c>
      <c r="L1136" s="58">
        <v>0</v>
      </c>
      <c r="M1136" s="58">
        <v>0</v>
      </c>
      <c r="N1136" s="58">
        <v>0</v>
      </c>
      <c r="O1136" s="58">
        <v>0</v>
      </c>
      <c r="P1136" s="58">
        <v>0</v>
      </c>
      <c r="Q1136" s="58">
        <v>0</v>
      </c>
      <c r="R1136" s="58">
        <v>0</v>
      </c>
      <c r="S1136" s="58">
        <v>0</v>
      </c>
      <c r="T1136" s="58">
        <v>0</v>
      </c>
      <c r="U1136" s="58">
        <v>0</v>
      </c>
      <c r="V1136" s="58"/>
      <c r="W1136" s="58"/>
      <c r="X1136" s="58"/>
      <c r="Y1136" s="58"/>
      <c r="Z1136" s="58"/>
      <c r="AA1136" s="58">
        <f t="shared" si="540"/>
        <v>0</v>
      </c>
      <c r="AB1136" s="68" t="str">
        <f t="shared" si="542"/>
        <v>ok</v>
      </c>
    </row>
    <row r="1137" spans="1:29" s="39" customFormat="1">
      <c r="A1137" s="39" t="s">
        <v>990</v>
      </c>
      <c r="D1137" s="39" t="s">
        <v>991</v>
      </c>
      <c r="F1137" s="58">
        <v>0</v>
      </c>
      <c r="G1137" s="58">
        <v>0</v>
      </c>
      <c r="H1137" s="58">
        <v>0</v>
      </c>
      <c r="I1137" s="58">
        <v>0</v>
      </c>
      <c r="J1137" s="58">
        <v>0</v>
      </c>
      <c r="K1137" s="58">
        <v>0</v>
      </c>
      <c r="L1137" s="58">
        <v>0</v>
      </c>
      <c r="M1137" s="58">
        <v>0</v>
      </c>
      <c r="N1137" s="58">
        <v>0</v>
      </c>
      <c r="O1137" s="58">
        <v>0</v>
      </c>
      <c r="P1137" s="58">
        <v>0</v>
      </c>
      <c r="Q1137" s="58">
        <v>0</v>
      </c>
      <c r="R1137" s="58">
        <v>0</v>
      </c>
      <c r="S1137" s="58">
        <v>0</v>
      </c>
      <c r="T1137" s="58">
        <v>0</v>
      </c>
      <c r="U1137" s="58">
        <v>0</v>
      </c>
      <c r="V1137" s="58">
        <v>0</v>
      </c>
      <c r="W1137" s="58">
        <v>0</v>
      </c>
      <c r="X1137" s="58"/>
      <c r="Y1137" s="58"/>
      <c r="Z1137" s="58"/>
      <c r="AA1137" s="58">
        <f t="shared" ref="AA1137:AA1143" si="543">SUM(G1137:Z1137)</f>
        <v>0</v>
      </c>
      <c r="AB1137" s="68" t="str">
        <f t="shared" si="542"/>
        <v>ok</v>
      </c>
    </row>
    <row r="1138" spans="1:29" s="39" customFormat="1">
      <c r="A1138" s="39" t="s">
        <v>1023</v>
      </c>
      <c r="D1138" s="39" t="s">
        <v>1022</v>
      </c>
      <c r="F1138" s="58">
        <v>-62</v>
      </c>
      <c r="G1138" s="58">
        <v>-3</v>
      </c>
      <c r="H1138" s="58">
        <v>-32</v>
      </c>
      <c r="I1138" s="58">
        <v>297</v>
      </c>
      <c r="J1138" s="58">
        <v>-312</v>
      </c>
      <c r="K1138" s="58">
        <v>0</v>
      </c>
      <c r="L1138" s="58">
        <v>0</v>
      </c>
      <c r="M1138" s="58">
        <v>0</v>
      </c>
      <c r="N1138" s="58">
        <v>0</v>
      </c>
      <c r="O1138" s="58">
        <v>0</v>
      </c>
      <c r="P1138" s="58">
        <v>0</v>
      </c>
      <c r="Q1138" s="58">
        <v>0</v>
      </c>
      <c r="R1138" s="58">
        <v>0</v>
      </c>
      <c r="S1138" s="58">
        <v>-12</v>
      </c>
      <c r="T1138" s="58">
        <v>2</v>
      </c>
      <c r="U1138" s="58">
        <v>-2</v>
      </c>
      <c r="V1138" s="58">
        <v>0</v>
      </c>
      <c r="W1138" s="58">
        <v>0</v>
      </c>
      <c r="X1138" s="58"/>
      <c r="Y1138" s="58"/>
      <c r="Z1138" s="58"/>
      <c r="AA1138" s="58">
        <f t="shared" si="543"/>
        <v>-62</v>
      </c>
      <c r="AB1138" s="68" t="str">
        <f t="shared" si="542"/>
        <v>ok</v>
      </c>
    </row>
    <row r="1139" spans="1:29" s="39" customFormat="1">
      <c r="A1139" s="39" t="s">
        <v>664</v>
      </c>
      <c r="D1139" s="39" t="s">
        <v>727</v>
      </c>
      <c r="F1139" s="58">
        <v>5979130</v>
      </c>
      <c r="G1139" s="58">
        <v>2388225</v>
      </c>
      <c r="H1139" s="58">
        <v>900977</v>
      </c>
      <c r="I1139" s="58">
        <v>119565</v>
      </c>
      <c r="J1139" s="58">
        <v>1179789</v>
      </c>
      <c r="K1139" s="58">
        <f>158312+577097</f>
        <v>735409</v>
      </c>
      <c r="L1139" s="58">
        <f>184267+55676</f>
        <v>239943</v>
      </c>
      <c r="M1139" s="58">
        <v>0</v>
      </c>
      <c r="N1139" s="58">
        <v>0</v>
      </c>
      <c r="O1139" s="58">
        <v>0</v>
      </c>
      <c r="P1139" s="58">
        <v>196069</v>
      </c>
      <c r="Q1139" s="58">
        <v>86285</v>
      </c>
      <c r="R1139" s="58">
        <v>18832</v>
      </c>
      <c r="S1139" s="58">
        <v>111110</v>
      </c>
      <c r="T1139" s="58">
        <v>1293</v>
      </c>
      <c r="U1139" s="58">
        <v>1633</v>
      </c>
      <c r="V1139" s="58">
        <v>0</v>
      </c>
      <c r="W1139" s="58">
        <v>0</v>
      </c>
      <c r="X1139" s="58"/>
      <c r="Y1139" s="58"/>
      <c r="Z1139" s="58"/>
      <c r="AA1139" s="58">
        <f t="shared" si="543"/>
        <v>5979130</v>
      </c>
      <c r="AB1139" s="68" t="str">
        <f t="shared" si="542"/>
        <v>ok</v>
      </c>
    </row>
    <row r="1140" spans="1:29" s="39" customFormat="1">
      <c r="A1140" s="39" t="s">
        <v>1370</v>
      </c>
      <c r="D1140" s="39" t="s">
        <v>1369</v>
      </c>
      <c r="F1140" s="58">
        <v>1273058.5839998741</v>
      </c>
      <c r="G1140" s="58">
        <v>669640.65999988082</v>
      </c>
      <c r="H1140" s="58">
        <v>425656.19399997772</v>
      </c>
      <c r="I1140" s="58">
        <v>43031</v>
      </c>
      <c r="J1140" s="58">
        <v>389969</v>
      </c>
      <c r="K1140" s="58">
        <f>-117738+58998</f>
        <v>-58740</v>
      </c>
      <c r="L1140" s="58">
        <f>-73651+-16667</f>
        <v>-90318</v>
      </c>
      <c r="M1140" s="58">
        <v>0</v>
      </c>
      <c r="N1140" s="58">
        <v>0</v>
      </c>
      <c r="O1140" s="58">
        <v>0</v>
      </c>
      <c r="P1140" s="58">
        <v>-139671</v>
      </c>
      <c r="Q1140" s="58">
        <v>7719</v>
      </c>
      <c r="R1140" s="58">
        <v>2173</v>
      </c>
      <c r="S1140" s="58">
        <v>22097.730000015647</v>
      </c>
      <c r="T1140" s="58">
        <v>824</v>
      </c>
      <c r="U1140" s="58">
        <v>677</v>
      </c>
      <c r="V1140" s="58"/>
      <c r="W1140" s="58"/>
      <c r="X1140" s="58"/>
      <c r="Y1140" s="58"/>
      <c r="Z1140" s="58"/>
      <c r="AA1140" s="58">
        <f>SUM(G1140:Z1140)</f>
        <v>1273058.5839998741</v>
      </c>
      <c r="AB1140" s="68" t="str">
        <f t="shared" si="542"/>
        <v>ok</v>
      </c>
    </row>
    <row r="1141" spans="1:29" s="39" customFormat="1">
      <c r="A1141" s="39" t="s">
        <v>665</v>
      </c>
      <c r="D1141" s="85" t="s">
        <v>945</v>
      </c>
      <c r="F1141" s="58">
        <v>14423888</v>
      </c>
      <c r="G1141" s="58">
        <v>9998518</v>
      </c>
      <c r="H1141" s="58">
        <v>2376817</v>
      </c>
      <c r="I1141" s="58">
        <v>134492</v>
      </c>
      <c r="J1141" s="58">
        <v>1368757</v>
      </c>
      <c r="K1141" s="58">
        <v>254806</v>
      </c>
      <c r="L1141" s="58">
        <v>290498</v>
      </c>
      <c r="M1141" s="58">
        <v>0</v>
      </c>
      <c r="N1141" s="58">
        <v>0</v>
      </c>
      <c r="O1141" s="58">
        <v>0</v>
      </c>
      <c r="P1141" s="58">
        <v>0</v>
      </c>
      <c r="Q1141" s="58">
        <v>0</v>
      </c>
      <c r="R1141" s="58">
        <v>0</v>
      </c>
      <c r="S1141" s="58">
        <v>0</v>
      </c>
      <c r="T1141" s="58">
        <v>0</v>
      </c>
      <c r="U1141" s="58">
        <v>0</v>
      </c>
      <c r="V1141" s="58">
        <v>0</v>
      </c>
      <c r="W1141" s="58">
        <v>0</v>
      </c>
      <c r="X1141" s="58"/>
      <c r="Y1141" s="58"/>
      <c r="Z1141" s="58"/>
      <c r="AA1141" s="58">
        <f t="shared" si="543"/>
        <v>14423888</v>
      </c>
      <c r="AB1141" s="68" t="str">
        <f t="shared" si="542"/>
        <v>ok</v>
      </c>
      <c r="AC1141" s="89"/>
    </row>
    <row r="1142" spans="1:29" s="39" customFormat="1">
      <c r="A1142" s="39" t="s">
        <v>1281</v>
      </c>
      <c r="D1142" s="127" t="s">
        <v>1279</v>
      </c>
      <c r="F1142" s="58">
        <v>-101432</v>
      </c>
      <c r="G1142" s="58">
        <f>'Billing Det'!H8</f>
        <v>-87579</v>
      </c>
      <c r="H1142" s="58">
        <f>'Billing Det'!H10</f>
        <v>-2148925</v>
      </c>
      <c r="I1142" s="58">
        <f>'Billing Det'!H12</f>
        <v>-301015</v>
      </c>
      <c r="J1142" s="58">
        <f>'Billing Det'!H14</f>
        <v>-1256382</v>
      </c>
      <c r="K1142" s="58">
        <f>'Billing Det'!H16+'Billing Det'!H20</f>
        <v>453445</v>
      </c>
      <c r="L1142" s="58">
        <f>'Billing Det'!H18+'Billing Det'!H22</f>
        <v>3016796</v>
      </c>
      <c r="M1142" s="58">
        <v>0</v>
      </c>
      <c r="N1142" s="58">
        <v>0</v>
      </c>
      <c r="O1142" s="58">
        <v>0</v>
      </c>
      <c r="P1142" s="58">
        <f>'Billing Det'!H26</f>
        <v>0</v>
      </c>
      <c r="Q1142" s="58">
        <f>'Billing Det'!H28</f>
        <v>0</v>
      </c>
      <c r="R1142" s="58">
        <f>'Billing Det'!H30</f>
        <v>221863</v>
      </c>
      <c r="S1142" s="58">
        <f>'Billing Det'!H32</f>
        <v>0</v>
      </c>
      <c r="T1142" s="58">
        <f>'Billing Det'!H34</f>
        <v>365</v>
      </c>
      <c r="U1142" s="58">
        <v>0</v>
      </c>
      <c r="V1142" s="58">
        <v>0</v>
      </c>
      <c r="W1142" s="58">
        <v>0</v>
      </c>
      <c r="X1142" s="58"/>
      <c r="Y1142" s="58"/>
      <c r="Z1142" s="58"/>
      <c r="AA1142" s="58">
        <f t="shared" si="543"/>
        <v>-101432</v>
      </c>
      <c r="AB1142" s="68" t="str">
        <f t="shared" si="542"/>
        <v>ok</v>
      </c>
      <c r="AC1142" s="89"/>
    </row>
    <row r="1143" spans="1:29" s="39" customFormat="1">
      <c r="A1143" s="39" t="s">
        <v>1283</v>
      </c>
      <c r="D1143" s="127" t="s">
        <v>943</v>
      </c>
      <c r="F1143" s="58">
        <f t="shared" ref="F1143:Z1143" si="544">F1075</f>
        <v>488377</v>
      </c>
      <c r="G1143" s="58">
        <f t="shared" si="544"/>
        <v>352585</v>
      </c>
      <c r="H1143" s="58">
        <f t="shared" si="544"/>
        <v>44326</v>
      </c>
      <c r="I1143" s="58">
        <f t="shared" si="544"/>
        <v>85</v>
      </c>
      <c r="J1143" s="58">
        <f t="shared" si="544"/>
        <v>2899</v>
      </c>
      <c r="K1143" s="58">
        <f t="shared" si="544"/>
        <v>94</v>
      </c>
      <c r="L1143" s="58">
        <f t="shared" si="544"/>
        <v>157</v>
      </c>
      <c r="M1143" s="58">
        <f t="shared" si="544"/>
        <v>0</v>
      </c>
      <c r="N1143" s="58">
        <f t="shared" si="544"/>
        <v>0</v>
      </c>
      <c r="O1143" s="58">
        <f t="shared" si="544"/>
        <v>0</v>
      </c>
      <c r="P1143" s="58">
        <f t="shared" si="544"/>
        <v>11</v>
      </c>
      <c r="Q1143" s="58">
        <f t="shared" si="544"/>
        <v>1</v>
      </c>
      <c r="R1143" s="58">
        <f t="shared" si="544"/>
        <v>2</v>
      </c>
      <c r="S1143" s="58">
        <f t="shared" si="544"/>
        <v>87026</v>
      </c>
      <c r="T1143" s="58">
        <f t="shared" si="544"/>
        <v>173</v>
      </c>
      <c r="U1143" s="58">
        <f t="shared" si="544"/>
        <v>1018</v>
      </c>
      <c r="V1143" s="58">
        <f t="shared" si="544"/>
        <v>0</v>
      </c>
      <c r="W1143" s="58">
        <f t="shared" si="544"/>
        <v>0</v>
      </c>
      <c r="X1143" s="58">
        <f t="shared" si="544"/>
        <v>0</v>
      </c>
      <c r="Y1143" s="58">
        <f t="shared" si="544"/>
        <v>0</v>
      </c>
      <c r="Z1143" s="58">
        <f t="shared" si="544"/>
        <v>0</v>
      </c>
      <c r="AA1143" s="58">
        <f t="shared" si="543"/>
        <v>488377</v>
      </c>
      <c r="AB1143" s="68" t="str">
        <f t="shared" si="542"/>
        <v>ok</v>
      </c>
      <c r="AC1143" s="89"/>
    </row>
    <row r="1144" spans="1:29" s="39" customFormat="1">
      <c r="F1144" s="84"/>
      <c r="G1144" s="62"/>
      <c r="H1144" s="62"/>
      <c r="I1144" s="62"/>
      <c r="J1144" s="62"/>
      <c r="K1144" s="62"/>
      <c r="L1144" s="62"/>
      <c r="M1144" s="62"/>
      <c r="N1144" s="62"/>
      <c r="O1144" s="62"/>
      <c r="P1144" s="62"/>
      <c r="Q1144" s="62"/>
      <c r="R1144" s="62"/>
      <c r="S1144" s="62"/>
      <c r="T1144" s="62"/>
      <c r="U1144" s="62"/>
      <c r="V1144" s="62"/>
      <c r="W1144" s="62"/>
      <c r="X1144" s="62"/>
      <c r="Y1144" s="62"/>
      <c r="Z1144" s="62"/>
      <c r="AA1144" s="62"/>
      <c r="AB1144" s="68"/>
    </row>
    <row r="1145" spans="1:29" s="39" customFormat="1">
      <c r="A1145" s="39" t="s">
        <v>1486</v>
      </c>
      <c r="D1145" s="39" t="s">
        <v>1485</v>
      </c>
      <c r="F1145" s="58">
        <v>9615648</v>
      </c>
      <c r="G1145" s="58">
        <v>3795641</v>
      </c>
      <c r="H1145" s="58">
        <v>1606150</v>
      </c>
      <c r="I1145" s="58">
        <v>212578</v>
      </c>
      <c r="J1145" s="58">
        <v>1935721</v>
      </c>
      <c r="K1145" s="58">
        <f>234395+838413</f>
        <v>1072808</v>
      </c>
      <c r="L1145" s="58">
        <f>295173+92065</f>
        <v>387238</v>
      </c>
      <c r="M1145" s="58">
        <v>0</v>
      </c>
      <c r="N1145" s="58">
        <v>0</v>
      </c>
      <c r="O1145" s="58"/>
      <c r="P1145" s="58">
        <v>274020</v>
      </c>
      <c r="Q1145" s="58">
        <v>108958</v>
      </c>
      <c r="R1145" s="58">
        <v>25546</v>
      </c>
      <c r="S1145" s="58">
        <v>191925</v>
      </c>
      <c r="T1145" s="58">
        <v>2756</v>
      </c>
      <c r="U1145" s="58">
        <v>2307</v>
      </c>
      <c r="V1145" s="58"/>
      <c r="W1145" s="58"/>
      <c r="X1145" s="58"/>
      <c r="Y1145" s="58"/>
      <c r="Z1145" s="58"/>
      <c r="AA1145" s="58">
        <f>SUM(G1145:Z1145)</f>
        <v>9615648</v>
      </c>
      <c r="AB1145" s="68" t="str">
        <f>IF(ABS(F1145-AA1145)&lt;0.01,"ok","err")</f>
        <v>ok</v>
      </c>
    </row>
    <row r="1146" spans="1:29" s="39" customFormat="1">
      <c r="F1146" s="84"/>
      <c r="G1146" s="62"/>
      <c r="H1146" s="62"/>
      <c r="I1146" s="62"/>
      <c r="J1146" s="62"/>
      <c r="K1146" s="62"/>
      <c r="L1146" s="62"/>
      <c r="M1146" s="62"/>
      <c r="N1146" s="62"/>
      <c r="O1146" s="62"/>
      <c r="P1146" s="62"/>
      <c r="Q1146" s="62"/>
      <c r="R1146" s="62"/>
      <c r="S1146" s="62"/>
      <c r="T1146" s="62"/>
      <c r="U1146" s="62"/>
      <c r="V1146" s="62"/>
      <c r="W1146" s="62"/>
      <c r="X1146" s="62"/>
      <c r="Y1146" s="62"/>
      <c r="Z1146" s="62"/>
      <c r="AA1146" s="62"/>
      <c r="AB1146" s="68"/>
    </row>
    <row r="1147" spans="1:29" s="39" customFormat="1">
      <c r="A1147" s="44" t="s">
        <v>911</v>
      </c>
      <c r="F1147" s="84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  <c r="U1147" s="62"/>
      <c r="V1147" s="62"/>
      <c r="W1147" s="62"/>
      <c r="X1147" s="62"/>
      <c r="Y1147" s="62"/>
      <c r="Z1147" s="62"/>
      <c r="AA1147" s="62"/>
      <c r="AB1147" s="68"/>
    </row>
    <row r="1148" spans="1:29" s="39" customFormat="1">
      <c r="G1148" s="62"/>
      <c r="H1148" s="62"/>
      <c r="I1148" s="62"/>
      <c r="J1148" s="62"/>
      <c r="K1148" s="62"/>
      <c r="L1148" s="62"/>
      <c r="M1148" s="62"/>
      <c r="N1148" s="62"/>
      <c r="O1148" s="62"/>
      <c r="P1148" s="62"/>
      <c r="Q1148" s="62"/>
      <c r="R1148" s="62"/>
      <c r="S1148" s="62"/>
      <c r="T1148" s="62"/>
      <c r="U1148" s="62"/>
      <c r="V1148" s="62"/>
      <c r="W1148" s="62"/>
      <c r="X1148" s="62"/>
      <c r="Y1148" s="62"/>
      <c r="Z1148" s="62"/>
      <c r="AA1148" s="62"/>
      <c r="AB1148" s="68"/>
    </row>
    <row r="1149" spans="1:29" s="39" customFormat="1">
      <c r="A1149" s="39" t="s">
        <v>913</v>
      </c>
      <c r="E1149" s="39" t="s">
        <v>1209</v>
      </c>
      <c r="F1149" s="57">
        <f>F672</f>
        <v>46874069.530000001</v>
      </c>
      <c r="G1149" s="57">
        <f t="shared" ref="G1149:Z1149" si="545">IF(VLOOKUP($E1149,$D$6:$AN$1197,3,)=0,0,(VLOOKUP($E1149,$D$6:$AN$1197,G$2,)/VLOOKUP($E1149,$D$6:$AN$1197,3,))*$F1149)</f>
        <v>19511463.115951471</v>
      </c>
      <c r="H1149" s="57">
        <f t="shared" si="545"/>
        <v>6366332.4569478501</v>
      </c>
      <c r="I1149" s="57">
        <f t="shared" si="545"/>
        <v>798913.45243748091</v>
      </c>
      <c r="J1149" s="57">
        <f t="shared" si="545"/>
        <v>8826287.84338044</v>
      </c>
      <c r="K1149" s="57">
        <f t="shared" si="545"/>
        <v>6144485.2588824574</v>
      </c>
      <c r="L1149" s="57">
        <f t="shared" si="545"/>
        <v>2216655.457826884</v>
      </c>
      <c r="M1149" s="57">
        <f t="shared" si="545"/>
        <v>0</v>
      </c>
      <c r="N1149" s="57">
        <f t="shared" si="545"/>
        <v>0</v>
      </c>
      <c r="O1149" s="57">
        <f t="shared" si="545"/>
        <v>0</v>
      </c>
      <c r="P1149" s="57">
        <f t="shared" si="545"/>
        <v>1788388.7409017149</v>
      </c>
      <c r="Q1149" s="57">
        <f t="shared" si="545"/>
        <v>857657.21431456099</v>
      </c>
      <c r="R1149" s="57">
        <f t="shared" si="545"/>
        <v>190066.51476498728</v>
      </c>
      <c r="S1149" s="57">
        <f t="shared" si="545"/>
        <v>157939.71030253349</v>
      </c>
      <c r="T1149" s="57">
        <f t="shared" si="545"/>
        <v>5923.1292108746047</v>
      </c>
      <c r="U1149" s="57">
        <f t="shared" si="545"/>
        <v>9956.6350787520732</v>
      </c>
      <c r="V1149" s="57">
        <f t="shared" si="545"/>
        <v>0</v>
      </c>
      <c r="W1149" s="57">
        <f t="shared" si="545"/>
        <v>0</v>
      </c>
      <c r="X1149" s="57">
        <f t="shared" si="545"/>
        <v>0</v>
      </c>
      <c r="Y1149" s="57">
        <f t="shared" si="545"/>
        <v>0</v>
      </c>
      <c r="Z1149" s="57">
        <f t="shared" si="545"/>
        <v>0</v>
      </c>
      <c r="AA1149" s="59">
        <f>SUM(G1149:Z1149)</f>
        <v>46874069.529999994</v>
      </c>
      <c r="AB1149" s="68" t="str">
        <f>IF(ABS(F1149-AA1149)&lt;0.01,"ok","err")</f>
        <v>ok</v>
      </c>
    </row>
    <row r="1150" spans="1:29" s="39" customFormat="1">
      <c r="G1150" s="62"/>
      <c r="H1150" s="62"/>
      <c r="I1150" s="62"/>
      <c r="J1150" s="62"/>
      <c r="K1150" s="62"/>
      <c r="L1150" s="62"/>
      <c r="M1150" s="62"/>
      <c r="N1150" s="62"/>
      <c r="O1150" s="62"/>
      <c r="P1150" s="62"/>
      <c r="Q1150" s="62"/>
      <c r="R1150" s="62"/>
      <c r="S1150" s="62"/>
      <c r="T1150" s="62"/>
      <c r="U1150" s="62"/>
      <c r="V1150" s="62"/>
      <c r="W1150" s="62"/>
      <c r="X1150" s="62"/>
      <c r="Y1150" s="62"/>
      <c r="Z1150" s="62"/>
      <c r="AA1150" s="62"/>
      <c r="AB1150" s="68"/>
    </row>
    <row r="1151" spans="1:29" s="39" customFormat="1">
      <c r="A1151" s="39" t="s">
        <v>920</v>
      </c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  <c r="U1151" s="62"/>
      <c r="V1151" s="62"/>
      <c r="W1151" s="62"/>
      <c r="X1151" s="62"/>
      <c r="Y1151" s="62"/>
      <c r="Z1151" s="62"/>
      <c r="AA1151" s="62"/>
      <c r="AB1151" s="68"/>
    </row>
    <row r="1152" spans="1:29" s="39" customFormat="1">
      <c r="A1152" s="39" t="s">
        <v>915</v>
      </c>
      <c r="E1152" s="39" t="s">
        <v>1034</v>
      </c>
      <c r="F1152" s="57">
        <f>-27791363.13</f>
        <v>-27791363.129999999</v>
      </c>
      <c r="G1152" s="57">
        <f t="shared" ref="G1152:P1153" si="546">IF(VLOOKUP($E1152,$D$6:$AN$1197,3,)=0,0,(VLOOKUP($E1152,$D$6:$AN$1197,G$2,)/VLOOKUP($E1152,$D$6:$AN$1197,3,))*$F1152)</f>
        <v>-10192312.771646464</v>
      </c>
      <c r="H1152" s="57">
        <f t="shared" si="546"/>
        <v>-3403287.0339455386</v>
      </c>
      <c r="I1152" s="57">
        <f t="shared" si="546"/>
        <v>-555117.70499054319</v>
      </c>
      <c r="J1152" s="57">
        <f t="shared" si="546"/>
        <v>-5594913.1131787775</v>
      </c>
      <c r="K1152" s="57">
        <f t="shared" si="546"/>
        <v>-4481117.3205351289</v>
      </c>
      <c r="L1152" s="57">
        <f t="shared" si="546"/>
        <v>-1432858.8550400026</v>
      </c>
      <c r="M1152" s="57">
        <f t="shared" si="546"/>
        <v>0</v>
      </c>
      <c r="N1152" s="57">
        <f t="shared" si="546"/>
        <v>0</v>
      </c>
      <c r="O1152" s="57">
        <f t="shared" si="546"/>
        <v>0</v>
      </c>
      <c r="P1152" s="57">
        <f t="shared" si="546"/>
        <v>-1216489.3677511192</v>
      </c>
      <c r="Q1152" s="57">
        <f t="shared" ref="Q1152:Z1153" si="547">IF(VLOOKUP($E1152,$D$6:$AN$1197,3,)=0,0,(VLOOKUP($E1152,$D$6:$AN$1197,Q$2,)/VLOOKUP($E1152,$D$6:$AN$1197,3,))*$F1152)</f>
        <v>-510659.36301859684</v>
      </c>
      <c r="R1152" s="57">
        <f t="shared" si="547"/>
        <v>-137234.21440952798</v>
      </c>
      <c r="S1152" s="57">
        <f t="shared" si="547"/>
        <v>-251040.29678265599</v>
      </c>
      <c r="T1152" s="57">
        <f t="shared" si="547"/>
        <v>-8897.769195580755</v>
      </c>
      <c r="U1152" s="57">
        <f t="shared" si="547"/>
        <v>-7435.319506067528</v>
      </c>
      <c r="V1152" s="57">
        <f t="shared" si="547"/>
        <v>0</v>
      </c>
      <c r="W1152" s="57">
        <f t="shared" si="547"/>
        <v>0</v>
      </c>
      <c r="X1152" s="58">
        <f t="shared" si="547"/>
        <v>0</v>
      </c>
      <c r="Y1152" s="58">
        <f t="shared" si="547"/>
        <v>0</v>
      </c>
      <c r="Z1152" s="58">
        <f t="shared" si="547"/>
        <v>0</v>
      </c>
      <c r="AA1152" s="59">
        <f>SUM(G1152:Z1152)</f>
        <v>-27791363.129999999</v>
      </c>
      <c r="AB1152" s="68" t="str">
        <f>IF(ABS(F1152-AA1152)&lt;0.01,"ok","err")</f>
        <v>ok</v>
      </c>
    </row>
    <row r="1153" spans="1:28" s="39" customFormat="1">
      <c r="A1153" s="39" t="s">
        <v>916</v>
      </c>
      <c r="E1153" s="39" t="s">
        <v>1209</v>
      </c>
      <c r="F1153" s="58">
        <f>-F1152</f>
        <v>27791363.129999999</v>
      </c>
      <c r="G1153" s="58">
        <f t="shared" si="546"/>
        <v>11568232.971663823</v>
      </c>
      <c r="H1153" s="58">
        <f t="shared" si="546"/>
        <v>3774561.4769826191</v>
      </c>
      <c r="I1153" s="58">
        <f t="shared" si="546"/>
        <v>473671.13819554076</v>
      </c>
      <c r="J1153" s="58">
        <f t="shared" si="546"/>
        <v>5233054.7145751603</v>
      </c>
      <c r="K1153" s="58">
        <f t="shared" si="546"/>
        <v>3643029.5638667247</v>
      </c>
      <c r="L1153" s="58">
        <f t="shared" si="546"/>
        <v>1314242.1253425856</v>
      </c>
      <c r="M1153" s="58">
        <f t="shared" si="546"/>
        <v>0</v>
      </c>
      <c r="N1153" s="58">
        <f t="shared" si="546"/>
        <v>0</v>
      </c>
      <c r="O1153" s="58">
        <f t="shared" si="546"/>
        <v>0</v>
      </c>
      <c r="P1153" s="58">
        <f t="shared" si="546"/>
        <v>1060325.2803598221</v>
      </c>
      <c r="Q1153" s="58">
        <f t="shared" si="547"/>
        <v>508499.97286506556</v>
      </c>
      <c r="R1153" s="58">
        <f t="shared" si="547"/>
        <v>112689.33087421795</v>
      </c>
      <c r="S1153" s="58">
        <f t="shared" si="547"/>
        <v>93641.535409155462</v>
      </c>
      <c r="T1153" s="58">
        <f t="shared" si="547"/>
        <v>3511.7888507626335</v>
      </c>
      <c r="U1153" s="58">
        <f t="shared" si="547"/>
        <v>5903.2310145249512</v>
      </c>
      <c r="V1153" s="58">
        <f t="shared" si="547"/>
        <v>0</v>
      </c>
      <c r="W1153" s="58">
        <f t="shared" si="547"/>
        <v>0</v>
      </c>
      <c r="X1153" s="58">
        <f t="shared" si="547"/>
        <v>0</v>
      </c>
      <c r="Y1153" s="58">
        <f t="shared" si="547"/>
        <v>0</v>
      </c>
      <c r="Z1153" s="58">
        <f t="shared" si="547"/>
        <v>0</v>
      </c>
      <c r="AA1153" s="58">
        <f>SUM(G1153:Z1153)</f>
        <v>27791363.130000003</v>
      </c>
      <c r="AB1153" s="68" t="str">
        <f>IF(ABS(F1153-AA1153)&lt;0.01,"ok","err")</f>
        <v>ok</v>
      </c>
    </row>
    <row r="1154" spans="1:28" s="39" customFormat="1">
      <c r="A1154" s="39" t="s">
        <v>917</v>
      </c>
      <c r="F1154" s="58">
        <f>F1152+F1153</f>
        <v>0</v>
      </c>
      <c r="G1154" s="58">
        <f t="shared" ref="G1154:W1154" si="548">G1152+G1153</f>
        <v>1375920.2000173591</v>
      </c>
      <c r="H1154" s="58">
        <f t="shared" si="548"/>
        <v>371274.44303708058</v>
      </c>
      <c r="I1154" s="58">
        <f t="shared" si="548"/>
        <v>-81446.566795002436</v>
      </c>
      <c r="J1154" s="58">
        <f t="shared" si="548"/>
        <v>-361858.39860361721</v>
      </c>
      <c r="K1154" s="58">
        <f t="shared" si="548"/>
        <v>-838087.75666840421</v>
      </c>
      <c r="L1154" s="58">
        <f t="shared" si="548"/>
        <v>-118616.729697417</v>
      </c>
      <c r="M1154" s="58">
        <f t="shared" si="548"/>
        <v>0</v>
      </c>
      <c r="N1154" s="58">
        <f t="shared" si="548"/>
        <v>0</v>
      </c>
      <c r="O1154" s="58">
        <f>O1152+O1153</f>
        <v>0</v>
      </c>
      <c r="P1154" s="58">
        <f t="shared" si="548"/>
        <v>-156164.0873912971</v>
      </c>
      <c r="Q1154" s="58">
        <f t="shared" si="548"/>
        <v>-2159.3901535312762</v>
      </c>
      <c r="R1154" s="58">
        <f t="shared" si="548"/>
        <v>-24544.883535310029</v>
      </c>
      <c r="S1154" s="58">
        <f t="shared" si="548"/>
        <v>-157398.76137350051</v>
      </c>
      <c r="T1154" s="58">
        <f t="shared" si="548"/>
        <v>-5385.980344818121</v>
      </c>
      <c r="U1154" s="58">
        <f t="shared" si="548"/>
        <v>-1532.0884915425768</v>
      </c>
      <c r="V1154" s="58">
        <f t="shared" si="548"/>
        <v>0</v>
      </c>
      <c r="W1154" s="58">
        <f t="shared" si="548"/>
        <v>0</v>
      </c>
      <c r="X1154" s="58">
        <f>X1152+X1153</f>
        <v>0</v>
      </c>
      <c r="Y1154" s="58">
        <f>Y1152+Y1153</f>
        <v>0</v>
      </c>
      <c r="Z1154" s="58">
        <f>Z1152+Z1153</f>
        <v>0</v>
      </c>
      <c r="AA1154" s="58"/>
      <c r="AB1154" s="68"/>
    </row>
    <row r="1155" spans="1:28" s="39" customFormat="1">
      <c r="F1155" s="84"/>
      <c r="G1155" s="62"/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  <c r="U1155" s="62"/>
      <c r="V1155" s="62"/>
      <c r="W1155" s="62"/>
      <c r="X1155" s="62"/>
      <c r="Y1155" s="62"/>
      <c r="Z1155" s="62"/>
      <c r="AA1155" s="62"/>
      <c r="AB1155" s="68"/>
    </row>
    <row r="1156" spans="1:28" s="39" customFormat="1">
      <c r="A1156" s="39" t="s">
        <v>918</v>
      </c>
      <c r="D1156" s="39" t="s">
        <v>919</v>
      </c>
      <c r="F1156" s="57">
        <f>F1149-F1154</f>
        <v>46874069.530000001</v>
      </c>
      <c r="G1156" s="57">
        <f t="shared" ref="G1156:Z1156" si="549">G1149-G1154</f>
        <v>18135542.915934112</v>
      </c>
      <c r="H1156" s="57">
        <f t="shared" si="549"/>
        <v>5995058.0139107695</v>
      </c>
      <c r="I1156" s="57">
        <f t="shared" si="549"/>
        <v>880360.01923248335</v>
      </c>
      <c r="J1156" s="57">
        <f t="shared" si="549"/>
        <v>9188146.2419840582</v>
      </c>
      <c r="K1156" s="57">
        <f t="shared" si="549"/>
        <v>6982573.0155508611</v>
      </c>
      <c r="L1156" s="57">
        <f t="shared" si="549"/>
        <v>2335272.187524301</v>
      </c>
      <c r="M1156" s="57">
        <f t="shared" si="549"/>
        <v>0</v>
      </c>
      <c r="N1156" s="57">
        <f t="shared" si="549"/>
        <v>0</v>
      </c>
      <c r="O1156" s="57">
        <f>O1149-O1154</f>
        <v>0</v>
      </c>
      <c r="P1156" s="57">
        <f t="shared" si="549"/>
        <v>1944552.828293012</v>
      </c>
      <c r="Q1156" s="57">
        <f t="shared" si="549"/>
        <v>859816.60446809232</v>
      </c>
      <c r="R1156" s="57">
        <f t="shared" si="549"/>
        <v>214611.39830029733</v>
      </c>
      <c r="S1156" s="57">
        <f t="shared" si="549"/>
        <v>315338.47167603404</v>
      </c>
      <c r="T1156" s="57">
        <f t="shared" si="549"/>
        <v>11309.109555692725</v>
      </c>
      <c r="U1156" s="57">
        <f t="shared" si="549"/>
        <v>11488.723570294649</v>
      </c>
      <c r="V1156" s="57">
        <f t="shared" si="549"/>
        <v>0</v>
      </c>
      <c r="W1156" s="57">
        <f t="shared" si="549"/>
        <v>0</v>
      </c>
      <c r="X1156" s="58">
        <f t="shared" si="549"/>
        <v>0</v>
      </c>
      <c r="Y1156" s="58">
        <f t="shared" si="549"/>
        <v>0</v>
      </c>
      <c r="Z1156" s="58">
        <f t="shared" si="549"/>
        <v>0</v>
      </c>
      <c r="AA1156" s="59">
        <f>SUM(G1156:Z1156)</f>
        <v>46874069.530000009</v>
      </c>
      <c r="AB1156" s="68" t="str">
        <f>IF(ABS(F1156-AA1156)&lt;0.01,"ok","err")</f>
        <v>ok</v>
      </c>
    </row>
    <row r="1157" spans="1:28" s="39" customFormat="1">
      <c r="F1157" s="84"/>
      <c r="G1157" s="62"/>
      <c r="H1157" s="62"/>
      <c r="I1157" s="62"/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  <c r="U1157" s="62"/>
      <c r="V1157" s="62"/>
      <c r="W1157" s="62"/>
      <c r="X1157" s="62"/>
      <c r="Y1157" s="62"/>
      <c r="Z1157" s="62"/>
      <c r="AA1157" s="62"/>
      <c r="AB1157" s="68"/>
    </row>
    <row r="1158" spans="1:28" s="39" customFormat="1">
      <c r="F1158" s="84"/>
      <c r="G1158" s="62"/>
      <c r="H1158" s="62"/>
      <c r="I1158" s="62"/>
      <c r="J1158" s="62"/>
      <c r="K1158" s="62"/>
      <c r="L1158" s="62"/>
      <c r="M1158" s="62"/>
      <c r="N1158" s="62"/>
      <c r="O1158" s="62"/>
      <c r="P1158" s="62"/>
      <c r="Q1158" s="62"/>
      <c r="R1158" s="62"/>
      <c r="S1158" s="62"/>
      <c r="T1158" s="62"/>
      <c r="U1158" s="62"/>
      <c r="V1158" s="62"/>
      <c r="W1158" s="62"/>
      <c r="X1158" s="62"/>
      <c r="Y1158" s="62"/>
      <c r="Z1158" s="62"/>
      <c r="AA1158" s="62"/>
      <c r="AB1158" s="68"/>
    </row>
    <row r="1159" spans="1:28" s="39" customFormat="1">
      <c r="A1159" s="44" t="s">
        <v>729</v>
      </c>
      <c r="F1159" s="84"/>
      <c r="G1159" s="62"/>
      <c r="H1159" s="62"/>
      <c r="I1159" s="62"/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  <c r="U1159" s="62"/>
      <c r="V1159" s="62"/>
      <c r="W1159" s="62"/>
      <c r="X1159" s="62"/>
      <c r="Y1159" s="62"/>
      <c r="Z1159" s="62"/>
      <c r="AA1159" s="62"/>
      <c r="AB1159" s="68"/>
    </row>
    <row r="1160" spans="1:28" s="39" customFormat="1">
      <c r="A1160" s="39" t="s">
        <v>1013</v>
      </c>
      <c r="D1160" s="39" t="s">
        <v>736</v>
      </c>
      <c r="F1160" s="58">
        <f t="shared" ref="F1160:Z1160" si="550">F10+F11</f>
        <v>1704478641.6006682</v>
      </c>
      <c r="G1160" s="58">
        <f t="shared" si="550"/>
        <v>760741890.88581765</v>
      </c>
      <c r="H1160" s="58">
        <f t="shared" si="550"/>
        <v>246722971.50777596</v>
      </c>
      <c r="I1160" s="58">
        <f t="shared" si="550"/>
        <v>26292634.499167133</v>
      </c>
      <c r="J1160" s="58">
        <f t="shared" si="550"/>
        <v>307982845.13333845</v>
      </c>
      <c r="K1160" s="58">
        <f t="shared" si="550"/>
        <v>192457756.82766485</v>
      </c>
      <c r="L1160" s="58">
        <f t="shared" si="550"/>
        <v>73504309.693340182</v>
      </c>
      <c r="M1160" s="58">
        <f t="shared" si="550"/>
        <v>0</v>
      </c>
      <c r="N1160" s="58">
        <f t="shared" si="550"/>
        <v>0</v>
      </c>
      <c r="O1160" s="58">
        <f t="shared" si="550"/>
        <v>0</v>
      </c>
      <c r="P1160" s="58">
        <f t="shared" si="550"/>
        <v>59332962.267114468</v>
      </c>
      <c r="Q1160" s="58">
        <f t="shared" si="550"/>
        <v>31108138.455791444</v>
      </c>
      <c r="R1160" s="58">
        <f t="shared" si="550"/>
        <v>6015787.2427183874</v>
      </c>
      <c r="S1160" s="58">
        <f t="shared" si="550"/>
        <v>0</v>
      </c>
      <c r="T1160" s="58">
        <f t="shared" si="550"/>
        <v>13192.961016203517</v>
      </c>
      <c r="U1160" s="58">
        <f t="shared" si="550"/>
        <v>306152.1269233413</v>
      </c>
      <c r="V1160" s="58">
        <f t="shared" si="550"/>
        <v>0</v>
      </c>
      <c r="W1160" s="58">
        <f t="shared" si="550"/>
        <v>0</v>
      </c>
      <c r="X1160" s="58">
        <f t="shared" si="550"/>
        <v>0</v>
      </c>
      <c r="Y1160" s="58">
        <f t="shared" si="550"/>
        <v>0</v>
      </c>
      <c r="Z1160" s="58">
        <f t="shared" si="550"/>
        <v>0</v>
      </c>
      <c r="AA1160" s="59">
        <f>SUM(G1160:Z1160)</f>
        <v>1704478641.6006682</v>
      </c>
      <c r="AB1160" s="68" t="str">
        <f>IF(ABS(F1160-AA1160)&lt;0.01,"ok","err")</f>
        <v>ok</v>
      </c>
    </row>
    <row r="1161" spans="1:28" s="39" customFormat="1">
      <c r="A1161" s="39" t="s">
        <v>743</v>
      </c>
      <c r="D1161" s="39" t="s">
        <v>744</v>
      </c>
      <c r="F1161" s="61">
        <f t="shared" ref="F1161:Z1161" si="551">F225-F177</f>
        <v>234492160.80310005</v>
      </c>
      <c r="G1161" s="61">
        <f t="shared" si="551"/>
        <v>123991209.89055917</v>
      </c>
      <c r="H1161" s="61">
        <f t="shared" si="551"/>
        <v>33359680.28018824</v>
      </c>
      <c r="I1161" s="61">
        <f t="shared" si="551"/>
        <v>2836147.8225113023</v>
      </c>
      <c r="J1161" s="61">
        <f t="shared" si="551"/>
        <v>32550775.287876412</v>
      </c>
      <c r="K1161" s="61">
        <f t="shared" si="551"/>
        <v>21433139.297565758</v>
      </c>
      <c r="L1161" s="61">
        <f t="shared" si="551"/>
        <v>8015688.5990584902</v>
      </c>
      <c r="M1161" s="61">
        <f t="shared" si="551"/>
        <v>0</v>
      </c>
      <c r="N1161" s="61">
        <f t="shared" si="551"/>
        <v>0</v>
      </c>
      <c r="O1161" s="61">
        <f t="shared" si="551"/>
        <v>0</v>
      </c>
      <c r="P1161" s="61">
        <f t="shared" si="551"/>
        <v>5555164.5525555462</v>
      </c>
      <c r="Q1161" s="61">
        <f t="shared" si="551"/>
        <v>2993202.3480660226</v>
      </c>
      <c r="R1161" s="61">
        <f t="shared" si="551"/>
        <v>676844.4239261318</v>
      </c>
      <c r="S1161" s="61">
        <f t="shared" si="551"/>
        <v>2981707.5910575641</v>
      </c>
      <c r="T1161" s="61">
        <f t="shared" si="551"/>
        <v>29719.549233947328</v>
      </c>
      <c r="U1161" s="61">
        <f t="shared" si="551"/>
        <v>68881.160501452308</v>
      </c>
      <c r="V1161" s="61">
        <f t="shared" si="551"/>
        <v>0</v>
      </c>
      <c r="W1161" s="61">
        <f t="shared" si="551"/>
        <v>0</v>
      </c>
      <c r="X1161" s="61">
        <f t="shared" si="551"/>
        <v>0</v>
      </c>
      <c r="Y1161" s="61">
        <f t="shared" si="551"/>
        <v>0</v>
      </c>
      <c r="Z1161" s="61">
        <f t="shared" si="551"/>
        <v>0</v>
      </c>
      <c r="AA1161" s="59">
        <f>SUM(G1161:Z1161)</f>
        <v>234492160.80310005</v>
      </c>
      <c r="AB1161" s="68" t="str">
        <f>IF(ABS(F1161-AA1161)&lt;0.01,"ok","err")</f>
        <v>ok</v>
      </c>
    </row>
    <row r="1162" spans="1:28" s="39" customFormat="1">
      <c r="A1162" s="39" t="s">
        <v>925</v>
      </c>
      <c r="F1162" s="58">
        <v>858722785</v>
      </c>
      <c r="G1162" s="58">
        <f>'Billing Det'!$I$8</f>
        <v>340800745</v>
      </c>
      <c r="H1162" s="58">
        <f>'Billing Det'!$I$10</f>
        <v>129864133</v>
      </c>
      <c r="I1162" s="58">
        <f>'Billing Det'!$I$12</f>
        <v>16602273</v>
      </c>
      <c r="J1162" s="58">
        <f>'Billing Det'!$I$14</f>
        <v>169757405</v>
      </c>
      <c r="K1162" s="58">
        <f>'Billing Det'!$I$16+'Billing Det'!$I$20</f>
        <v>106600753</v>
      </c>
      <c r="L1162" s="58">
        <f>'Billing Det'!$I$18+'Billing Det'!$I$22</f>
        <v>35422439</v>
      </c>
      <c r="M1162" s="58">
        <v>0</v>
      </c>
      <c r="N1162" s="58">
        <v>0</v>
      </c>
      <c r="O1162" s="58">
        <f>'Billing Det'!$I$24</f>
        <v>0</v>
      </c>
      <c r="P1162" s="58">
        <f>'Billing Det'!$I$26</f>
        <v>28274995</v>
      </c>
      <c r="Q1162" s="58">
        <f>'Billing Det'!$I$28</f>
        <v>11394576</v>
      </c>
      <c r="R1162" s="58">
        <f>'Billing Det'!$I$30</f>
        <v>2704760</v>
      </c>
      <c r="S1162" s="58">
        <f>'Billing Det'!$I$32</f>
        <v>16845529</v>
      </c>
      <c r="T1162" s="58">
        <f>'Billing Det'!$I$34</f>
        <v>207166</v>
      </c>
      <c r="U1162" s="58">
        <f>'Billing Det'!$I$36</f>
        <v>248011</v>
      </c>
      <c r="V1162" s="58">
        <v>0</v>
      </c>
      <c r="W1162" s="58">
        <v>0</v>
      </c>
      <c r="X1162" s="58">
        <v>0</v>
      </c>
      <c r="Y1162" s="58">
        <v>0</v>
      </c>
      <c r="Z1162" s="58">
        <v>0</v>
      </c>
      <c r="AA1162" s="58">
        <f>SUM(G1162:Z1162)</f>
        <v>858722785</v>
      </c>
      <c r="AB1162" s="68" t="str">
        <f>IF(ABS(F1162-AA1162)&lt;0.01,"ok","err")</f>
        <v>ok</v>
      </c>
    </row>
    <row r="1163" spans="1:28" s="39" customFormat="1">
      <c r="F1163" s="84"/>
      <c r="G1163" s="62"/>
      <c r="H1163" s="62"/>
      <c r="I1163" s="62"/>
      <c r="J1163" s="62"/>
      <c r="K1163" s="62"/>
      <c r="L1163" s="62"/>
      <c r="M1163" s="62"/>
      <c r="N1163" s="62"/>
      <c r="O1163" s="62"/>
      <c r="P1163" s="62"/>
      <c r="Q1163" s="62"/>
      <c r="R1163" s="62"/>
      <c r="S1163" s="62"/>
      <c r="T1163" s="62"/>
      <c r="U1163" s="62"/>
      <c r="V1163" s="62"/>
      <c r="W1163" s="62"/>
      <c r="X1163" s="62"/>
      <c r="Y1163" s="62"/>
      <c r="Z1163" s="62"/>
      <c r="AA1163" s="62"/>
      <c r="AB1163" s="68"/>
    </row>
    <row r="1164" spans="1:28" s="39" customFormat="1">
      <c r="A1164" s="44" t="s">
        <v>968</v>
      </c>
      <c r="F1164" s="84"/>
      <c r="G1164" s="84"/>
      <c r="H1164" s="84"/>
      <c r="I1164" s="84"/>
      <c r="J1164" s="84"/>
      <c r="K1164" s="84"/>
      <c r="L1164" s="84"/>
      <c r="M1164" s="84"/>
      <c r="N1164" s="84"/>
      <c r="O1164" s="84"/>
      <c r="P1164" s="84"/>
      <c r="Q1164" s="84"/>
      <c r="R1164" s="84"/>
      <c r="S1164" s="84"/>
      <c r="T1164" s="84"/>
      <c r="U1164" s="84"/>
      <c r="V1164" s="84"/>
      <c r="W1164" s="84"/>
      <c r="X1164" s="84"/>
      <c r="Y1164" s="84"/>
      <c r="Z1164" s="84"/>
      <c r="AA1164" s="316"/>
      <c r="AB1164" s="68"/>
    </row>
    <row r="1165" spans="1:28" s="39" customFormat="1">
      <c r="A1165" s="39" t="s">
        <v>969</v>
      </c>
      <c r="F1165" s="58">
        <f>SUM(G1165:Z1165)</f>
        <v>201217.111</v>
      </c>
      <c r="G1165" s="84"/>
      <c r="H1165" s="84"/>
      <c r="I1165" s="84"/>
      <c r="J1165" s="84"/>
      <c r="K1165" s="58">
        <v>36436</v>
      </c>
      <c r="L1165" s="84"/>
      <c r="M1165" s="58">
        <v>0</v>
      </c>
      <c r="N1165" s="58"/>
      <c r="O1165" s="58"/>
      <c r="P1165" s="58">
        <v>164781.111</v>
      </c>
      <c r="Q1165" s="84"/>
      <c r="R1165" s="84"/>
      <c r="S1165" s="84"/>
      <c r="T1165" s="84"/>
      <c r="U1165" s="84"/>
      <c r="V1165" s="84"/>
      <c r="W1165" s="84"/>
      <c r="X1165" s="84"/>
      <c r="Y1165" s="84"/>
      <c r="Z1165" s="84"/>
      <c r="AA1165" s="316"/>
      <c r="AB1165" s="68"/>
    </row>
    <row r="1166" spans="1:28" s="39" customFormat="1">
      <c r="A1166" s="39" t="s">
        <v>970</v>
      </c>
      <c r="F1166" s="58"/>
      <c r="G1166" s="84"/>
      <c r="H1166" s="84"/>
      <c r="I1166" s="84"/>
      <c r="J1166" s="84"/>
      <c r="K1166" s="171">
        <v>2.8</v>
      </c>
      <c r="L1166" s="84"/>
      <c r="M1166" s="171">
        <v>2.8</v>
      </c>
      <c r="N1166" s="171"/>
      <c r="O1166" s="171"/>
      <c r="P1166" s="171">
        <v>2.25</v>
      </c>
      <c r="Q1166" s="84"/>
      <c r="R1166" s="84"/>
      <c r="S1166" s="84"/>
      <c r="T1166" s="84"/>
      <c r="U1166" s="84"/>
      <c r="V1166" s="84"/>
      <c r="W1166" s="84"/>
      <c r="X1166" s="84"/>
      <c r="Y1166" s="84"/>
      <c r="Z1166" s="84"/>
      <c r="AA1166" s="316"/>
      <c r="AB1166" s="68"/>
    </row>
    <row r="1167" spans="1:28" s="39" customFormat="1">
      <c r="A1167" s="39" t="s">
        <v>971</v>
      </c>
      <c r="F1167" s="58">
        <f>SUM(G1167:Z1167)</f>
        <v>472778.29975000001</v>
      </c>
      <c r="G1167" s="84"/>
      <c r="H1167" s="84"/>
      <c r="I1167" s="84"/>
      <c r="J1167" s="84"/>
      <c r="K1167" s="58">
        <f>K1165*K1166</f>
        <v>102020.79999999999</v>
      </c>
      <c r="L1167" s="84"/>
      <c r="M1167" s="58">
        <f>M1165*M1166</f>
        <v>0</v>
      </c>
      <c r="N1167" s="58"/>
      <c r="O1167" s="58"/>
      <c r="P1167" s="58">
        <f>P1165*P1166</f>
        <v>370757.49975000002</v>
      </c>
      <c r="Q1167" s="84"/>
      <c r="R1167" s="84"/>
      <c r="S1167" s="84"/>
      <c r="T1167" s="84"/>
      <c r="U1167" s="84"/>
      <c r="V1167" s="84"/>
      <c r="W1167" s="84"/>
      <c r="X1167" s="84"/>
      <c r="Y1167" s="84"/>
      <c r="Z1167" s="84"/>
      <c r="AA1167" s="316"/>
      <c r="AB1167" s="68"/>
    </row>
    <row r="1168" spans="1:28" s="39" customFormat="1">
      <c r="F1168" s="58"/>
      <c r="G1168" s="84"/>
      <c r="H1168" s="84"/>
      <c r="I1168" s="84"/>
      <c r="J1168" s="84"/>
      <c r="K1168" s="58"/>
      <c r="L1168" s="84"/>
      <c r="M1168" s="58"/>
      <c r="N1168" s="58"/>
      <c r="O1168" s="58"/>
      <c r="P1168" s="58"/>
      <c r="Q1168" s="84"/>
      <c r="R1168" s="84"/>
      <c r="S1168" s="84"/>
      <c r="T1168" s="84"/>
      <c r="U1168" s="84"/>
      <c r="V1168" s="84"/>
      <c r="W1168" s="84"/>
      <c r="X1168" s="84"/>
      <c r="Y1168" s="84"/>
      <c r="Z1168" s="84"/>
      <c r="AA1168" s="316"/>
      <c r="AB1168" s="68"/>
    </row>
    <row r="1169" spans="1:29">
      <c r="A1169" s="170" t="s">
        <v>1536</v>
      </c>
      <c r="D1169" s="127"/>
      <c r="F1169" s="58"/>
      <c r="G1169" s="57"/>
      <c r="H1169" s="57"/>
      <c r="I1169" s="57"/>
      <c r="J1169" s="57"/>
      <c r="K1169" s="57"/>
      <c r="L1169" s="57"/>
      <c r="M1169" s="57"/>
      <c r="N1169" s="57"/>
      <c r="O1169" s="57"/>
      <c r="P1169" s="57"/>
      <c r="Q1169" s="57"/>
      <c r="R1169" s="57"/>
      <c r="S1169" s="57"/>
      <c r="T1169" s="57"/>
      <c r="U1169" s="57"/>
      <c r="V1169" s="57"/>
      <c r="W1169" s="57"/>
      <c r="X1169" s="57"/>
      <c r="Y1169" s="57"/>
      <c r="Z1169" s="57"/>
      <c r="AA1169" s="58"/>
      <c r="AB1169" s="68"/>
      <c r="AC1169" s="52"/>
    </row>
    <row r="1170" spans="1:29">
      <c r="A1170" s="44" t="s">
        <v>1222</v>
      </c>
    </row>
    <row r="1171" spans="1:29">
      <c r="A1171" s="44"/>
    </row>
    <row r="1172" spans="1:29">
      <c r="A1172" s="44" t="s">
        <v>750</v>
      </c>
    </row>
    <row r="1173" spans="1:29">
      <c r="A1173" s="39" t="s">
        <v>921</v>
      </c>
      <c r="F1173" s="59">
        <f t="shared" ref="F1173:N1173" si="552">F174+F284+F339+F395+F450+F505+F560+((F762+F766)*(F1198/F1207))</f>
        <v>88382400.790748224</v>
      </c>
      <c r="G1173" s="59">
        <f t="shared" si="552"/>
        <v>30091054.482099432</v>
      </c>
      <c r="H1173" s="59">
        <f t="shared" si="552"/>
        <v>12011381.707231689</v>
      </c>
      <c r="I1173" s="59">
        <f t="shared" si="552"/>
        <v>2074967.2522482753</v>
      </c>
      <c r="J1173" s="59">
        <f t="shared" si="552"/>
        <v>20015124.610853963</v>
      </c>
      <c r="K1173" s="59">
        <f t="shared" si="552"/>
        <v>14009633.710228465</v>
      </c>
      <c r="L1173" s="59">
        <f t="shared" si="552"/>
        <v>4622021.9868343528</v>
      </c>
      <c r="M1173" s="59" t="e">
        <f t="shared" si="552"/>
        <v>#DIV/0!</v>
      </c>
      <c r="N1173" s="59" t="e">
        <f t="shared" si="552"/>
        <v>#DIV/0!</v>
      </c>
      <c r="O1173" s="59"/>
      <c r="P1173" s="59">
        <f t="shared" ref="P1173:U1173" si="553">P174+P284+P339+P395+P450+P505+P560+((P762+P766)*(P1198/P1207))</f>
        <v>3788850.7204844602</v>
      </c>
      <c r="Q1173" s="59">
        <f t="shared" si="553"/>
        <v>1379047.8376840423</v>
      </c>
      <c r="R1173" s="59">
        <f t="shared" si="553"/>
        <v>352001.80940917012</v>
      </c>
      <c r="S1173" s="59">
        <f t="shared" si="553"/>
        <v>848545.30871535209</v>
      </c>
      <c r="T1173" s="59">
        <f t="shared" si="553"/>
        <v>33581.924067142521</v>
      </c>
      <c r="U1173" s="59">
        <f t="shared" si="553"/>
        <v>24949.670694738666</v>
      </c>
      <c r="V1173" s="59"/>
      <c r="W1173" s="59"/>
      <c r="X1173" s="43"/>
      <c r="Y1173" s="43"/>
      <c r="Z1173" s="43"/>
      <c r="AA1173" s="43" t="e">
        <f>SUM(G1173:Z1173)</f>
        <v>#DIV/0!</v>
      </c>
      <c r="AB1173" s="37" t="e">
        <f t="shared" ref="AB1173:AB1182" si="554">IF(ABS(F1173-AA1173)&lt;0.01,"ok","err")</f>
        <v>#DIV/0!</v>
      </c>
    </row>
    <row r="1174" spans="1:29">
      <c r="A1174" s="39" t="s">
        <v>737</v>
      </c>
      <c r="F1174" s="59">
        <f t="shared" ref="F1174:N1174" si="555">F175+F285+F340+F396+F451+F506+F561+((F762+F766)*(F1199/F1207))</f>
        <v>83316122.597058058</v>
      </c>
      <c r="G1174" s="59">
        <f t="shared" si="555"/>
        <v>31288512.901696648</v>
      </c>
      <c r="H1174" s="59">
        <f t="shared" si="555"/>
        <v>14947179.75997215</v>
      </c>
      <c r="I1174" s="59">
        <f t="shared" si="555"/>
        <v>1606613.6900441432</v>
      </c>
      <c r="J1174" s="59">
        <f t="shared" si="555"/>
        <v>17518218.802083518</v>
      </c>
      <c r="K1174" s="59">
        <f t="shared" si="555"/>
        <v>10030933.529826175</v>
      </c>
      <c r="L1174" s="59">
        <f t="shared" si="555"/>
        <v>3738944.0739489035</v>
      </c>
      <c r="M1174" s="59" t="e">
        <f t="shared" si="555"/>
        <v>#DIV/0!</v>
      </c>
      <c r="N1174" s="59" t="e">
        <f t="shared" si="555"/>
        <v>#DIV/0!</v>
      </c>
      <c r="O1174" s="59"/>
      <c r="P1174" s="59">
        <f t="shared" ref="P1174:U1174" si="556">P175+P285+P340+P396+P451+P506+P561+((P762+P766)*(P1199/P1207))</f>
        <v>3546847.4898580108</v>
      </c>
      <c r="Q1174" s="59">
        <f t="shared" si="556"/>
        <v>1262529.2784395763</v>
      </c>
      <c r="R1174" s="59">
        <f t="shared" si="556"/>
        <v>232076.08118833913</v>
      </c>
      <c r="S1174" s="59">
        <f t="shared" si="556"/>
        <v>0</v>
      </c>
      <c r="T1174" s="59">
        <f t="shared" si="556"/>
        <v>678.07328784117215</v>
      </c>
      <c r="U1174" s="59">
        <f t="shared" si="556"/>
        <v>19348.563346341838</v>
      </c>
      <c r="V1174" s="59"/>
      <c r="W1174" s="59"/>
      <c r="X1174" s="43"/>
      <c r="Y1174" s="43"/>
      <c r="Z1174" s="43"/>
      <c r="AA1174" s="43" t="e">
        <f t="shared" ref="AA1174:AA1181" si="557">SUM(G1174:Z1174)</f>
        <v>#DIV/0!</v>
      </c>
      <c r="AB1174" s="37" t="e">
        <f t="shared" si="554"/>
        <v>#DIV/0!</v>
      </c>
    </row>
    <row r="1175" spans="1:29">
      <c r="A1175" s="39" t="s">
        <v>738</v>
      </c>
      <c r="F1175" s="59">
        <f t="shared" ref="F1175:N1175" si="558">F176+F286+F341+F397+F452+F507+F562+((F762+F766)*(F1200/F1207))+F767+F768</f>
        <v>85566233.071605653</v>
      </c>
      <c r="G1175" s="59">
        <f t="shared" si="558"/>
        <v>39435810.98271171</v>
      </c>
      <c r="H1175" s="59">
        <f t="shared" si="558"/>
        <v>12775976.875407925</v>
      </c>
      <c r="I1175" s="59">
        <f t="shared" si="558"/>
        <v>1510666.2732229067</v>
      </c>
      <c r="J1175" s="59">
        <f t="shared" si="558"/>
        <v>17066449.056582712</v>
      </c>
      <c r="K1175" s="59">
        <f t="shared" si="558"/>
        <v>8596766.2079196852</v>
      </c>
      <c r="L1175" s="59">
        <f t="shared" si="558"/>
        <v>3279161.2356949151</v>
      </c>
      <c r="M1175" s="59" t="e">
        <f t="shared" si="558"/>
        <v>#DIV/0!</v>
      </c>
      <c r="N1175" s="59" t="e">
        <f t="shared" si="558"/>
        <v>#DIV/0!</v>
      </c>
      <c r="O1175" s="59"/>
      <c r="P1175" s="59">
        <f t="shared" ref="P1175:U1175" si="559">P176+P286+P341+P397+P452+P507+P562+((P762+P766)*(P1200/P1207))+P767+P768</f>
        <v>1273322.525906146</v>
      </c>
      <c r="Q1175" s="59">
        <f t="shared" si="559"/>
        <v>1376315.3905010044</v>
      </c>
      <c r="R1175" s="59">
        <f t="shared" si="559"/>
        <v>252826.05897253702</v>
      </c>
      <c r="S1175" s="59">
        <f t="shared" si="559"/>
        <v>0</v>
      </c>
      <c r="T1175" s="59">
        <f t="shared" si="559"/>
        <v>852.19745533258219</v>
      </c>
      <c r="U1175" s="59">
        <f t="shared" si="559"/>
        <v>12870.051132948158</v>
      </c>
      <c r="V1175" s="59"/>
      <c r="W1175" s="59"/>
      <c r="X1175" s="43"/>
      <c r="Y1175" s="43"/>
      <c r="Z1175" s="43"/>
      <c r="AA1175" s="43" t="e">
        <f t="shared" si="557"/>
        <v>#DIV/0!</v>
      </c>
      <c r="AB1175" s="37" t="e">
        <f t="shared" si="554"/>
        <v>#DIV/0!</v>
      </c>
    </row>
    <row r="1176" spans="1:29">
      <c r="A1176" s="39" t="s">
        <v>923</v>
      </c>
      <c r="F1176" s="59">
        <f t="shared" ref="F1176:N1176" si="560">F183+F293+F348+F404+F459+F514+F569+((F762+F766)*(F1201/F1207))</f>
        <v>11435299.352832219</v>
      </c>
      <c r="G1176" s="59">
        <f t="shared" si="560"/>
        <v>3948864.0844158228</v>
      </c>
      <c r="H1176" s="59">
        <f t="shared" si="560"/>
        <v>1520183.3074577481</v>
      </c>
      <c r="I1176" s="59">
        <f t="shared" si="560"/>
        <v>260189.08047723898</v>
      </c>
      <c r="J1176" s="59">
        <f t="shared" si="560"/>
        <v>2533431.7773077483</v>
      </c>
      <c r="K1176" s="59">
        <f t="shared" si="560"/>
        <v>1819641.9304670149</v>
      </c>
      <c r="L1176" s="59">
        <f t="shared" si="560"/>
        <v>603258.56930208916</v>
      </c>
      <c r="M1176" s="59" t="e">
        <f t="shared" si="560"/>
        <v>#DIV/0!</v>
      </c>
      <c r="N1176" s="59" t="e">
        <f t="shared" si="560"/>
        <v>#DIV/0!</v>
      </c>
      <c r="O1176" s="59"/>
      <c r="P1176" s="59">
        <f t="shared" ref="P1176:U1176" si="561">P183+P293+P348+P404+P459+P514+P569+((P762+P766)*(P1201/P1207))</f>
        <v>492216.26066586422</v>
      </c>
      <c r="Q1176" s="59">
        <f t="shared" si="561"/>
        <v>184558.85476869106</v>
      </c>
      <c r="R1176" s="59">
        <f t="shared" si="561"/>
        <v>47656.989388480491</v>
      </c>
      <c r="S1176" s="59">
        <f t="shared" si="561"/>
        <v>108531.77109801308</v>
      </c>
      <c r="T1176" s="59">
        <f t="shared" si="561"/>
        <v>4226.7308880864075</v>
      </c>
      <c r="U1176" s="59">
        <f t="shared" si="561"/>
        <v>3195.4609727745092</v>
      </c>
      <c r="V1176" s="59"/>
      <c r="W1176" s="59"/>
      <c r="X1176" s="43"/>
      <c r="Y1176" s="43"/>
      <c r="Z1176" s="43"/>
      <c r="AA1176" s="43" t="e">
        <f>SUM(G1176:Z1176)</f>
        <v>#DIV/0!</v>
      </c>
      <c r="AB1176" s="37" t="e">
        <f t="shared" si="554"/>
        <v>#DIV/0!</v>
      </c>
    </row>
    <row r="1177" spans="1:29">
      <c r="A1177" s="39" t="s">
        <v>739</v>
      </c>
      <c r="F1177" s="59">
        <f t="shared" ref="F1177:N1177" si="562">F184+F294+F349+F405+F460+F515+F570+((F762+F766)*(F1202/F1207))</f>
        <v>10779802.248983031</v>
      </c>
      <c r="G1177" s="59">
        <f t="shared" si="562"/>
        <v>4106007.149925265</v>
      </c>
      <c r="H1177" s="59">
        <f t="shared" si="562"/>
        <v>1891743.4911754956</v>
      </c>
      <c r="I1177" s="59">
        <f t="shared" si="562"/>
        <v>201460.21015116805</v>
      </c>
      <c r="J1177" s="59">
        <f t="shared" si="562"/>
        <v>2217383.7564299284</v>
      </c>
      <c r="K1177" s="59">
        <f t="shared" si="562"/>
        <v>1302868.2712291665</v>
      </c>
      <c r="L1177" s="59">
        <f t="shared" si="562"/>
        <v>488000.71898744442</v>
      </c>
      <c r="M1177" s="59" t="e">
        <f t="shared" si="562"/>
        <v>#DIV/0!</v>
      </c>
      <c r="N1177" s="59" t="e">
        <f t="shared" si="562"/>
        <v>#DIV/0!</v>
      </c>
      <c r="O1177" s="59"/>
      <c r="P1177" s="59">
        <f t="shared" ref="P1177:U1177" si="563">P184+P294+P349+P405+P460+P515+P570+((P762+P766)*(P1202/P1207))</f>
        <v>460777.19535669335</v>
      </c>
      <c r="Q1177" s="59">
        <f t="shared" si="563"/>
        <v>168965.10140798739</v>
      </c>
      <c r="R1177" s="59">
        <f t="shared" si="563"/>
        <v>31420.427517338438</v>
      </c>
      <c r="S1177" s="59">
        <f t="shared" si="563"/>
        <v>0</v>
      </c>
      <c r="T1177" s="59">
        <f t="shared" si="563"/>
        <v>85.344523570904997</v>
      </c>
      <c r="U1177" s="59">
        <f t="shared" si="563"/>
        <v>2478.0919880248666</v>
      </c>
      <c r="V1177" s="59"/>
      <c r="W1177" s="59"/>
      <c r="X1177" s="43"/>
      <c r="Y1177" s="43"/>
      <c r="Z1177" s="43"/>
      <c r="AA1177" s="43" t="e">
        <f t="shared" si="557"/>
        <v>#DIV/0!</v>
      </c>
      <c r="AB1177" s="37" t="e">
        <f t="shared" si="554"/>
        <v>#DIV/0!</v>
      </c>
    </row>
    <row r="1178" spans="1:29">
      <c r="A1178" s="39" t="s">
        <v>740</v>
      </c>
      <c r="F1178" s="59">
        <f t="shared" ref="F1178:N1178" si="564">F185+F295+F350+F406+F461+F516+F571+((F762+F766)*(F1203/F1207))</f>
        <v>11070931.326980297</v>
      </c>
      <c r="G1178" s="59">
        <f t="shared" si="564"/>
        <v>5106141.8431089744</v>
      </c>
      <c r="H1178" s="59">
        <f t="shared" si="564"/>
        <v>1595357.7403891229</v>
      </c>
      <c r="I1178" s="59">
        <f t="shared" si="564"/>
        <v>187148.94336865575</v>
      </c>
      <c r="J1178" s="59">
        <f t="shared" si="564"/>
        <v>2133241.7383159287</v>
      </c>
      <c r="K1178" s="59">
        <f t="shared" si="564"/>
        <v>1125333.1173210319</v>
      </c>
      <c r="L1178" s="59">
        <f t="shared" si="564"/>
        <v>421356.12766202714</v>
      </c>
      <c r="M1178" s="59" t="e">
        <f t="shared" si="564"/>
        <v>#DIV/0!</v>
      </c>
      <c r="N1178" s="59" t="e">
        <f t="shared" si="564"/>
        <v>#DIV/0!</v>
      </c>
      <c r="O1178" s="59"/>
      <c r="P1178" s="59">
        <f t="shared" ref="P1178:U1178" si="565">P185+P295+P350+P406+P461+P516+P571+((P762+P766)*(P1203/P1207))</f>
        <v>287186.40942493564</v>
      </c>
      <c r="Q1178" s="59">
        <f t="shared" si="565"/>
        <v>181314.08899849007</v>
      </c>
      <c r="R1178" s="59">
        <f t="shared" si="565"/>
        <v>33666.48903949032</v>
      </c>
      <c r="S1178" s="59">
        <f t="shared" si="565"/>
        <v>0</v>
      </c>
      <c r="T1178" s="59">
        <f t="shared" si="565"/>
        <v>106.1120343318501</v>
      </c>
      <c r="U1178" s="59">
        <f t="shared" si="565"/>
        <v>1621.2319660310795</v>
      </c>
      <c r="V1178" s="59"/>
      <c r="W1178" s="59"/>
      <c r="X1178" s="43"/>
      <c r="Y1178" s="43"/>
      <c r="Z1178" s="43"/>
      <c r="AA1178" s="43" t="e">
        <f t="shared" si="557"/>
        <v>#DIV/0!</v>
      </c>
      <c r="AB1178" s="37" t="e">
        <f t="shared" si="554"/>
        <v>#DIV/0!</v>
      </c>
    </row>
    <row r="1179" spans="1:29">
      <c r="A1179" s="39" t="s">
        <v>363</v>
      </c>
      <c r="E1179" s="39">
        <f>F1179/F1060</f>
        <v>4.2889634788544753E-2</v>
      </c>
      <c r="F1179" s="59">
        <f t="shared" ref="F1179:N1179" si="566">F177+F178+F179+F287+F288+F289+F342+F343+F344+F398+F399+F400+F453+F454+F455+F508+F509+F510+F563+F564+F565+((F762+F766)*(F1204/F1207))</f>
        <v>496088193.27425748</v>
      </c>
      <c r="G1179" s="59">
        <f t="shared" si="566"/>
        <v>181627476.96771902</v>
      </c>
      <c r="H1179" s="59">
        <f t="shared" si="566"/>
        <v>60941620.88135244</v>
      </c>
      <c r="I1179" s="59">
        <f t="shared" si="566"/>
        <v>9955684.9028346483</v>
      </c>
      <c r="J1179" s="59">
        <f t="shared" si="566"/>
        <v>100184608.76568861</v>
      </c>
      <c r="K1179" s="59">
        <f t="shared" si="566"/>
        <v>79951037.320499569</v>
      </c>
      <c r="L1179" s="59">
        <f t="shared" si="566"/>
        <v>25549682.54234929</v>
      </c>
      <c r="M1179" s="59" t="e">
        <f t="shared" si="566"/>
        <v>#DIV/0!</v>
      </c>
      <c r="N1179" s="59" t="e">
        <f t="shared" si="566"/>
        <v>#DIV/0!</v>
      </c>
      <c r="O1179" s="59"/>
      <c r="P1179" s="59">
        <f t="shared" ref="P1179:U1179" si="567">P177+P178+P179+P287+P288+P289+P342+P343+P344+P398+P399+P400+P453+P454+P455+P508+P509+P510+P563+P564+P565+((P762+P766)*(P1204/P1207))</f>
        <v>21703764.405615985</v>
      </c>
      <c r="Q1179" s="59">
        <f t="shared" si="567"/>
        <v>9081406.4435453769</v>
      </c>
      <c r="R1179" s="59">
        <f t="shared" si="567"/>
        <v>2437941.5241400823</v>
      </c>
      <c r="S1179" s="59">
        <f t="shared" si="567"/>
        <v>4488164.3140684767</v>
      </c>
      <c r="T1179" s="59">
        <f t="shared" si="567"/>
        <v>159473.73867254111</v>
      </c>
      <c r="U1179" s="59">
        <f t="shared" si="567"/>
        <v>132905.24850187026</v>
      </c>
      <c r="V1179" s="59"/>
      <c r="W1179" s="59"/>
      <c r="X1179" s="43"/>
      <c r="Y1179" s="43"/>
      <c r="Z1179" s="43"/>
      <c r="AA1179" s="43" t="e">
        <f t="shared" si="557"/>
        <v>#DIV/0!</v>
      </c>
      <c r="AB1179" s="37" t="e">
        <f t="shared" si="554"/>
        <v>#DIV/0!</v>
      </c>
    </row>
    <row r="1180" spans="1:29">
      <c r="A1180" s="39" t="s">
        <v>169</v>
      </c>
      <c r="F1180" s="59">
        <f t="shared" ref="F1180:N1180" si="568">F189+F192+F195+F196+F198+F203+F299+F302+F305+F306+F308+F313+F354+F357+F360+F361+F363+F368+F410+F413+F416+F417+F419+F424+F465+F468+F471+F472+F474+F479+F520+F523+F526+F527+F529+F534+F575+F578+F581+F582+F584+F589+((F762+F766)*(F1205/F1207))</f>
        <v>44556658.561352149</v>
      </c>
      <c r="G1180" s="59">
        <f t="shared" si="568"/>
        <v>21977025.693036724</v>
      </c>
      <c r="H1180" s="59">
        <f t="shared" si="568"/>
        <v>6902363.5600118842</v>
      </c>
      <c r="I1180" s="59">
        <f t="shared" si="568"/>
        <v>556280.96994359128</v>
      </c>
      <c r="J1180" s="59">
        <f t="shared" si="568"/>
        <v>7997494.6214579139</v>
      </c>
      <c r="K1180" s="59">
        <f t="shared" si="568"/>
        <v>4259174.1719513126</v>
      </c>
      <c r="L1180" s="59">
        <f t="shared" si="568"/>
        <v>1640003.6313073379</v>
      </c>
      <c r="M1180" s="59" t="e">
        <f t="shared" si="568"/>
        <v>#DIV/0!</v>
      </c>
      <c r="N1180" s="59" t="e">
        <f t="shared" si="568"/>
        <v>#DIV/0!</v>
      </c>
      <c r="O1180" s="59"/>
      <c r="P1180" s="59">
        <f t="shared" ref="P1180:U1180" si="569">P189+P192+P195+P196+P198+P203+P299+P302+P305+P306+P308+P313+P354+P357+P360+P361+P363+P368+P410+P413+P416+P417+P419+P424+P465+P468+P471+P472+P474+P479+P520+P523+P526+P527+P529+P534+P575+P578+P581+P582+P584+P589+((P762+P766)*(P1205/P1207))</f>
        <v>0</v>
      </c>
      <c r="Q1180" s="59">
        <f t="shared" si="569"/>
        <v>513262.84928588226</v>
      </c>
      <c r="R1180" s="59">
        <f t="shared" si="569"/>
        <v>109774.26566127478</v>
      </c>
      <c r="S1180" s="59">
        <f t="shared" si="569"/>
        <v>357329.99800484261</v>
      </c>
      <c r="T1180" s="59">
        <f t="shared" si="569"/>
        <v>14300.16611951204</v>
      </c>
      <c r="U1180" s="59">
        <f t="shared" si="569"/>
        <v>5242.5732961882231</v>
      </c>
      <c r="V1180" s="59"/>
      <c r="W1180" s="59"/>
      <c r="X1180" s="43"/>
      <c r="Y1180" s="43"/>
      <c r="Z1180" s="43"/>
      <c r="AA1180" s="43" t="e">
        <f t="shared" si="557"/>
        <v>#DIV/0!</v>
      </c>
      <c r="AB1180" s="37" t="e">
        <f t="shared" si="554"/>
        <v>#DIV/0!</v>
      </c>
    </row>
    <row r="1181" spans="1:29">
      <c r="A1181" s="39" t="s">
        <v>170</v>
      </c>
      <c r="F1181" s="57">
        <f t="shared" ref="F1181:N1181" si="570">F197+F199+F204+F208+F211+F214+F217+F220+F223+F307+F309+F314+F318+F321+F324+F327+F330+F333+F362+F364+F369+F373+F377+F380+F383+F386+F389+F418+F420+F425+F429+F432+F435+F438+F441+F444+F473+F475+F480+F484+F487+F490+F493+F496+F499+F528+F530+F535+F539+F542+F545+F548+F551+F554+F583+F585+F590+F594+F597+F600+F603+F606+F609+((F762+F766)*(F1206/F1207))</f>
        <v>94463095.070882842</v>
      </c>
      <c r="G1181" s="57">
        <f t="shared" si="570"/>
        <v>67698989.136887059</v>
      </c>
      <c r="H1181" s="57">
        <f t="shared" si="570"/>
        <v>14200060.352665203</v>
      </c>
      <c r="I1181" s="57">
        <f t="shared" si="570"/>
        <v>168666.100279137</v>
      </c>
      <c r="J1181" s="57">
        <f t="shared" si="570"/>
        <v>2105294.7350758226</v>
      </c>
      <c r="K1181" s="57">
        <f t="shared" si="570"/>
        <v>291740.25584678858</v>
      </c>
      <c r="L1181" s="57">
        <f t="shared" si="570"/>
        <v>318699.83736929687</v>
      </c>
      <c r="M1181" s="57" t="e">
        <f t="shared" si="570"/>
        <v>#DIV/0!</v>
      </c>
      <c r="N1181" s="57" t="e">
        <f t="shared" si="570"/>
        <v>#DIV/0!</v>
      </c>
      <c r="O1181" s="57"/>
      <c r="P1181" s="57">
        <f t="shared" ref="P1181:U1181" si="571">P197+P199+P204+P208+P211+P214+P217+P220+P223+P307+P309+P314+P318+P321+P324+P327+P330+P333+P362+P364+P369+P373+P377+P380+P383+P386+P389+P418+P420+P425+P429+P432+P435+P438+P441+P444+P473+P475+P480+P484+P487+P490+P493+P496+P499+P528+P530+P535+P539+P542+P545+P548+P551+P554+P583+P585+P590+P594+P597+P600+P603+P606+P609+((P762+P766)*(P1206/P1207))</f>
        <v>140640.40660136973</v>
      </c>
      <c r="Q1181" s="57">
        <f t="shared" si="571"/>
        <v>11028.161453518649</v>
      </c>
      <c r="R1181" s="57">
        <f t="shared" si="571"/>
        <v>21684.156367793654</v>
      </c>
      <c r="S1181" s="57">
        <f t="shared" si="571"/>
        <v>7603141.4948773542</v>
      </c>
      <c r="T1181" s="57">
        <f t="shared" si="571"/>
        <v>9043.1794651405526</v>
      </c>
      <c r="U1181" s="57">
        <f t="shared" si="571"/>
        <v>50050.38546589137</v>
      </c>
      <c r="V1181" s="57"/>
      <c r="W1181" s="57"/>
      <c r="X1181" s="41"/>
      <c r="Y1181" s="41"/>
      <c r="Z1181" s="41"/>
      <c r="AA1181" s="43" t="e">
        <f t="shared" si="557"/>
        <v>#DIV/0!</v>
      </c>
      <c r="AB1181" s="37" t="e">
        <f t="shared" si="554"/>
        <v>#DIV/0!</v>
      </c>
    </row>
    <row r="1182" spans="1:29">
      <c r="A1182" s="39" t="s">
        <v>1026</v>
      </c>
      <c r="E1182" s="89"/>
      <c r="F1182" s="59">
        <f>SUM(F1173:F1181)</f>
        <v>925658736.29469991</v>
      </c>
      <c r="G1182" s="59">
        <f t="shared" ref="G1182:U1182" si="572">SUM(G1173:G1181)</f>
        <v>385279883.24160069</v>
      </c>
      <c r="H1182" s="59">
        <f t="shared" si="572"/>
        <v>126785867.67566365</v>
      </c>
      <c r="I1182" s="59">
        <f t="shared" si="572"/>
        <v>16521677.422569763</v>
      </c>
      <c r="J1182" s="59">
        <f t="shared" si="572"/>
        <v>171771247.86379614</v>
      </c>
      <c r="K1182" s="59">
        <f t="shared" si="572"/>
        <v>121387128.5152892</v>
      </c>
      <c r="L1182" s="59">
        <f t="shared" si="572"/>
        <v>40661128.723455667</v>
      </c>
      <c r="M1182" s="59" t="e">
        <f t="shared" si="572"/>
        <v>#DIV/0!</v>
      </c>
      <c r="N1182" s="59" t="e">
        <f t="shared" si="572"/>
        <v>#DIV/0!</v>
      </c>
      <c r="O1182" s="59"/>
      <c r="P1182" s="59">
        <f t="shared" si="572"/>
        <v>31693605.413913466</v>
      </c>
      <c r="Q1182" s="59">
        <f t="shared" si="572"/>
        <v>14158428.006084569</v>
      </c>
      <c r="R1182" s="59">
        <f t="shared" si="572"/>
        <v>3519047.8016845062</v>
      </c>
      <c r="S1182" s="59">
        <f t="shared" si="572"/>
        <v>13405712.886764038</v>
      </c>
      <c r="T1182" s="59">
        <f t="shared" si="572"/>
        <v>222347.46651349915</v>
      </c>
      <c r="U1182" s="59">
        <f t="shared" si="572"/>
        <v>252661.27736480898</v>
      </c>
      <c r="V1182" s="59"/>
      <c r="W1182" s="59"/>
      <c r="X1182" s="43"/>
      <c r="Y1182" s="43"/>
      <c r="Z1182" s="43"/>
      <c r="AA1182" s="43" t="e">
        <f>SUM(AA1173:AA1181)</f>
        <v>#DIV/0!</v>
      </c>
      <c r="AB1182" s="37" t="e">
        <f t="shared" si="554"/>
        <v>#DIV/0!</v>
      </c>
    </row>
    <row r="1183" spans="1:29">
      <c r="F1183" s="59"/>
    </row>
    <row r="1184" spans="1:29">
      <c r="A1184" s="44" t="s">
        <v>772</v>
      </c>
      <c r="E1184" s="86"/>
      <c r="F1184" s="59"/>
    </row>
    <row r="1185" spans="1:29">
      <c r="A1185" s="39" t="s">
        <v>924</v>
      </c>
      <c r="E1185" s="89"/>
      <c r="F1185" s="176">
        <f t="shared" ref="F1185:N1185" si="573">F174+F284+F395+F450+F505+F560+(F766*(F1198/F1207))+(F912*(F1198/F1207))+((F806-(F903-F671-F672-F1162-F900-F901))*(F1173/F1182))-((F671+F672)*(F1173/(F1173+F1174+F1175+F1179)))</f>
        <v>73099870.39988476</v>
      </c>
      <c r="G1185" s="59">
        <f t="shared" si="573"/>
        <v>24205524.256820913</v>
      </c>
      <c r="H1185" s="59">
        <f t="shared" si="573"/>
        <v>10187496.591730867</v>
      </c>
      <c r="I1185" s="59">
        <f t="shared" si="573"/>
        <v>1799126.6764284831</v>
      </c>
      <c r="J1185" s="59">
        <f t="shared" si="573"/>
        <v>17100872.672106382</v>
      </c>
      <c r="K1185" s="59">
        <f t="shared" si="573"/>
        <v>11823918.76220035</v>
      </c>
      <c r="L1185" s="59">
        <f t="shared" si="573"/>
        <v>3682213.8948319065</v>
      </c>
      <c r="M1185" s="59" t="e">
        <f t="shared" si="573"/>
        <v>#DIV/0!</v>
      </c>
      <c r="N1185" s="59" t="e">
        <f t="shared" si="573"/>
        <v>#DIV/0!</v>
      </c>
      <c r="O1185" s="59"/>
      <c r="P1185" s="59">
        <f t="shared" ref="P1185:U1185" si="574">P174+P284+P395+P450+P505+P560+(P766*(P1198/P1207))+(P912*(P1198/P1207))+((P806-(P903-P671-P672-P1162-P900-P901))*(P1173/P1182))-((P671+P672)*(P1173/(P1173+P1174+P1175+P1179)))</f>
        <v>3354308.4535756614</v>
      </c>
      <c r="Q1185" s="59">
        <f t="shared" si="574"/>
        <v>1158323.9675745743</v>
      </c>
      <c r="R1185" s="59">
        <f t="shared" si="574"/>
        <v>283833.37298745563</v>
      </c>
      <c r="S1185" s="59">
        <f t="shared" si="574"/>
        <v>678762.64126933995</v>
      </c>
      <c r="T1185" s="59">
        <f t="shared" si="574"/>
        <v>28798.668147993085</v>
      </c>
      <c r="U1185" s="59">
        <f t="shared" si="574"/>
        <v>21279.310078387673</v>
      </c>
      <c r="V1185" s="59"/>
      <c r="W1185" s="59"/>
      <c r="X1185" s="43"/>
      <c r="Y1185" s="43"/>
      <c r="Z1185" s="43"/>
      <c r="AA1185" s="43" t="e">
        <f>SUM(G1185:Z1185)</f>
        <v>#DIV/0!</v>
      </c>
      <c r="AB1185" s="37" t="e">
        <f t="shared" ref="AB1185:AB1194" si="575">IF(ABS(F1185-AA1185)&lt;0.01,"ok","err")</f>
        <v>#DIV/0!</v>
      </c>
    </row>
    <row r="1186" spans="1:29">
      <c r="A1186" s="39" t="s">
        <v>737</v>
      </c>
      <c r="F1186" s="59">
        <f t="shared" ref="F1186:N1186" si="576">F175+F285+F396+F451+F506+F561+(F766*(F1199/F1207))+(F912*(F1199/F1207))+((F806-(F903-F671-F672-F1162-F900-F901))*(F1174/F1182))-((F671+F672)*(F1174/(F1173+F1174+F1175+F1179)))</f>
        <v>68909621.254635453</v>
      </c>
      <c r="G1186" s="59">
        <f t="shared" si="576"/>
        <v>25168770.953254815</v>
      </c>
      <c r="H1186" s="59">
        <f t="shared" si="576"/>
        <v>12677504.268224617</v>
      </c>
      <c r="I1186" s="59">
        <f t="shared" si="576"/>
        <v>1393034.7793882992</v>
      </c>
      <c r="J1186" s="59">
        <f t="shared" si="576"/>
        <v>14967522.561117269</v>
      </c>
      <c r="K1186" s="59">
        <f t="shared" si="576"/>
        <v>8465956.0427409708</v>
      </c>
      <c r="L1186" s="59">
        <f t="shared" si="576"/>
        <v>2978694.5757312514</v>
      </c>
      <c r="M1186" s="59" t="e">
        <f t="shared" si="576"/>
        <v>#DIV/0!</v>
      </c>
      <c r="N1186" s="59" t="e">
        <f t="shared" si="576"/>
        <v>#DIV/0!</v>
      </c>
      <c r="O1186" s="59"/>
      <c r="P1186" s="59">
        <f t="shared" ref="P1186:U1186" si="577">P175+P285+P396+P451+P506+P561+(P766*(P1199/P1207))+(P912*(P1199/P1207))+((P806-(P903-P671-P672-P1162-P900-P901))*(P1174/P1182))-((P671+P672)*(P1174/(P1173+P1174+P1175+P1179)))</f>
        <v>3140060.5081778215</v>
      </c>
      <c r="Q1186" s="59">
        <f t="shared" si="577"/>
        <v>1060454.8174609826</v>
      </c>
      <c r="R1186" s="59">
        <f t="shared" si="577"/>
        <v>187132.38157485699</v>
      </c>
      <c r="S1186" s="59">
        <f t="shared" si="577"/>
        <v>0</v>
      </c>
      <c r="T1186" s="59">
        <f t="shared" si="577"/>
        <v>581.4916250037877</v>
      </c>
      <c r="U1186" s="59">
        <f t="shared" si="577"/>
        <v>16502.184900779379</v>
      </c>
      <c r="V1186" s="59"/>
      <c r="W1186" s="59"/>
      <c r="X1186" s="43"/>
      <c r="Y1186" s="43"/>
      <c r="Z1186" s="43"/>
      <c r="AA1186" s="43" t="e">
        <f t="shared" ref="AA1186:AA1193" si="578">SUM(G1186:Z1186)</f>
        <v>#DIV/0!</v>
      </c>
      <c r="AB1186" s="37" t="e">
        <f t="shared" si="575"/>
        <v>#DIV/0!</v>
      </c>
    </row>
    <row r="1187" spans="1:29">
      <c r="A1187" s="39" t="s">
        <v>738</v>
      </c>
      <c r="F1187" s="59">
        <f t="shared" ref="F1187:N1187" si="579">F176+F286+F397+F452+F507+F562+(F766*(F1200/F1207))+(F912*(F1200/F1207))+F768+((F806-(F903-F671-F672-F1162-F900-F901))*(F1175/F1182))-((F671+F672)*(F1175/(F1173+F1174+F1175+F1179)))</f>
        <v>71949390.739112481</v>
      </c>
      <c r="G1187" s="59">
        <f t="shared" si="579"/>
        <v>31696541.2786588</v>
      </c>
      <c r="H1187" s="59">
        <f t="shared" si="579"/>
        <v>10826474.273463583</v>
      </c>
      <c r="I1187" s="59">
        <f t="shared" si="579"/>
        <v>1308661.2030020372</v>
      </c>
      <c r="J1187" s="59">
        <f t="shared" si="579"/>
        <v>14568484.236014914</v>
      </c>
      <c r="K1187" s="59">
        <f t="shared" si="579"/>
        <v>7460539.9327340284</v>
      </c>
      <c r="L1187" s="59">
        <f t="shared" si="579"/>
        <v>2608979.670128841</v>
      </c>
      <c r="M1187" s="59" t="e">
        <f t="shared" si="579"/>
        <v>#DIV/0!</v>
      </c>
      <c r="N1187" s="59" t="e">
        <f t="shared" si="579"/>
        <v>#DIV/0!</v>
      </c>
      <c r="O1187" s="59"/>
      <c r="P1187" s="59">
        <f t="shared" ref="P1187:U1187" si="580">P176+P286+P397+P452+P507+P562+(P766*(P1200/P1207))+(P912*(P1200/P1207))+P768+((P806-(P903-P671-P672-P1162-P900-P901))*(P1175/P1182))-((P671+P672)*(P1175/(P1173+P1174+P1175+P1179)))</f>
        <v>2187948.5036782562</v>
      </c>
      <c r="Q1187" s="59">
        <f t="shared" si="580"/>
        <v>1154757.6633246406</v>
      </c>
      <c r="R1187" s="59">
        <f t="shared" si="580"/>
        <v>203565.76823949767</v>
      </c>
      <c r="S1187" s="59">
        <f t="shared" si="580"/>
        <v>0</v>
      </c>
      <c r="T1187" s="59">
        <f t="shared" si="580"/>
        <v>729.98635446347112</v>
      </c>
      <c r="U1187" s="59">
        <f t="shared" si="580"/>
        <v>10963.111925869965</v>
      </c>
      <c r="V1187" s="59"/>
      <c r="W1187" s="59"/>
      <c r="X1187" s="43"/>
      <c r="Y1187" s="43"/>
      <c r="Z1187" s="43"/>
      <c r="AA1187" s="43" t="e">
        <f t="shared" si="578"/>
        <v>#DIV/0!</v>
      </c>
      <c r="AB1187" s="37" t="e">
        <f t="shared" si="575"/>
        <v>#DIV/0!</v>
      </c>
    </row>
    <row r="1188" spans="1:29">
      <c r="A1188" s="39" t="s">
        <v>923</v>
      </c>
      <c r="F1188" s="59">
        <f t="shared" ref="F1188:N1188" si="581">F183+F293+F404+F459+F514+F569+(F766*(F1201/F1207))+(F912*(F1201/F1207))+((F806-(F903-F671-F672-F1162-F900-F901))*(F1176/F1182))</f>
        <v>11105660.699615479</v>
      </c>
      <c r="G1188" s="59">
        <f t="shared" si="581"/>
        <v>3744461.1721740812</v>
      </c>
      <c r="H1188" s="59">
        <f t="shared" si="581"/>
        <v>1494295.3967760832</v>
      </c>
      <c r="I1188" s="59">
        <f t="shared" si="581"/>
        <v>262230.83624811179</v>
      </c>
      <c r="J1188" s="59">
        <f t="shared" si="581"/>
        <v>2519964.4397543129</v>
      </c>
      <c r="K1188" s="59">
        <f t="shared" si="581"/>
        <v>1807480.617468538</v>
      </c>
      <c r="L1188" s="59">
        <f t="shared" si="581"/>
        <v>568801.93721858319</v>
      </c>
      <c r="M1188" s="59" t="e">
        <f t="shared" si="581"/>
        <v>#DIV/0!</v>
      </c>
      <c r="N1188" s="59" t="e">
        <f t="shared" si="581"/>
        <v>#DIV/0!</v>
      </c>
      <c r="O1188" s="59"/>
      <c r="P1188" s="59">
        <f t="shared" ref="P1188:U1188" si="582">P183+P293+P404+P459+P514+P569+(P766*(P1201/P1207))+(P912*(P1201/P1207))+((P806-(P903-P671-P672-P1162-P900-P901))*(P1176/P1182))</f>
        <v>508881.2508440105</v>
      </c>
      <c r="Q1188" s="59">
        <f t="shared" si="582"/>
        <v>182634.01804654175</v>
      </c>
      <c r="R1188" s="59">
        <f t="shared" si="582"/>
        <v>45759.049027522226</v>
      </c>
      <c r="S1188" s="59">
        <f t="shared" si="582"/>
        <v>105739.37763284407</v>
      </c>
      <c r="T1188" s="59">
        <f t="shared" si="582"/>
        <v>4308.1325890117823</v>
      </c>
      <c r="U1188" s="59">
        <f t="shared" si="582"/>
        <v>3198.4238057342654</v>
      </c>
      <c r="V1188" s="59"/>
      <c r="W1188" s="59"/>
      <c r="X1188" s="43"/>
      <c r="Y1188" s="43"/>
      <c r="Z1188" s="43"/>
      <c r="AA1188" s="43" t="e">
        <f>SUM(G1188:Z1188)</f>
        <v>#DIV/0!</v>
      </c>
      <c r="AB1188" s="37" t="e">
        <f t="shared" si="575"/>
        <v>#DIV/0!</v>
      </c>
    </row>
    <row r="1189" spans="1:29">
      <c r="A1189" s="39" t="s">
        <v>739</v>
      </c>
      <c r="F1189" s="59">
        <f t="shared" ref="F1189:N1189" si="583">F184+F294+F405+F460+F515+F570+(F766*(F1202/F1207))+(F912*(F1202/F1207))+((F806-(F903-F671-F672-F1162-F900-F901))*(F1177/F1182))</f>
        <v>10469059.225503068</v>
      </c>
      <c r="G1189" s="59">
        <f t="shared" si="583"/>
        <v>3893470.1263183123</v>
      </c>
      <c r="H1189" s="59">
        <f t="shared" si="583"/>
        <v>1859528.1087989642</v>
      </c>
      <c r="I1189" s="59">
        <f t="shared" si="583"/>
        <v>203041.10872663071</v>
      </c>
      <c r="J1189" s="59">
        <f t="shared" si="583"/>
        <v>2205596.4820297146</v>
      </c>
      <c r="K1189" s="59">
        <f t="shared" si="583"/>
        <v>1294160.7400512407</v>
      </c>
      <c r="L1189" s="59">
        <f t="shared" si="583"/>
        <v>460127.32922343345</v>
      </c>
      <c r="M1189" s="59" t="e">
        <f t="shared" si="583"/>
        <v>#DIV/0!</v>
      </c>
      <c r="N1189" s="59" t="e">
        <f t="shared" si="583"/>
        <v>#DIV/0!</v>
      </c>
      <c r="O1189" s="59"/>
      <c r="P1189" s="59">
        <f t="shared" ref="P1189:U1189" si="584">P184+P294+P405+P460+P515+P570+(P766*(P1202/P1207))+(P912*(P1202/P1207))+((P806-(P903-P671-P672-P1162-P900-P901))*(P1177/P1182))</f>
        <v>476377.75155234849</v>
      </c>
      <c r="Q1189" s="59">
        <f t="shared" si="584"/>
        <v>167202.89805903734</v>
      </c>
      <c r="R1189" s="59">
        <f t="shared" si="584"/>
        <v>30169.108491337713</v>
      </c>
      <c r="S1189" s="59">
        <f t="shared" si="584"/>
        <v>0</v>
      </c>
      <c r="T1189" s="59">
        <f t="shared" si="584"/>
        <v>86.988155391165662</v>
      </c>
      <c r="U1189" s="59">
        <f t="shared" si="584"/>
        <v>2480.3896761149363</v>
      </c>
      <c r="V1189" s="59"/>
      <c r="W1189" s="59"/>
      <c r="X1189" s="43"/>
      <c r="Y1189" s="43"/>
      <c r="Z1189" s="43"/>
      <c r="AA1189" s="43" t="e">
        <f t="shared" si="578"/>
        <v>#DIV/0!</v>
      </c>
      <c r="AB1189" s="37" t="e">
        <f t="shared" si="575"/>
        <v>#DIV/0!</v>
      </c>
    </row>
    <row r="1190" spans="1:29">
      <c r="A1190" s="39" t="s">
        <v>740</v>
      </c>
      <c r="F1190" s="59">
        <f t="shared" ref="F1190:N1190" si="585">F185+F295+F406+F461+F516+F571+(F766*(F1203/F1207))+(F912*(F1203/F1207))+((F806-(F903-F671-F672-F1162-F900-F901))*(F1178/F1182))</f>
        <v>10751796.096683336</v>
      </c>
      <c r="G1190" s="59">
        <f t="shared" si="585"/>
        <v>4841835.389217617</v>
      </c>
      <c r="H1190" s="59">
        <f t="shared" si="585"/>
        <v>1568189.6492215095</v>
      </c>
      <c r="I1190" s="59">
        <f t="shared" si="585"/>
        <v>188617.53857040225</v>
      </c>
      <c r="J1190" s="59">
        <f t="shared" si="585"/>
        <v>2121901.7500714031</v>
      </c>
      <c r="K1190" s="59">
        <f t="shared" si="585"/>
        <v>1117812.1166020716</v>
      </c>
      <c r="L1190" s="59">
        <f t="shared" si="585"/>
        <v>397289.31153079873</v>
      </c>
      <c r="M1190" s="59" t="e">
        <f t="shared" si="585"/>
        <v>#DIV/0!</v>
      </c>
      <c r="N1190" s="59" t="e">
        <f t="shared" si="585"/>
        <v>#DIV/0!</v>
      </c>
      <c r="O1190" s="59"/>
      <c r="P1190" s="59">
        <f t="shared" ref="P1190:U1190" si="586">P185+P295+P406+P461+P516+P571+(P766*(P1203/P1207))+(P912*(P1203/P1207))+((P806-(P903-P671-P672-P1162-P900-P901))*(P1178/P1182))</f>
        <v>296909.69383225939</v>
      </c>
      <c r="Q1190" s="59">
        <f t="shared" si="586"/>
        <v>179423.09321188994</v>
      </c>
      <c r="R1190" s="59">
        <f t="shared" si="586"/>
        <v>32325.720577619068</v>
      </c>
      <c r="S1190" s="59">
        <f t="shared" si="586"/>
        <v>0</v>
      </c>
      <c r="T1190" s="59">
        <f t="shared" si="586"/>
        <v>108.15562317437872</v>
      </c>
      <c r="U1190" s="59">
        <f t="shared" si="586"/>
        <v>1622.7351730942523</v>
      </c>
      <c r="V1190" s="59"/>
      <c r="W1190" s="59"/>
      <c r="X1190" s="43"/>
      <c r="Y1190" s="43"/>
      <c r="Z1190" s="43"/>
      <c r="AA1190" s="43" t="e">
        <f t="shared" si="578"/>
        <v>#DIV/0!</v>
      </c>
      <c r="AB1190" s="37" t="e">
        <f t="shared" si="575"/>
        <v>#DIV/0!</v>
      </c>
    </row>
    <row r="1191" spans="1:29">
      <c r="A1191" s="39" t="s">
        <v>363</v>
      </c>
      <c r="E1191" s="39">
        <f>F1191/F1058</f>
        <v>3.3127391277354687E-2</v>
      </c>
      <c r="F1191" s="59">
        <f t="shared" ref="F1191:N1191" si="587">F177+F178+F179+F287+F288+F289+F398+F399+F400+F453+F454+F455+F508+F509+F510+F563+F564+F565+(F766*(F1204/F1207))+(F912*(F1204/F1207))+((F806-(F903-F671-F672-F1162-F900-F901))*(F1179/F1182))-((F671+F672)*(F1179/(F1173+F1174+F1175+F1179)))</f>
        <v>383031645.33581102</v>
      </c>
      <c r="G1191" s="59">
        <f t="shared" si="587"/>
        <v>137270069.26607355</v>
      </c>
      <c r="H1191" s="59">
        <f t="shared" si="587"/>
        <v>48361188.737029053</v>
      </c>
      <c r="I1191" s="59">
        <f t="shared" si="587"/>
        <v>8000825.1268930789</v>
      </c>
      <c r="J1191" s="59">
        <f t="shared" si="587"/>
        <v>79594402.072291911</v>
      </c>
      <c r="K1191" s="59">
        <f t="shared" si="587"/>
        <v>62114935.685822375</v>
      </c>
      <c r="L1191" s="59">
        <f t="shared" si="587"/>
        <v>18666560.516095053</v>
      </c>
      <c r="M1191" s="59" t="e">
        <f t="shared" si="587"/>
        <v>#DIV/0!</v>
      </c>
      <c r="N1191" s="59" t="e">
        <f t="shared" si="587"/>
        <v>#DIV/0!</v>
      </c>
      <c r="O1191" s="59"/>
      <c r="P1191" s="59">
        <f t="shared" ref="P1191:U1191" si="588">P177+P178+P179+P287+P288+P289+P398+P399+P400+P453+P454+P455+P508+P509+P510+P563+P564+P565+(P766*(P1204/P1207))+(P912*(P1204/P1207))+((P806-(P903-P671-P672-P1162-P900-P901))*(P1179/P1182))-((P671+P672)*(P1179/(P1173+P1174+P1175+P1179)))</f>
        <v>17346576.659596492</v>
      </c>
      <c r="Q1191" s="59">
        <f t="shared" si="588"/>
        <v>7099248.7680944372</v>
      </c>
      <c r="R1191" s="59">
        <f t="shared" si="588"/>
        <v>1793694.4539138386</v>
      </c>
      <c r="S1191" s="59">
        <f t="shared" si="588"/>
        <v>3428720.4657983747</v>
      </c>
      <c r="T1191" s="59">
        <f t="shared" si="588"/>
        <v>122643.97227772676</v>
      </c>
      <c r="U1191" s="59">
        <f t="shared" si="588"/>
        <v>104979.18664076515</v>
      </c>
      <c r="V1191" s="59"/>
      <c r="W1191" s="59"/>
      <c r="X1191" s="43"/>
      <c r="Y1191" s="43"/>
      <c r="Z1191" s="43"/>
      <c r="AA1191" s="43" t="e">
        <f t="shared" si="578"/>
        <v>#DIV/0!</v>
      </c>
      <c r="AB1191" s="37" t="e">
        <f t="shared" si="575"/>
        <v>#DIV/0!</v>
      </c>
      <c r="AC1191" s="43"/>
    </row>
    <row r="1192" spans="1:29">
      <c r="A1192" s="39" t="s">
        <v>169</v>
      </c>
      <c r="F1192" s="59">
        <f t="shared" ref="F1192:N1192" si="589">F189+F192+F195+F196+F198+F203+F299+F302+F305+F306+F308+F313+F410+F413+F416+F417+F419+F424+F465+F468+F471+F472+F474+F479+F520+F523+F526+F527+F529+F534+F575+F578+F581+F582+F584+F589+(F766*(F1205/F1207))+(F912*(F1205/F1207))+((F806-(F903-F671-F672-F1162-F900-F901))*(F1180/F1182))</f>
        <v>43882804.475157037</v>
      </c>
      <c r="G1192" s="59">
        <f t="shared" si="589"/>
        <v>21124233.906687111</v>
      </c>
      <c r="H1192" s="59">
        <f t="shared" si="589"/>
        <v>6871827.5670556901</v>
      </c>
      <c r="I1192" s="59">
        <f t="shared" si="589"/>
        <v>566639.42260738194</v>
      </c>
      <c r="J1192" s="59">
        <f t="shared" si="589"/>
        <v>8064366.3569820626</v>
      </c>
      <c r="K1192" s="59">
        <f t="shared" si="589"/>
        <v>4285700.7260680217</v>
      </c>
      <c r="L1192" s="59">
        <f t="shared" si="589"/>
        <v>1575096.7706939718</v>
      </c>
      <c r="M1192" s="59" t="e">
        <f t="shared" si="589"/>
        <v>#DIV/0!</v>
      </c>
      <c r="N1192" s="59" t="e">
        <f t="shared" si="589"/>
        <v>#DIV/0!</v>
      </c>
      <c r="O1192" s="59"/>
      <c r="P1192" s="59">
        <f t="shared" ref="P1192:U1192" si="590">P189+P192+P195+P196+P198+P203+P299+P302+P305+P306+P308+P313+P410+P413+P416+P417+P419+P424+P465+P468+P471+P472+P474+P479+P520+P523+P526+P527+P529+P534+P575+P578+P581+P582+P584+P589+(P766*(P1205/P1207))+(P912*(P1205/P1207))+((P806-(P903-P671-P672-P1162-P900-P901))*(P1180/P1182))</f>
        <v>0</v>
      </c>
      <c r="Q1192" s="59">
        <f t="shared" si="590"/>
        <v>513776.62349133776</v>
      </c>
      <c r="R1192" s="59">
        <f t="shared" si="590"/>
        <v>107074.54224590544</v>
      </c>
      <c r="S1192" s="59">
        <f t="shared" si="590"/>
        <v>350508.403493463</v>
      </c>
      <c r="T1192" s="59">
        <f t="shared" si="590"/>
        <v>14874.452695131391</v>
      </c>
      <c r="U1192" s="59">
        <f t="shared" si="590"/>
        <v>5324.543815483763</v>
      </c>
      <c r="V1192" s="59"/>
      <c r="W1192" s="59"/>
      <c r="X1192" s="43"/>
      <c r="Y1192" s="43"/>
      <c r="Z1192" s="43"/>
      <c r="AA1192" s="43" t="e">
        <f t="shared" si="578"/>
        <v>#DIV/0!</v>
      </c>
      <c r="AB1192" s="37" t="e">
        <f t="shared" si="575"/>
        <v>#DIV/0!</v>
      </c>
    </row>
    <row r="1193" spans="1:29">
      <c r="A1193" s="39" t="s">
        <v>170</v>
      </c>
      <c r="F1193" s="57">
        <f t="shared" ref="F1193:N1193" si="591">F197+F199+F204+F208+F211+F214+F217+F220+F223+F307+F309+F314+F318+F321+F324+F327+F330+F333+F418+F420+F425+F429+F432+F435+F438+F441+F444+F473+F475+F480+F484+F487+F490+F493+F496+F499+F528+F530+F535+F539+F542+F545+F548+F551+F554+F583+F585+F590+F594+F597+F600+F603+F606+F609+(F766*(F1206/F1207))+(F912*(F1206/F1207))+((F806-(F903-F671-F672-F1162-F900-F901))*(F1181/F1182))</f>
        <v>91580763.279265344</v>
      </c>
      <c r="G1193" s="57">
        <f t="shared" si="591"/>
        <v>64027914.089737609</v>
      </c>
      <c r="H1193" s="57">
        <f t="shared" si="591"/>
        <v>13811841.610736737</v>
      </c>
      <c r="I1193" s="57">
        <f t="shared" si="591"/>
        <v>166028.99002832436</v>
      </c>
      <c r="J1193" s="57">
        <f t="shared" si="591"/>
        <v>2051854.3797141758</v>
      </c>
      <c r="K1193" s="57">
        <f t="shared" si="591"/>
        <v>280573.01656528562</v>
      </c>
      <c r="L1193" s="57">
        <f t="shared" si="591"/>
        <v>289653.04600401007</v>
      </c>
      <c r="M1193" s="57" t="e">
        <f t="shared" si="591"/>
        <v>#DIV/0!</v>
      </c>
      <c r="N1193" s="57" t="e">
        <f t="shared" si="591"/>
        <v>#DIV/0!</v>
      </c>
      <c r="O1193" s="57"/>
      <c r="P1193" s="57">
        <f t="shared" ref="P1193:U1193" si="592">P197+P199+P204+P208+P211+P214+P217+P220+P223+P307+P309+P314+P318+P321+P324+P327+P330+P333+P418+P420+P425+P429+P432+P435+P438+P441+P444+P473+P475+P480+P484+P487+P490+P493+P496+P499+P528+P530+P535+P539+P542+P545+P548+P551+P554+P583+P585+P590+P594+P597+P600+P603+P606+P609+(P766*(P1206/P1207))+(P912*(P1206/P1207))+((P806-(P903-P671-P672-P1162-P900-P901))*(P1181/P1182))</f>
        <v>140541.83551420039</v>
      </c>
      <c r="Q1193" s="57">
        <f t="shared" si="592"/>
        <v>10708.017597380018</v>
      </c>
      <c r="R1193" s="57">
        <f t="shared" si="592"/>
        <v>20302.148430971232</v>
      </c>
      <c r="S1193" s="57">
        <f t="shared" si="592"/>
        <v>7544727.7192347562</v>
      </c>
      <c r="T1193" s="57">
        <f t="shared" si="592"/>
        <v>9121.2071948195826</v>
      </c>
      <c r="U1193" s="57">
        <f t="shared" si="592"/>
        <v>49726.922773836559</v>
      </c>
      <c r="V1193" s="57"/>
      <c r="W1193" s="57"/>
      <c r="X1193" s="41"/>
      <c r="Y1193" s="41"/>
      <c r="Z1193" s="41"/>
      <c r="AA1193" s="43" t="e">
        <f t="shared" si="578"/>
        <v>#DIV/0!</v>
      </c>
      <c r="AB1193" s="37" t="e">
        <f t="shared" si="575"/>
        <v>#DIV/0!</v>
      </c>
    </row>
    <row r="1194" spans="1:29">
      <c r="A1194" s="39" t="s">
        <v>1026</v>
      </c>
      <c r="F1194" s="59">
        <f>SUM(F1185:F1193)</f>
        <v>764780611.50566792</v>
      </c>
      <c r="G1194" s="59">
        <f t="shared" ref="G1194:U1194" si="593">SUM(G1185:G1193)</f>
        <v>315972820.43894279</v>
      </c>
      <c r="H1194" s="59">
        <f t="shared" si="593"/>
        <v>107658346.20303711</v>
      </c>
      <c r="I1194" s="59">
        <f t="shared" si="593"/>
        <v>13888205.681892749</v>
      </c>
      <c r="J1194" s="59">
        <f t="shared" si="593"/>
        <v>143194964.95008212</v>
      </c>
      <c r="K1194" s="59">
        <f t="shared" si="593"/>
        <v>98651077.640252888</v>
      </c>
      <c r="L1194" s="59">
        <f t="shared" si="593"/>
        <v>31227417.051457848</v>
      </c>
      <c r="M1194" s="59" t="e">
        <f t="shared" si="593"/>
        <v>#DIV/0!</v>
      </c>
      <c r="N1194" s="59" t="e">
        <f t="shared" si="593"/>
        <v>#DIV/0!</v>
      </c>
      <c r="O1194" s="59"/>
      <c r="P1194" s="59">
        <f t="shared" si="593"/>
        <v>27451604.656771049</v>
      </c>
      <c r="Q1194" s="59">
        <f t="shared" si="593"/>
        <v>11526529.86686082</v>
      </c>
      <c r="R1194" s="59">
        <f t="shared" si="593"/>
        <v>2703856.5454890048</v>
      </c>
      <c r="S1194" s="59">
        <f t="shared" si="593"/>
        <v>12108458.607428778</v>
      </c>
      <c r="T1194" s="59">
        <f t="shared" si="593"/>
        <v>181253.05466271541</v>
      </c>
      <c r="U1194" s="59">
        <f t="shared" si="593"/>
        <v>216076.80879006596</v>
      </c>
      <c r="V1194" s="59"/>
      <c r="W1194" s="59"/>
      <c r="X1194" s="43"/>
      <c r="Y1194" s="43"/>
      <c r="Z1194" s="43"/>
      <c r="AA1194" s="43" t="e">
        <f>SUM(AA1185:AA1193)</f>
        <v>#DIV/0!</v>
      </c>
      <c r="AB1194" s="37" t="e">
        <f t="shared" si="575"/>
        <v>#DIV/0!</v>
      </c>
    </row>
    <row r="1195" spans="1:29">
      <c r="F1195" s="59">
        <f>F1182+F806+F912-E750-E683-5857345</f>
        <v>884354885.12566793</v>
      </c>
    </row>
    <row r="1196" spans="1:29">
      <c r="F1196" s="59">
        <f>F1195-F1194</f>
        <v>119574273.62</v>
      </c>
    </row>
    <row r="1197" spans="1:29">
      <c r="A1197" s="44" t="s">
        <v>1069</v>
      </c>
      <c r="F1197" s="59"/>
      <c r="G1197" s="59"/>
    </row>
    <row r="1198" spans="1:29">
      <c r="A1198" s="39" t="s">
        <v>921</v>
      </c>
      <c r="F1198" s="59">
        <f t="shared" ref="F1198:N1198" si="594">F119+(F$818*(F119/(SUM(F$119:F$121)))+(F$819+F$820)*(F119/F$170))</f>
        <v>399327874.6955809</v>
      </c>
      <c r="G1198" s="59">
        <f t="shared" si="594"/>
        <v>145945482.37438226</v>
      </c>
      <c r="H1198" s="59">
        <f t="shared" si="594"/>
        <v>48135940.631553434</v>
      </c>
      <c r="I1198" s="59">
        <f t="shared" si="594"/>
        <v>7882835.0623178398</v>
      </c>
      <c r="J1198" s="59">
        <f t="shared" si="594"/>
        <v>80308689.1918917</v>
      </c>
      <c r="K1198" s="59">
        <f t="shared" si="594"/>
        <v>64586638.44791469</v>
      </c>
      <c r="L1198" s="59">
        <f t="shared" si="594"/>
        <v>21835893.523179982</v>
      </c>
      <c r="M1198" s="59" t="e">
        <f t="shared" si="594"/>
        <v>#DIV/0!</v>
      </c>
      <c r="N1198" s="59" t="e">
        <f t="shared" si="594"/>
        <v>#DIV/0!</v>
      </c>
      <c r="O1198" s="59"/>
      <c r="P1198" s="59">
        <f t="shared" ref="P1198:U1200" si="595">P119+(P$818*(P119/(SUM(P$119:P$121)))+(P$819+P$820)*(P119/P$170))</f>
        <v>17485689.878181227</v>
      </c>
      <c r="Q1198" s="59">
        <f t="shared" si="595"/>
        <v>7340049.5116200997</v>
      </c>
      <c r="R1198" s="59">
        <f t="shared" si="595"/>
        <v>1972495.1908995758</v>
      </c>
      <c r="S1198" s="59">
        <f t="shared" si="595"/>
        <v>3613860.4967515897</v>
      </c>
      <c r="T1198" s="59">
        <f t="shared" si="595"/>
        <v>130410.38480899055</v>
      </c>
      <c r="U1198" s="59">
        <f t="shared" si="595"/>
        <v>106760.89717113842</v>
      </c>
      <c r="V1198" s="59"/>
      <c r="W1198" s="59"/>
      <c r="X1198" s="59"/>
      <c r="Y1198" s="59"/>
      <c r="Z1198" s="59"/>
      <c r="AA1198" s="43" t="e">
        <f>SUM(G1198:Z1198)</f>
        <v>#DIV/0!</v>
      </c>
      <c r="AB1198" s="37" t="e">
        <f t="shared" ref="AB1198:AB1207" si="596">IF(ABS(F1198-AA1198)&lt;0.01,"ok","err")</f>
        <v>#DIV/0!</v>
      </c>
    </row>
    <row r="1199" spans="1:29">
      <c r="A1199" s="39" t="s">
        <v>737</v>
      </c>
      <c r="F1199" s="59">
        <f t="shared" ref="F1199:N1199" si="597">F120+(F$818*(F120/(SUM(F$119:F$121)))+(F$819+F$820)*(F120/F$170))</f>
        <v>376437501.88829869</v>
      </c>
      <c r="G1199" s="59">
        <f t="shared" si="597"/>
        <v>151753309.63996863</v>
      </c>
      <c r="H1199" s="59">
        <f t="shared" si="597"/>
        <v>59901231.604519688</v>
      </c>
      <c r="I1199" s="59">
        <f t="shared" si="597"/>
        <v>6103552.0988378758</v>
      </c>
      <c r="J1199" s="59">
        <f t="shared" si="597"/>
        <v>70290103.925166324</v>
      </c>
      <c r="K1199" s="59">
        <f t="shared" si="597"/>
        <v>46244198.141521774</v>
      </c>
      <c r="L1199" s="59">
        <f t="shared" si="597"/>
        <v>17663954.20022459</v>
      </c>
      <c r="M1199" s="59" t="e">
        <f t="shared" si="597"/>
        <v>#DIV/0!</v>
      </c>
      <c r="N1199" s="59" t="e">
        <f t="shared" si="597"/>
        <v>#DIV/0!</v>
      </c>
      <c r="O1199" s="59"/>
      <c r="P1199" s="59">
        <f t="shared" si="595"/>
        <v>16368835.783778954</v>
      </c>
      <c r="Q1199" s="59">
        <f t="shared" si="595"/>
        <v>6719873.7856544796</v>
      </c>
      <c r="R1199" s="59">
        <f t="shared" si="595"/>
        <v>1300473.2982343952</v>
      </c>
      <c r="S1199" s="59">
        <f t="shared" si="595"/>
        <v>0</v>
      </c>
      <c r="T1199" s="59">
        <f t="shared" si="595"/>
        <v>2633.1963058240867</v>
      </c>
      <c r="U1199" s="59">
        <f t="shared" si="595"/>
        <v>82793.476799822587</v>
      </c>
      <c r="V1199" s="59"/>
      <c r="W1199" s="59"/>
      <c r="X1199" s="59"/>
      <c r="Y1199" s="59"/>
      <c r="Z1199" s="59"/>
      <c r="AA1199" s="43" t="e">
        <f t="shared" ref="AA1199:AA1204" si="598">SUM(G1199:Z1199)</f>
        <v>#DIV/0!</v>
      </c>
      <c r="AB1199" s="37" t="e">
        <f t="shared" si="596"/>
        <v>#DIV/0!</v>
      </c>
    </row>
    <row r="1200" spans="1:29">
      <c r="A1200" s="39" t="s">
        <v>738</v>
      </c>
      <c r="F1200" s="59">
        <f t="shared" ref="F1200:N1200" si="599">F121+(F$818*(F121/(SUM(F$119:F$121)))+(F$819+F$820)*(F121/F$170))</f>
        <v>386603913.13751006</v>
      </c>
      <c r="G1200" s="59">
        <f t="shared" si="599"/>
        <v>188717139.5200859</v>
      </c>
      <c r="H1200" s="59">
        <f t="shared" si="599"/>
        <v>50516306.224862628</v>
      </c>
      <c r="I1200" s="59">
        <f t="shared" si="599"/>
        <v>5669969.8924960466</v>
      </c>
      <c r="J1200" s="59">
        <f t="shared" si="599"/>
        <v>67622838.423398361</v>
      </c>
      <c r="K1200" s="59">
        <f t="shared" si="599"/>
        <v>39942739.263666242</v>
      </c>
      <c r="L1200" s="59">
        <f t="shared" si="599"/>
        <v>15251648.309963917</v>
      </c>
      <c r="M1200" s="59" t="e">
        <f t="shared" si="599"/>
        <v>#DIV/0!</v>
      </c>
      <c r="N1200" s="59" t="e">
        <f t="shared" si="599"/>
        <v>#DIV/0!</v>
      </c>
      <c r="O1200" s="59"/>
      <c r="P1200" s="59">
        <f t="shared" si="595"/>
        <v>10202126.369493721</v>
      </c>
      <c r="Q1200" s="59">
        <f t="shared" si="595"/>
        <v>7211002.6477525588</v>
      </c>
      <c r="R1200" s="59">
        <f t="shared" si="595"/>
        <v>1393436.4838606375</v>
      </c>
      <c r="S1200" s="59">
        <f t="shared" si="595"/>
        <v>0</v>
      </c>
      <c r="T1200" s="59">
        <f t="shared" si="595"/>
        <v>3273.9513341353049</v>
      </c>
      <c r="U1200" s="59">
        <f t="shared" si="595"/>
        <v>54165.637036625645</v>
      </c>
      <c r="V1200" s="59"/>
      <c r="W1200" s="59"/>
      <c r="X1200" s="59"/>
      <c r="Y1200" s="59"/>
      <c r="Z1200" s="59"/>
      <c r="AA1200" s="43" t="e">
        <f t="shared" si="598"/>
        <v>#DIV/0!</v>
      </c>
      <c r="AB1200" s="37" t="e">
        <f t="shared" si="596"/>
        <v>#DIV/0!</v>
      </c>
    </row>
    <row r="1201" spans="1:28">
      <c r="A1201" s="39" t="s">
        <v>922</v>
      </c>
      <c r="F1201" s="59">
        <f t="shared" ref="F1201:N1201" si="600">F128+(F$819+F$820)*(F128/F$170)</f>
        <v>41671005.199651323</v>
      </c>
      <c r="G1201" s="59">
        <f t="shared" si="600"/>
        <v>15229896.475298367</v>
      </c>
      <c r="H1201" s="59">
        <f t="shared" si="600"/>
        <v>5023148.1741568558</v>
      </c>
      <c r="I1201" s="59">
        <f t="shared" si="600"/>
        <v>822592.64718965627</v>
      </c>
      <c r="J1201" s="59">
        <f t="shared" si="600"/>
        <v>8380401.3006146783</v>
      </c>
      <c r="K1201" s="59">
        <f t="shared" si="600"/>
        <v>6739760.9333880208</v>
      </c>
      <c r="L1201" s="59">
        <f t="shared" si="600"/>
        <v>2278626.1002746536</v>
      </c>
      <c r="M1201" s="59" t="e">
        <f t="shared" si="600"/>
        <v>#DIV/0!</v>
      </c>
      <c r="N1201" s="59" t="e">
        <f t="shared" si="600"/>
        <v>#DIV/0!</v>
      </c>
      <c r="O1201" s="59"/>
      <c r="P1201" s="59">
        <f t="shared" ref="P1201:U1203" si="601">P128+(P$819+P$820)*(P128/P$170)</f>
        <v>1824670.679662633</v>
      </c>
      <c r="Q1201" s="59">
        <f t="shared" si="601"/>
        <v>765950.71760369977</v>
      </c>
      <c r="R1201" s="59">
        <f t="shared" si="601"/>
        <v>205834.43234626492</v>
      </c>
      <c r="S1201" s="59">
        <f t="shared" si="601"/>
        <v>377104.76097315422</v>
      </c>
      <c r="T1201" s="59">
        <f t="shared" si="601"/>
        <v>13608.654375074311</v>
      </c>
      <c r="U1201" s="59">
        <f t="shared" si="601"/>
        <v>11140.936859781978</v>
      </c>
      <c r="V1201" s="59"/>
      <c r="W1201" s="59"/>
      <c r="X1201" s="59"/>
      <c r="Y1201" s="59"/>
      <c r="Z1201" s="59"/>
      <c r="AA1201" s="43" t="e">
        <f>SUM(G1201:Z1201)</f>
        <v>#DIV/0!</v>
      </c>
      <c r="AB1201" s="37" t="e">
        <f t="shared" si="596"/>
        <v>#DIV/0!</v>
      </c>
    </row>
    <row r="1202" spans="1:28">
      <c r="A1202" s="39" t="s">
        <v>741</v>
      </c>
      <c r="F1202" s="59">
        <f t="shared" ref="F1202:N1202" si="602">F129+(F$819+F$820)*(F129/F$170)</f>
        <v>39282329.365284935</v>
      </c>
      <c r="G1202" s="59">
        <f t="shared" si="602"/>
        <v>15835962.566295236</v>
      </c>
      <c r="H1202" s="59">
        <f t="shared" si="602"/>
        <v>6250896.070923618</v>
      </c>
      <c r="I1202" s="59">
        <f t="shared" si="602"/>
        <v>636920.22458310181</v>
      </c>
      <c r="J1202" s="59">
        <f t="shared" si="602"/>
        <v>7334938.2773175472</v>
      </c>
      <c r="K1202" s="59">
        <f t="shared" si="602"/>
        <v>4825686.0477640517</v>
      </c>
      <c r="L1202" s="59">
        <f t="shared" si="602"/>
        <v>1843274.5622230093</v>
      </c>
      <c r="M1202" s="59" t="e">
        <f t="shared" si="602"/>
        <v>#DIV/0!</v>
      </c>
      <c r="N1202" s="59" t="e">
        <f t="shared" si="602"/>
        <v>#DIV/0!</v>
      </c>
      <c r="O1202" s="59"/>
      <c r="P1202" s="59">
        <f t="shared" si="601"/>
        <v>1708124.4676621619</v>
      </c>
      <c r="Q1202" s="59">
        <f t="shared" si="601"/>
        <v>701233.98216591426</v>
      </c>
      <c r="R1202" s="59">
        <f t="shared" si="601"/>
        <v>135707.39455211163</v>
      </c>
      <c r="S1202" s="59">
        <f t="shared" si="601"/>
        <v>0</v>
      </c>
      <c r="T1202" s="59">
        <f t="shared" si="601"/>
        <v>274.78071228888837</v>
      </c>
      <c r="U1202" s="59">
        <f t="shared" si="601"/>
        <v>8639.8383853035484</v>
      </c>
      <c r="V1202" s="59"/>
      <c r="W1202" s="59"/>
      <c r="X1202" s="59"/>
      <c r="Y1202" s="59"/>
      <c r="Z1202" s="59"/>
      <c r="AA1202" s="43" t="e">
        <f t="shared" si="598"/>
        <v>#DIV/0!</v>
      </c>
      <c r="AB1202" s="37" t="e">
        <f t="shared" si="596"/>
        <v>#DIV/0!</v>
      </c>
    </row>
    <row r="1203" spans="1:28">
      <c r="A1203" s="39" t="s">
        <v>742</v>
      </c>
      <c r="F1203" s="59">
        <f t="shared" ref="F1203:N1203" si="603">F130+(F$819+F$820)*(F130/F$170)</f>
        <v>40343223.439736016</v>
      </c>
      <c r="G1203" s="59">
        <f t="shared" si="603"/>
        <v>19693261.149615709</v>
      </c>
      <c r="H1203" s="59">
        <f t="shared" si="603"/>
        <v>5271547.3729048092</v>
      </c>
      <c r="I1203" s="59">
        <f t="shared" si="603"/>
        <v>591674.88682460983</v>
      </c>
      <c r="J1203" s="59">
        <f t="shared" si="603"/>
        <v>7056602.8256369652</v>
      </c>
      <c r="K1203" s="59">
        <f t="shared" si="603"/>
        <v>4168114.6461718869</v>
      </c>
      <c r="L1203" s="59">
        <f t="shared" si="603"/>
        <v>1591544.8513431158</v>
      </c>
      <c r="M1203" s="59" t="e">
        <f t="shared" si="603"/>
        <v>#DIV/0!</v>
      </c>
      <c r="N1203" s="59" t="e">
        <f t="shared" si="603"/>
        <v>#DIV/0!</v>
      </c>
      <c r="O1203" s="59"/>
      <c r="P1203" s="59">
        <f t="shared" si="601"/>
        <v>1064614.6069339113</v>
      </c>
      <c r="Q1203" s="59">
        <f t="shared" si="601"/>
        <v>752484.38637155062</v>
      </c>
      <c r="R1203" s="59">
        <f t="shared" si="601"/>
        <v>145408.31784498488</v>
      </c>
      <c r="S1203" s="59">
        <f t="shared" si="601"/>
        <v>0</v>
      </c>
      <c r="T1203" s="59">
        <f t="shared" si="601"/>
        <v>341.64512444555885</v>
      </c>
      <c r="U1203" s="59">
        <f t="shared" si="601"/>
        <v>5652.4060605033183</v>
      </c>
      <c r="V1203" s="59"/>
      <c r="W1203" s="59"/>
      <c r="X1203" s="59"/>
      <c r="Y1203" s="59"/>
      <c r="Z1203" s="59"/>
      <c r="AA1203" s="43" t="e">
        <f t="shared" si="598"/>
        <v>#DIV/0!</v>
      </c>
      <c r="AB1203" s="37" t="e">
        <f t="shared" si="596"/>
        <v>#DIV/0!</v>
      </c>
    </row>
    <row r="1204" spans="1:28">
      <c r="A1204" s="39" t="s">
        <v>363</v>
      </c>
      <c r="F1204" s="59">
        <f t="shared" ref="F1204:N1204" si="604">F122+F123+F124+(F$819+F$820)*((F122+F123+F124)/F$170)</f>
        <v>55573963.40167316</v>
      </c>
      <c r="G1204" s="59">
        <f t="shared" si="604"/>
        <v>20376132.415934842</v>
      </c>
      <c r="H1204" s="59">
        <f t="shared" si="604"/>
        <v>6803528.4031578666</v>
      </c>
      <c r="I1204" s="59">
        <f t="shared" si="604"/>
        <v>1110351.2418948344</v>
      </c>
      <c r="J1204" s="59">
        <f t="shared" si="604"/>
        <v>11191150.782122595</v>
      </c>
      <c r="K1204" s="59">
        <f t="shared" si="604"/>
        <v>8963854.0953235831</v>
      </c>
      <c r="L1204" s="59">
        <f t="shared" si="604"/>
        <v>2866125.0999325039</v>
      </c>
      <c r="M1204" s="59" t="e">
        <f t="shared" si="604"/>
        <v>#DIV/0!</v>
      </c>
      <c r="N1204" s="59" t="e">
        <f t="shared" si="604"/>
        <v>#DIV/0!</v>
      </c>
      <c r="O1204" s="59"/>
      <c r="P1204" s="59">
        <f t="shared" ref="P1204:U1204" si="605">P122+P123+P124+(P$819+P$820)*((P122+P123+P124)/P$170)</f>
        <v>2433447.1221618825</v>
      </c>
      <c r="Q1204" s="59">
        <f t="shared" si="605"/>
        <v>1021499.5482488181</v>
      </c>
      <c r="R1204" s="59">
        <f t="shared" si="605"/>
        <v>274508.42462465336</v>
      </c>
      <c r="S1204" s="59">
        <f t="shared" si="605"/>
        <v>502920.53967527254</v>
      </c>
      <c r="T1204" s="59">
        <f t="shared" si="605"/>
        <v>17795.914695351868</v>
      </c>
      <c r="U1204" s="59">
        <f t="shared" si="605"/>
        <v>14858.10472237925</v>
      </c>
      <c r="V1204" s="59"/>
      <c r="W1204" s="59"/>
      <c r="X1204" s="59"/>
      <c r="Y1204" s="59"/>
      <c r="Z1204" s="59"/>
      <c r="AA1204" s="43" t="e">
        <f t="shared" si="598"/>
        <v>#DIV/0!</v>
      </c>
      <c r="AB1204" s="37" t="e">
        <f t="shared" si="596"/>
        <v>#DIV/0!</v>
      </c>
    </row>
    <row r="1205" spans="1:28">
      <c r="A1205" s="39" t="s">
        <v>169</v>
      </c>
      <c r="F1205" s="59">
        <f t="shared" ref="F1205:N1205" si="606">F134+F137+F140+F141+F143+F148+(F$819+F$820)*((F134+F137+F140+F141+F143+F148)/F$170)</f>
        <v>228661441.89436698</v>
      </c>
      <c r="G1205" s="59">
        <f t="shared" si="606"/>
        <v>125463802.56454672</v>
      </c>
      <c r="H1205" s="59">
        <f t="shared" si="606"/>
        <v>30912554.442319166</v>
      </c>
      <c r="I1205" s="59">
        <f t="shared" si="606"/>
        <v>2188918.9119876255</v>
      </c>
      <c r="J1205" s="59">
        <f t="shared" si="606"/>
        <v>35504385.273663901</v>
      </c>
      <c r="K1205" s="59">
        <f t="shared" si="606"/>
        <v>20494315.604383145</v>
      </c>
      <c r="L1205" s="59">
        <f t="shared" si="606"/>
        <v>8795486.1977302581</v>
      </c>
      <c r="M1205" s="59" t="e">
        <f t="shared" si="606"/>
        <v>#DIV/0!</v>
      </c>
      <c r="N1205" s="59" t="e">
        <f t="shared" si="606"/>
        <v>#DIV/0!</v>
      </c>
      <c r="O1205" s="59"/>
      <c r="P1205" s="59">
        <f t="shared" ref="P1205:U1205" si="607">P134+P137+P140+P141+P143+P148+(P$819+P$820)*((P134+P137+P140+P141+P143+P148)/P$170)</f>
        <v>0</v>
      </c>
      <c r="Q1205" s="59">
        <f t="shared" si="607"/>
        <v>2870760.9650343969</v>
      </c>
      <c r="R1205" s="59">
        <f t="shared" si="607"/>
        <v>648153.47311609355</v>
      </c>
      <c r="S1205" s="59">
        <f t="shared" si="607"/>
        <v>1680127.4630388769</v>
      </c>
      <c r="T1205" s="59">
        <f t="shared" si="607"/>
        <v>60844.315541077834</v>
      </c>
      <c r="U1205" s="59">
        <f t="shared" si="607"/>
        <v>24786.408950460725</v>
      </c>
      <c r="V1205" s="59"/>
      <c r="W1205" s="59"/>
      <c r="X1205" s="59"/>
      <c r="Y1205" s="59"/>
      <c r="Z1205" s="59"/>
      <c r="AA1205" s="43" t="e">
        <f>SUM(G1205:Z1205)</f>
        <v>#DIV/0!</v>
      </c>
      <c r="AB1205" s="37" t="e">
        <f t="shared" si="596"/>
        <v>#DIV/0!</v>
      </c>
    </row>
    <row r="1206" spans="1:28">
      <c r="A1206" s="39" t="s">
        <v>170</v>
      </c>
      <c r="F1206" s="57">
        <f t="shared" ref="F1206:N1206" si="608">F142+F144+F149+F153+F156+F159+F162+F165+F168+(F$819+F$820)*((F142+F144+F149+F153+F156+F159+F162+F165+F168)/F$170)</f>
        <v>326542502.07329816</v>
      </c>
      <c r="G1206" s="57">
        <f t="shared" si="608"/>
        <v>236849934.20135611</v>
      </c>
      <c r="H1206" s="57">
        <f t="shared" si="608"/>
        <v>33211011.943312827</v>
      </c>
      <c r="I1206" s="57">
        <f t="shared" si="608"/>
        <v>247783.34990265305</v>
      </c>
      <c r="J1206" s="57">
        <f t="shared" si="608"/>
        <v>3455378.107118018</v>
      </c>
      <c r="K1206" s="57">
        <f t="shared" si="608"/>
        <v>286628.33475000702</v>
      </c>
      <c r="L1206" s="57">
        <f t="shared" si="608"/>
        <v>220301.87467270941</v>
      </c>
      <c r="M1206" s="57" t="e">
        <f t="shared" si="608"/>
        <v>#DIV/0!</v>
      </c>
      <c r="N1206" s="57" t="e">
        <f t="shared" si="608"/>
        <v>#DIV/0!</v>
      </c>
      <c r="O1206" s="57"/>
      <c r="P1206" s="57">
        <f t="shared" ref="P1206:U1206" si="609">P142+P144+P149+P153+P156+P159+P162+P165+P168+(P$819+P$820)*((P142+P144+P149+P153+P156+P159+P162+P165+P168)/P$170)</f>
        <v>213932.25440258393</v>
      </c>
      <c r="Q1206" s="57">
        <f t="shared" si="609"/>
        <v>19732.045573619911</v>
      </c>
      <c r="R1206" s="57">
        <f t="shared" si="609"/>
        <v>39462.855082042763</v>
      </c>
      <c r="S1206" s="57">
        <f t="shared" si="609"/>
        <v>51855882.540784866</v>
      </c>
      <c r="T1206" s="57">
        <f t="shared" si="609"/>
        <v>24334.95768582639</v>
      </c>
      <c r="U1206" s="57">
        <f t="shared" si="609"/>
        <v>143072.73215726999</v>
      </c>
      <c r="V1206" s="57"/>
      <c r="W1206" s="57"/>
      <c r="X1206" s="57"/>
      <c r="Y1206" s="57"/>
      <c r="Z1206" s="57"/>
      <c r="AA1206" s="43" t="e">
        <f>SUM(G1206:Z1206)</f>
        <v>#DIV/0!</v>
      </c>
      <c r="AB1206" s="37" t="e">
        <f t="shared" si="596"/>
        <v>#DIV/0!</v>
      </c>
    </row>
    <row r="1207" spans="1:28">
      <c r="A1207" s="39" t="s">
        <v>1026</v>
      </c>
      <c r="F1207" s="59">
        <f>SUM(F1198:F1206)</f>
        <v>1894443755.0954003</v>
      </c>
      <c r="G1207" s="59">
        <f t="shared" ref="G1207:U1207" si="610">SUM(G1198:G1206)</f>
        <v>919864920.90748382</v>
      </c>
      <c r="H1207" s="59">
        <f t="shared" si="610"/>
        <v>246026164.86771086</v>
      </c>
      <c r="I1207" s="59">
        <f t="shared" si="610"/>
        <v>25254598.316034243</v>
      </c>
      <c r="J1207" s="59">
        <f t="shared" si="610"/>
        <v>291144488.10693008</v>
      </c>
      <c r="K1207" s="59">
        <f t="shared" si="610"/>
        <v>196251935.51488343</v>
      </c>
      <c r="L1207" s="59">
        <f t="shared" si="610"/>
        <v>72346854.719544739</v>
      </c>
      <c r="M1207" s="59" t="e">
        <f t="shared" si="610"/>
        <v>#DIV/0!</v>
      </c>
      <c r="N1207" s="59" t="e">
        <f t="shared" si="610"/>
        <v>#DIV/0!</v>
      </c>
      <c r="O1207" s="59"/>
      <c r="P1207" s="59">
        <f t="shared" si="610"/>
        <v>51301441.16227708</v>
      </c>
      <c r="Q1207" s="59">
        <f t="shared" si="610"/>
        <v>27402587.590025131</v>
      </c>
      <c r="R1207" s="59">
        <f t="shared" si="610"/>
        <v>6115479.8705607597</v>
      </c>
      <c r="S1207" s="59">
        <f t="shared" si="610"/>
        <v>58029895.801223755</v>
      </c>
      <c r="T1207" s="59">
        <f t="shared" si="610"/>
        <v>253517.80058301485</v>
      </c>
      <c r="U1207" s="59">
        <f t="shared" si="610"/>
        <v>451870.43814328546</v>
      </c>
      <c r="V1207" s="59"/>
      <c r="W1207" s="59"/>
      <c r="X1207" s="59"/>
      <c r="Y1207" s="59"/>
      <c r="Z1207" s="59"/>
      <c r="AA1207" s="43" t="e">
        <f>SUM(AA1198:AA1206)</f>
        <v>#DIV/0!</v>
      </c>
      <c r="AB1207" s="37" t="e">
        <f t="shared" si="596"/>
        <v>#DIV/0!</v>
      </c>
    </row>
    <row r="1208" spans="1:28">
      <c r="F1208" s="59"/>
    </row>
    <row r="1209" spans="1:28">
      <c r="F1209" s="59"/>
    </row>
    <row r="1210" spans="1:28">
      <c r="A1210" s="44" t="s">
        <v>171</v>
      </c>
      <c r="F1210" s="176">
        <f>SUM(F1198:F1200)/F1093</f>
        <v>833.38592181510001</v>
      </c>
    </row>
    <row r="1211" spans="1:28">
      <c r="A1211" s="39" t="s">
        <v>921</v>
      </c>
      <c r="G1211" s="90">
        <f>G1185/G1058</f>
        <v>5.7394717940439845E-3</v>
      </c>
      <c r="H1211" s="90">
        <f>H1185/H1058</f>
        <v>7.1039411640670255E-3</v>
      </c>
      <c r="I1211" s="61">
        <f t="shared" ref="I1211:R1211" si="611">I1185/SUM(I$1235:I$1236)</f>
        <v>6.5543307071646444</v>
      </c>
      <c r="J1211" s="61">
        <f t="shared" si="611"/>
        <v>4.301432388956802</v>
      </c>
      <c r="K1211" s="61">
        <f t="shared" si="611"/>
        <v>20.73684571076981</v>
      </c>
      <c r="L1211" s="61">
        <f t="shared" si="611"/>
        <v>6.1297584026271128</v>
      </c>
      <c r="M1211" s="61" t="e">
        <f t="shared" si="611"/>
        <v>#DIV/0!</v>
      </c>
      <c r="N1211" s="61" t="e">
        <f t="shared" si="611"/>
        <v>#DIV/0!</v>
      </c>
      <c r="O1211" s="61"/>
      <c r="P1211" s="61">
        <f t="shared" si="611"/>
        <v>3.5343571669916871</v>
      </c>
      <c r="Q1211" s="61">
        <f t="shared" si="611"/>
        <v>3.1530067802364083</v>
      </c>
      <c r="R1211" s="61">
        <f t="shared" si="611"/>
        <v>2.419845627120361</v>
      </c>
      <c r="S1211" s="84">
        <f>S1185/S$1058</f>
        <v>6.5362300627447136E-3</v>
      </c>
      <c r="T1211" s="84">
        <f>T1185/T$1058</f>
        <v>7.8380465345640055E-3</v>
      </c>
      <c r="U1211" s="84">
        <f>U1185/U$1058</f>
        <v>6.9184809015084836E-3</v>
      </c>
      <c r="V1211" s="61"/>
      <c r="W1211" s="61"/>
      <c r="X1211" s="53"/>
      <c r="Y1211" s="53"/>
      <c r="Z1211" s="53"/>
    </row>
    <row r="1212" spans="1:28" s="39" customFormat="1">
      <c r="A1212" s="39" t="s">
        <v>737</v>
      </c>
      <c r="G1212" s="90">
        <f>G1186/2264321177</f>
        <v>1.1115371445053096E-2</v>
      </c>
      <c r="H1212" s="90">
        <f>H1186/799975176</f>
        <v>1.584737207923639E-2</v>
      </c>
      <c r="I1212" s="61">
        <f t="shared" ref="I1212:R1212" si="612">I1186/I$1235</f>
        <v>10.280471301020816</v>
      </c>
      <c r="J1212" s="61">
        <f t="shared" si="612"/>
        <v>7.8964894881190419</v>
      </c>
      <c r="K1212" s="61">
        <f t="shared" si="612"/>
        <v>32.465878128686576</v>
      </c>
      <c r="L1212" s="61">
        <f t="shared" si="612"/>
        <v>10.422340791014843</v>
      </c>
      <c r="M1212" s="61" t="e">
        <f t="shared" si="612"/>
        <v>#DIV/0!</v>
      </c>
      <c r="N1212" s="61" t="e">
        <f t="shared" si="612"/>
        <v>#DIV/0!</v>
      </c>
      <c r="O1212" s="61"/>
      <c r="P1212" s="61">
        <f t="shared" si="612"/>
        <v>7.9015149697363878</v>
      </c>
      <c r="Q1212" s="61">
        <f t="shared" si="612"/>
        <v>6.171572207553929</v>
      </c>
      <c r="R1212" s="61">
        <f t="shared" si="612"/>
        <v>3.9934353729162821</v>
      </c>
      <c r="S1212" s="84">
        <f t="shared" ref="S1212:S1218" si="613">S1186/S$1058</f>
        <v>0</v>
      </c>
      <c r="T1212" s="84">
        <f>T1186/T1058</f>
        <v>1.5826281940599222E-4</v>
      </c>
      <c r="U1212" s="84">
        <f t="shared" ref="U1212:U1218" si="614">U1186/U$1058</f>
        <v>5.3653079281532059E-3</v>
      </c>
      <c r="V1212" s="61"/>
      <c r="W1212" s="61"/>
    </row>
    <row r="1213" spans="1:28" s="39" customFormat="1">
      <c r="A1213" s="39" t="s">
        <v>738</v>
      </c>
      <c r="G1213" s="91">
        <f>G1187/1583388605</f>
        <v>2.0018169373309844E-2</v>
      </c>
      <c r="H1213" s="91">
        <f>H1187/505580412</f>
        <v>2.1413951206368301E-2</v>
      </c>
      <c r="I1213" s="61">
        <f t="shared" ref="I1213:R1213" si="615">I1187/I$1236</f>
        <v>9.4154159580829404</v>
      </c>
      <c r="J1213" s="61">
        <f t="shared" si="615"/>
        <v>7.0035489650685596</v>
      </c>
      <c r="K1213" s="61">
        <f t="shared" si="615"/>
        <v>24.111046552820927</v>
      </c>
      <c r="L1213" s="61">
        <f t="shared" si="615"/>
        <v>8.2847870703666722</v>
      </c>
      <c r="M1213" s="61" t="e">
        <f t="shared" si="615"/>
        <v>#DIV/0!</v>
      </c>
      <c r="N1213" s="61" t="e">
        <f t="shared" si="615"/>
        <v>#DIV/0!</v>
      </c>
      <c r="O1213" s="61"/>
      <c r="P1213" s="61">
        <f t="shared" si="615"/>
        <v>3.9661337332171018</v>
      </c>
      <c r="Q1213" s="61">
        <f t="shared" si="615"/>
        <v>5.9054120063629965</v>
      </c>
      <c r="R1213" s="61">
        <f t="shared" si="615"/>
        <v>2.8901633904009096</v>
      </c>
      <c r="S1213" s="84">
        <f t="shared" si="613"/>
        <v>0</v>
      </c>
      <c r="T1213" s="84">
        <f t="shared" ref="T1213:T1218" si="616">T1187/T$1058</f>
        <v>1.9867818145194853E-4</v>
      </c>
      <c r="U1213" s="84">
        <f t="shared" si="614"/>
        <v>3.5644050582855284E-3</v>
      </c>
      <c r="V1213" s="61"/>
      <c r="W1213" s="61"/>
    </row>
    <row r="1214" spans="1:28" s="39" customFormat="1">
      <c r="A1214" s="39" t="s">
        <v>922</v>
      </c>
      <c r="G1214" s="90">
        <f>G1188/G$1058</f>
        <v>8.8786464831597136E-4</v>
      </c>
      <c r="H1214" s="90">
        <f>H1188/H$1058</f>
        <v>1.0420014853354585E-3</v>
      </c>
      <c r="I1214" s="61">
        <f t="shared" ref="I1214:R1214" si="617">I1188/SUM(I1235:I1236)</f>
        <v>0.95532329374294866</v>
      </c>
      <c r="J1214" s="61">
        <f t="shared" si="617"/>
        <v>0.63385400663552482</v>
      </c>
      <c r="K1214" s="61">
        <f t="shared" si="617"/>
        <v>3.1699682181068183</v>
      </c>
      <c r="L1214" s="61">
        <f t="shared" si="617"/>
        <v>0.94688102149355291</v>
      </c>
      <c r="M1214" s="61" t="e">
        <f t="shared" si="617"/>
        <v>#DIV/0!</v>
      </c>
      <c r="N1214" s="61" t="e">
        <f t="shared" si="617"/>
        <v>#DIV/0!</v>
      </c>
      <c r="O1214" s="61"/>
      <c r="P1214" s="61">
        <f t="shared" si="617"/>
        <v>0.53619639367123983</v>
      </c>
      <c r="Q1214" s="61">
        <f t="shared" si="617"/>
        <v>0.49713751361662212</v>
      </c>
      <c r="R1214" s="61">
        <f t="shared" si="617"/>
        <v>0.39012267488125757</v>
      </c>
      <c r="S1214" s="84">
        <f t="shared" si="613"/>
        <v>1.0182306109352609E-3</v>
      </c>
      <c r="T1214" s="84">
        <f t="shared" si="616"/>
        <v>1.1725314356976341E-3</v>
      </c>
      <c r="U1214" s="84">
        <f t="shared" si="614"/>
        <v>1.0398943355488359E-3</v>
      </c>
      <c r="V1214" s="61"/>
      <c r="W1214" s="61"/>
    </row>
    <row r="1215" spans="1:28" s="39" customFormat="1">
      <c r="A1215" s="39" t="s">
        <v>741</v>
      </c>
      <c r="G1215" s="90">
        <f>G1189/2264321177</f>
        <v>1.7194866902568884E-3</v>
      </c>
      <c r="H1215" s="90">
        <f>H1189/799975176</f>
        <v>2.3244822646833782E-3</v>
      </c>
      <c r="I1215" s="61">
        <f t="shared" ref="I1215:R1215" si="618">I1189/I$1235</f>
        <v>1.4984251090329288</v>
      </c>
      <c r="J1215" s="61">
        <f t="shared" si="618"/>
        <v>1.1636173831883576</v>
      </c>
      <c r="K1215" s="61">
        <f t="shared" si="618"/>
        <v>4.9629438959183538</v>
      </c>
      <c r="L1215" s="61">
        <f t="shared" si="618"/>
        <v>1.6099682966820508</v>
      </c>
      <c r="M1215" s="61" t="e">
        <f t="shared" si="618"/>
        <v>#DIV/0!</v>
      </c>
      <c r="N1215" s="61" t="e">
        <f t="shared" si="618"/>
        <v>#DIV/0!</v>
      </c>
      <c r="O1215" s="61"/>
      <c r="P1215" s="61">
        <f t="shared" si="618"/>
        <v>1.1987367521540391</v>
      </c>
      <c r="Q1215" s="61">
        <f t="shared" si="618"/>
        <v>0.97307753399082897</v>
      </c>
      <c r="R1215" s="61">
        <f t="shared" si="618"/>
        <v>0.64381366818902508</v>
      </c>
      <c r="S1215" s="84">
        <f t="shared" si="613"/>
        <v>0</v>
      </c>
      <c r="T1215" s="84">
        <f t="shared" si="616"/>
        <v>2.3675303538624075E-5</v>
      </c>
      <c r="U1215" s="84">
        <f t="shared" si="614"/>
        <v>8.0644196354510045E-4</v>
      </c>
      <c r="V1215" s="61"/>
      <c r="W1215" s="61"/>
    </row>
    <row r="1216" spans="1:28" s="39" customFormat="1">
      <c r="A1216" s="39" t="s">
        <v>742</v>
      </c>
      <c r="G1216" s="91">
        <f>G1190/1583388605</f>
        <v>3.0578945521826696E-3</v>
      </c>
      <c r="H1216" s="91">
        <f>H1190/505580412</f>
        <v>3.1017610888404226E-3</v>
      </c>
      <c r="I1216" s="61">
        <f t="shared" ref="I1216:R1216" si="619">I1190/I$1236</f>
        <v>1.3570453365288047</v>
      </c>
      <c r="J1216" s="61">
        <f t="shared" si="619"/>
        <v>1.0200678783693971</v>
      </c>
      <c r="K1216" s="61">
        <f t="shared" si="619"/>
        <v>3.6125562256488064</v>
      </c>
      <c r="L1216" s="61">
        <f t="shared" si="619"/>
        <v>1.2615879644637837</v>
      </c>
      <c r="M1216" s="61" t="e">
        <f t="shared" si="619"/>
        <v>#DIV/0!</v>
      </c>
      <c r="N1216" s="61" t="e">
        <f t="shared" si="619"/>
        <v>#DIV/0!</v>
      </c>
      <c r="O1216" s="61"/>
      <c r="P1216" s="61">
        <f t="shared" si="619"/>
        <v>0.5382135596187928</v>
      </c>
      <c r="Q1216" s="61">
        <f t="shared" si="619"/>
        <v>0.91756679563546006</v>
      </c>
      <c r="R1216" s="61">
        <f t="shared" si="619"/>
        <v>0.45895051505833928</v>
      </c>
      <c r="S1216" s="84">
        <f t="shared" si="613"/>
        <v>0</v>
      </c>
      <c r="T1216" s="84">
        <f t="shared" si="616"/>
        <v>2.9436389317004779E-5</v>
      </c>
      <c r="U1216" s="84">
        <f t="shared" si="614"/>
        <v>5.2759522098703797E-4</v>
      </c>
      <c r="V1216" s="61"/>
      <c r="W1216" s="61"/>
    </row>
    <row r="1217" spans="1:26">
      <c r="A1217" s="39" t="s">
        <v>363</v>
      </c>
      <c r="G1217" s="90">
        <f t="shared" ref="G1217:R1217" si="620">G1191/G$1058</f>
        <v>3.2548672871527726E-2</v>
      </c>
      <c r="H1217" s="90">
        <f t="shared" si="620"/>
        <v>3.3723205334964916E-2</v>
      </c>
      <c r="I1217" s="39">
        <f t="shared" si="620"/>
        <v>3.3502006047715666E-2</v>
      </c>
      <c r="J1217" s="39">
        <f t="shared" si="620"/>
        <v>3.4119267306685505E-2</v>
      </c>
      <c r="K1217" s="39">
        <f t="shared" si="620"/>
        <v>3.2934295338241812E-2</v>
      </c>
      <c r="L1217" s="39">
        <f t="shared" si="620"/>
        <v>3.3978731052707233E-2</v>
      </c>
      <c r="M1217" s="39" t="e">
        <f t="shared" si="620"/>
        <v>#DIV/0!</v>
      </c>
      <c r="N1217" s="39" t="e">
        <f t="shared" si="620"/>
        <v>#DIV/0!</v>
      </c>
      <c r="P1217" s="39">
        <f t="shared" si="620"/>
        <v>3.3111706938365307E-2</v>
      </c>
      <c r="Q1217" s="39">
        <f t="shared" si="620"/>
        <v>3.2911841487654143E-2</v>
      </c>
      <c r="R1217" s="39">
        <f t="shared" si="620"/>
        <v>3.3382735801803023E-2</v>
      </c>
      <c r="S1217" s="84">
        <f t="shared" si="613"/>
        <v>3.3017294150705208E-2</v>
      </c>
      <c r="T1217" s="84">
        <f t="shared" si="616"/>
        <v>3.3379639535989797E-2</v>
      </c>
      <c r="U1217" s="84">
        <f t="shared" si="614"/>
        <v>3.4131581106461299E-2</v>
      </c>
    </row>
    <row r="1218" spans="1:26">
      <c r="A1218" s="39" t="s">
        <v>169</v>
      </c>
      <c r="G1218" s="90">
        <f>G1192/G$1058</f>
        <v>5.0088543173797727E-3</v>
      </c>
      <c r="H1218" s="90">
        <f>H1192/H$1058</f>
        <v>4.7918601283854171E-3</v>
      </c>
      <c r="I1218" s="61">
        <f t="shared" ref="I1218:R1218" si="621">I1192/SUM(I$1235:I$1236)</f>
        <v>2.0643027620813781</v>
      </c>
      <c r="J1218" s="61">
        <f t="shared" si="621"/>
        <v>2.0284535947055575</v>
      </c>
      <c r="K1218" s="61">
        <f t="shared" si="621"/>
        <v>7.516282588402043</v>
      </c>
      <c r="L1218" s="61">
        <f t="shared" si="621"/>
        <v>2.622053726608121</v>
      </c>
      <c r="M1218" s="61" t="e">
        <f t="shared" si="621"/>
        <v>#DIV/0!</v>
      </c>
      <c r="N1218" s="61" t="e">
        <f t="shared" si="621"/>
        <v>#DIV/0!</v>
      </c>
      <c r="O1218" s="61"/>
      <c r="P1218" s="61">
        <f t="shared" si="621"/>
        <v>0</v>
      </c>
      <c r="Q1218" s="61">
        <f t="shared" si="621"/>
        <v>1.3985216767871658</v>
      </c>
      <c r="R1218" s="61">
        <f t="shared" si="621"/>
        <v>0.91287314138750009</v>
      </c>
      <c r="S1218" s="84">
        <f t="shared" si="613"/>
        <v>3.375264672602294E-3</v>
      </c>
      <c r="T1218" s="84">
        <f t="shared" si="616"/>
        <v>4.0483348674836368E-3</v>
      </c>
      <c r="U1218" s="84">
        <f t="shared" si="614"/>
        <v>1.7311536210980723E-3</v>
      </c>
      <c r="V1218" s="61"/>
      <c r="W1218" s="61"/>
    </row>
    <row r="1219" spans="1:26">
      <c r="A1219" s="39" t="s">
        <v>170</v>
      </c>
      <c r="G1219" s="122">
        <f t="shared" ref="G1219:N1219" si="622">G1193/G1064</f>
        <v>15.342539178242264</v>
      </c>
      <c r="H1219" s="122">
        <f t="shared" si="622"/>
        <v>26.592736031022781</v>
      </c>
      <c r="I1219" s="122">
        <f t="shared" si="622"/>
        <v>162.77351963561213</v>
      </c>
      <c r="J1219" s="122">
        <f t="shared" si="622"/>
        <v>58.758716486660248</v>
      </c>
      <c r="K1219" s="122">
        <f t="shared" si="622"/>
        <v>254.14222514971524</v>
      </c>
      <c r="L1219" s="122">
        <f t="shared" si="622"/>
        <v>148.99848045473769</v>
      </c>
      <c r="M1219" s="122" t="e">
        <f t="shared" si="622"/>
        <v>#DIV/0!</v>
      </c>
      <c r="N1219" s="122" t="e">
        <f t="shared" si="622"/>
        <v>#DIV/0!</v>
      </c>
      <c r="O1219" s="122"/>
      <c r="P1219" s="122">
        <f>P1193/P1064</f>
        <v>1064.7108751075787</v>
      </c>
      <c r="Q1219" s="122">
        <f>Q1193/Q1064</f>
        <v>892.33479978166815</v>
      </c>
      <c r="R1219" s="122">
        <f>R1193/R1064</f>
        <v>845.92285129046797</v>
      </c>
      <c r="S1219" s="122">
        <f>S1193/S1066/12</f>
        <v>6.5824292258493839</v>
      </c>
      <c r="T1219" s="84">
        <f>T1193/T1058</f>
        <v>2.4824914151239334E-3</v>
      </c>
      <c r="U1219" s="84">
        <f>U1193/U1058</f>
        <v>1.6167571421922853E-2</v>
      </c>
      <c r="V1219" s="122"/>
      <c r="W1219" s="122"/>
      <c r="X1219" s="54"/>
      <c r="Y1219" s="54"/>
      <c r="Z1219" s="54"/>
    </row>
    <row r="1220" spans="1:26">
      <c r="G1220" s="122"/>
      <c r="H1220" s="122"/>
      <c r="I1220" s="122"/>
      <c r="J1220" s="122"/>
      <c r="K1220" s="122"/>
      <c r="L1220" s="122"/>
      <c r="M1220" s="122"/>
      <c r="N1220" s="122"/>
      <c r="O1220" s="122"/>
      <c r="P1220" s="122"/>
      <c r="Q1220" s="122"/>
      <c r="R1220" s="122"/>
      <c r="S1220" s="122"/>
      <c r="T1220" s="84"/>
      <c r="U1220" s="84"/>
      <c r="V1220" s="122"/>
      <c r="W1220" s="122"/>
      <c r="X1220" s="54"/>
      <c r="Y1220" s="54"/>
      <c r="Z1220" s="54"/>
    </row>
    <row r="1223" spans="1:26">
      <c r="A1223" s="44" t="s">
        <v>172</v>
      </c>
    </row>
    <row r="1224" spans="1:26">
      <c r="A1224" s="39" t="s">
        <v>921</v>
      </c>
      <c r="G1224" s="88">
        <f t="shared" ref="G1224:G1231" si="623">G1198/G$1058</f>
        <v>3.460573589187467E-2</v>
      </c>
      <c r="H1224" s="88">
        <f>H1198/H$1058</f>
        <v>3.3566135413595308E-2</v>
      </c>
      <c r="I1224" s="61">
        <f t="shared" ref="I1224:R1224" si="624">I1198/SUM(I1235:I1236)</f>
        <v>28.717659843179888</v>
      </c>
      <c r="J1224" s="61">
        <f t="shared" si="624"/>
        <v>20.200278864605952</v>
      </c>
      <c r="K1224" s="61">
        <f t="shared" si="624"/>
        <v>113.27235778660251</v>
      </c>
      <c r="L1224" s="61">
        <f t="shared" si="624"/>
        <v>36.350075151919889</v>
      </c>
      <c r="M1224" s="61" t="e">
        <f t="shared" si="624"/>
        <v>#DIV/0!</v>
      </c>
      <c r="N1224" s="61" t="e">
        <f t="shared" si="624"/>
        <v>#DIV/0!</v>
      </c>
      <c r="O1224" s="61">
        <f>O1198/SUM(O1235:O1236)</f>
        <v>0</v>
      </c>
      <c r="P1224" s="61">
        <f t="shared" si="624"/>
        <v>18.424266639779319</v>
      </c>
      <c r="Q1224" s="61">
        <f t="shared" si="624"/>
        <v>19.979924896027953</v>
      </c>
      <c r="R1224" s="61">
        <f t="shared" si="624"/>
        <v>16.816675967224032</v>
      </c>
      <c r="S1224" s="88">
        <f t="shared" ref="S1224:U1225" si="625">S1198/S$1058</f>
        <v>3.4800123320370281E-2</v>
      </c>
      <c r="T1224" s="88">
        <f t="shared" si="625"/>
        <v>3.5493400579168763E-2</v>
      </c>
      <c r="U1224" s="88">
        <f t="shared" si="625"/>
        <v>3.4710863528259535E-2</v>
      </c>
      <c r="V1224" s="61"/>
      <c r="W1224" s="61"/>
    </row>
    <row r="1225" spans="1:26" s="39" customFormat="1">
      <c r="A1225" s="39" t="s">
        <v>737</v>
      </c>
      <c r="G1225" s="88">
        <f>G1199/G1234</f>
        <v>6.7026200337758232E-2</v>
      </c>
      <c r="H1225" s="88">
        <f>H1199/H1234</f>
        <v>7.0963219037204539E-2</v>
      </c>
      <c r="I1225" s="61">
        <f t="shared" ref="I1225:R1225" si="626">I1199/I1236</f>
        <v>43.913185246540316</v>
      </c>
      <c r="J1225" s="61">
        <f t="shared" si="626"/>
        <v>33.790762074113978</v>
      </c>
      <c r="K1225" s="61">
        <f t="shared" si="626"/>
        <v>149.45245575268964</v>
      </c>
      <c r="L1225" s="61">
        <f t="shared" si="626"/>
        <v>56.091697856098222</v>
      </c>
      <c r="M1225" s="61" t="e">
        <f t="shared" si="626"/>
        <v>#DIV/0!</v>
      </c>
      <c r="N1225" s="61" t="e">
        <f t="shared" si="626"/>
        <v>#DIV/0!</v>
      </c>
      <c r="O1225" s="61">
        <f>O1199/O1236</f>
        <v>0</v>
      </c>
      <c r="P1225" s="61">
        <f t="shared" si="626"/>
        <v>29.672083993931018</v>
      </c>
      <c r="Q1225" s="61">
        <f t="shared" si="626"/>
        <v>34.365325812859794</v>
      </c>
      <c r="R1225" s="61">
        <f t="shared" si="626"/>
        <v>18.463714942135834</v>
      </c>
      <c r="S1225" s="88">
        <f t="shared" si="625"/>
        <v>0</v>
      </c>
      <c r="T1225" s="40">
        <f t="shared" si="625"/>
        <v>7.1666908600179539E-4</v>
      </c>
      <c r="U1225" s="40">
        <f t="shared" si="625"/>
        <v>2.6918405056319362E-2</v>
      </c>
      <c r="V1225" s="61"/>
      <c r="W1225" s="61"/>
      <c r="X1225" s="88"/>
      <c r="Y1225" s="88"/>
      <c r="Z1225" s="88"/>
    </row>
    <row r="1226" spans="1:26" s="39" customFormat="1">
      <c r="A1226" s="39" t="s">
        <v>738</v>
      </c>
      <c r="G1226" s="88">
        <f>G1200/G1233</f>
        <v>9.6615063800478129E-2</v>
      </c>
      <c r="H1226" s="88">
        <f>H1200/H1233</f>
        <v>8.5628690856454498E-2</v>
      </c>
      <c r="I1226" s="88">
        <f t="shared" ref="I1226:R1226" si="627">I1200/I1235</f>
        <v>41.843867518550837</v>
      </c>
      <c r="J1226" s="88">
        <f t="shared" si="627"/>
        <v>35.676113437391592</v>
      </c>
      <c r="K1226" s="88">
        <f t="shared" si="627"/>
        <v>153.17538840424254</v>
      </c>
      <c r="L1226" s="88">
        <f t="shared" si="627"/>
        <v>53.364946378272556</v>
      </c>
      <c r="M1226" s="88" t="e">
        <f t="shared" si="627"/>
        <v>#DIV/0!</v>
      </c>
      <c r="N1226" s="88" t="e">
        <f t="shared" si="627"/>
        <v>#DIV/0!</v>
      </c>
      <c r="O1226" s="88">
        <f>O1200/O1235</f>
        <v>0</v>
      </c>
      <c r="P1226" s="88">
        <f t="shared" si="627"/>
        <v>25.67219772413759</v>
      </c>
      <c r="Q1226" s="88">
        <f t="shared" si="627"/>
        <v>41.966166588804143</v>
      </c>
      <c r="R1226" s="88">
        <f t="shared" si="627"/>
        <v>29.736160560406265</v>
      </c>
      <c r="S1226" s="88">
        <f>S1200/S1233</f>
        <v>0</v>
      </c>
      <c r="T1226" s="88">
        <f>T1200/T1233</f>
        <v>2.9965515660146324E-3</v>
      </c>
      <c r="U1226" s="88">
        <f>U1200/U1233</f>
        <v>4.8060766262853008E-2</v>
      </c>
      <c r="V1226" s="88"/>
      <c r="W1226" s="88"/>
      <c r="X1226" s="88"/>
      <c r="Y1226" s="88"/>
      <c r="Z1226" s="88"/>
    </row>
    <row r="1227" spans="1:26" s="39" customFormat="1">
      <c r="A1227" s="39" t="s">
        <v>922</v>
      </c>
      <c r="G1227" s="88">
        <f t="shared" si="623"/>
        <v>3.6112236330329856E-3</v>
      </c>
      <c r="H1227" s="88">
        <f>H1201/H$1058</f>
        <v>3.5027397326017882E-3</v>
      </c>
      <c r="I1227" s="61">
        <f>I1201/SUM(I1235:I1236)</f>
        <v>2.9967563249442684</v>
      </c>
      <c r="J1227" s="61">
        <f t="shared" ref="J1227:R1227" si="628">J1201/SUM(J1235:J1236)</f>
        <v>2.1079467859975329</v>
      </c>
      <c r="K1227" s="61">
        <f t="shared" si="628"/>
        <v>11.820225207394159</v>
      </c>
      <c r="L1227" s="61">
        <f t="shared" si="628"/>
        <v>3.7932145941352555</v>
      </c>
      <c r="M1227" s="61" t="e">
        <f t="shared" si="628"/>
        <v>#DIV/0!</v>
      </c>
      <c r="N1227" s="61" t="e">
        <f t="shared" si="628"/>
        <v>#DIV/0!</v>
      </c>
      <c r="O1227" s="61">
        <f>O1201/SUM(O1235:O1236)</f>
        <v>0</v>
      </c>
      <c r="P1227" s="61">
        <f t="shared" si="628"/>
        <v>1.922613254958889</v>
      </c>
      <c r="Q1227" s="61">
        <f t="shared" si="628"/>
        <v>2.0849502156018573</v>
      </c>
      <c r="R1227" s="61">
        <f t="shared" si="628"/>
        <v>1.7548590068227268</v>
      </c>
      <c r="S1227" s="88">
        <f>S1201/S$1058</f>
        <v>3.6313776357335126E-3</v>
      </c>
      <c r="T1227" s="88">
        <f t="shared" ref="T1227:T1232" si="629">T1201/T$1058</f>
        <v>3.7038263615695628E-3</v>
      </c>
      <c r="U1227" s="88">
        <f t="shared" ref="U1227:U1232" si="630">U1201/U$1058</f>
        <v>3.6222207677493326E-3</v>
      </c>
      <c r="V1227" s="61"/>
      <c r="W1227" s="61"/>
      <c r="X1227" s="88"/>
      <c r="Y1227" s="88"/>
      <c r="Z1227" s="88"/>
    </row>
    <row r="1228" spans="1:26" s="39" customFormat="1">
      <c r="A1228" s="39" t="s">
        <v>741</v>
      </c>
      <c r="G1228" s="88">
        <f>G1202/2264321177</f>
        <v>6.9936909689094148E-3</v>
      </c>
      <c r="H1228" s="88">
        <f>H1202/799975176</f>
        <v>7.8138625528095355E-3</v>
      </c>
      <c r="I1228" s="61">
        <f>I1202/I1235</f>
        <v>4.7004139356388199</v>
      </c>
      <c r="J1228" s="61">
        <f t="shared" ref="J1228:R1228" si="631">J1202/J1235</f>
        <v>3.8697294603253618</v>
      </c>
      <c r="K1228" s="61">
        <f t="shared" si="631"/>
        <v>18.505899903454583</v>
      </c>
      <c r="L1228" s="61">
        <f t="shared" si="631"/>
        <v>6.4495486765979209</v>
      </c>
      <c r="M1228" s="61" t="e">
        <f t="shared" si="631"/>
        <v>#DIV/0!</v>
      </c>
      <c r="N1228" s="61" t="e">
        <f t="shared" si="631"/>
        <v>#DIV/0!</v>
      </c>
      <c r="O1228" s="61">
        <f>O1202/O1235</f>
        <v>0</v>
      </c>
      <c r="P1228" s="61">
        <f t="shared" si="631"/>
        <v>4.2982519019156591</v>
      </c>
      <c r="Q1228" s="61">
        <f t="shared" si="631"/>
        <v>4.0810000426885269</v>
      </c>
      <c r="R1228" s="61">
        <f t="shared" si="631"/>
        <v>2.8960178094774141</v>
      </c>
      <c r="S1228" s="88">
        <f>S1202/S$1058</f>
        <v>0</v>
      </c>
      <c r="T1228" s="88">
        <f t="shared" si="629"/>
        <v>7.4786236594453066E-5</v>
      </c>
      <c r="U1228" s="88">
        <f t="shared" si="630"/>
        <v>2.8090458121361986E-3</v>
      </c>
      <c r="V1228" s="61"/>
      <c r="W1228" s="61"/>
    </row>
    <row r="1229" spans="1:26" s="39" customFormat="1">
      <c r="A1229" s="39" t="s">
        <v>742</v>
      </c>
      <c r="G1229" s="88">
        <f>G1203/1583388605</f>
        <v>1.24374149766069E-2</v>
      </c>
      <c r="H1229" s="88">
        <f>H1203/505580412</f>
        <v>1.0426723915294426E-2</v>
      </c>
      <c r="I1229" s="61">
        <f>I1203/I1236</f>
        <v>4.2569193299426304</v>
      </c>
      <c r="J1229" s="61">
        <f t="shared" ref="J1229:R1229" si="632">J1203/J1236</f>
        <v>3.3923407964580679</v>
      </c>
      <c r="K1229" s="61">
        <f t="shared" si="632"/>
        <v>13.470554031940718</v>
      </c>
      <c r="L1229" s="61">
        <f t="shared" si="632"/>
        <v>5.0539336727238426</v>
      </c>
      <c r="M1229" s="61" t="e">
        <f t="shared" si="632"/>
        <v>#DIV/0!</v>
      </c>
      <c r="N1229" s="61" t="e">
        <f t="shared" si="632"/>
        <v>#DIV/0!</v>
      </c>
      <c r="O1229" s="61">
        <f>O1203/O1236</f>
        <v>0</v>
      </c>
      <c r="P1229" s="61">
        <f t="shared" si="632"/>
        <v>1.9298461085065679</v>
      </c>
      <c r="Q1229" s="61">
        <f t="shared" si="632"/>
        <v>3.8481929767717573</v>
      </c>
      <c r="R1229" s="61">
        <f t="shared" si="632"/>
        <v>2.0644620189820948</v>
      </c>
      <c r="S1229" s="88">
        <f>S1203/S$1058</f>
        <v>0</v>
      </c>
      <c r="T1229" s="88">
        <f t="shared" si="629"/>
        <v>9.2984521712953332E-5</v>
      </c>
      <c r="U1229" s="88">
        <f t="shared" si="630"/>
        <v>1.8377505301208556E-3</v>
      </c>
      <c r="V1229" s="61"/>
      <c r="W1229" s="61"/>
    </row>
    <row r="1230" spans="1:26" s="39" customFormat="1">
      <c r="A1230" s="39" t="s">
        <v>363</v>
      </c>
      <c r="G1230" s="88">
        <f t="shared" si="623"/>
        <v>4.831468884215896E-3</v>
      </c>
      <c r="H1230" s="88">
        <f>H1204/H$1058</f>
        <v>4.7442337819600415E-3</v>
      </c>
      <c r="I1230" s="39">
        <f>I1204/I$1058</f>
        <v>4.6493947100546924E-3</v>
      </c>
      <c r="J1230" s="39">
        <f>J1204/J$1058</f>
        <v>4.7972452215654738E-3</v>
      </c>
      <c r="K1230" s="39">
        <f t="shared" ref="K1230:S1230" si="633">K1204/K$1058</f>
        <v>4.7527734655882174E-3</v>
      </c>
      <c r="L1230" s="39">
        <f t="shared" si="633"/>
        <v>5.2172061291124831E-3</v>
      </c>
      <c r="M1230" s="39" t="e">
        <f t="shared" si="633"/>
        <v>#DIV/0!</v>
      </c>
      <c r="N1230" s="39" t="e">
        <f t="shared" si="633"/>
        <v>#DIV/0!</v>
      </c>
      <c r="O1230" s="39" t="e">
        <f>O1204/O$1058</f>
        <v>#DIV/0!</v>
      </c>
      <c r="P1230" s="39">
        <f t="shared" si="633"/>
        <v>4.6450426236958157E-3</v>
      </c>
      <c r="Q1230" s="39">
        <f t="shared" si="633"/>
        <v>4.7356322210835083E-3</v>
      </c>
      <c r="R1230" s="39">
        <f t="shared" si="633"/>
        <v>5.1089204154132675E-3</v>
      </c>
      <c r="S1230" s="88">
        <f t="shared" si="633"/>
        <v>4.8429364710614875E-3</v>
      </c>
      <c r="T1230" s="88">
        <f t="shared" si="629"/>
        <v>4.8434603569338947E-3</v>
      </c>
      <c r="U1230" s="88">
        <f t="shared" si="630"/>
        <v>4.8307728669642397E-3</v>
      </c>
    </row>
    <row r="1231" spans="1:26" s="39" customFormat="1">
      <c r="A1231" s="39" t="s">
        <v>169</v>
      </c>
      <c r="G1231" s="88">
        <f t="shared" si="623"/>
        <v>2.9749240229316753E-2</v>
      </c>
      <c r="H1231" s="88">
        <f>H1205/H$1058</f>
        <v>2.1555930449832294E-2</v>
      </c>
      <c r="I1231" s="89">
        <f t="shared" ref="I1231:R1231" si="634">I1205/SUM(I1235:I1236)</f>
        <v>7.9743681355525826</v>
      </c>
      <c r="J1231" s="89">
        <f t="shared" si="634"/>
        <v>8.9305215993592757</v>
      </c>
      <c r="K1231" s="89">
        <f t="shared" si="634"/>
        <v>35.943029479748233</v>
      </c>
      <c r="L1231" s="89">
        <f t="shared" si="634"/>
        <v>14.641790771958682</v>
      </c>
      <c r="M1231" s="89" t="e">
        <f t="shared" si="634"/>
        <v>#DIV/0!</v>
      </c>
      <c r="N1231" s="89" t="e">
        <f t="shared" si="634"/>
        <v>#DIV/0!</v>
      </c>
      <c r="O1231" s="89">
        <f>O1205/SUM(O1235:O1236)</f>
        <v>0</v>
      </c>
      <c r="P1231" s="89">
        <f t="shared" si="634"/>
        <v>0</v>
      </c>
      <c r="Q1231" s="89">
        <f t="shared" si="634"/>
        <v>7.8143326397230224</v>
      </c>
      <c r="R1231" s="89">
        <f t="shared" si="634"/>
        <v>5.5258877105060238</v>
      </c>
      <c r="S1231" s="88">
        <f>S1205/S$1058</f>
        <v>1.6178998320563232E-2</v>
      </c>
      <c r="T1231" s="88">
        <f t="shared" si="629"/>
        <v>1.6559813604015507E-2</v>
      </c>
      <c r="U1231" s="88">
        <f t="shared" si="630"/>
        <v>8.0587338738444085E-3</v>
      </c>
      <c r="V1231" s="89"/>
      <c r="W1231" s="89"/>
    </row>
    <row r="1232" spans="1:26" s="39" customFormat="1">
      <c r="A1232" s="39" t="s">
        <v>170</v>
      </c>
      <c r="G1232" s="88">
        <f>G1206/G$1064</f>
        <v>56.754611586368185</v>
      </c>
      <c r="H1232" s="88">
        <f t="shared" ref="H1232:R1232" si="635">H1206/H$1064</f>
        <v>63.943078614883838</v>
      </c>
      <c r="I1232" s="88">
        <f t="shared" si="635"/>
        <v>242.92485284573829</v>
      </c>
      <c r="J1232" s="88">
        <f t="shared" si="635"/>
        <v>98.951263090435802</v>
      </c>
      <c r="K1232" s="88">
        <f t="shared" si="635"/>
        <v>259.62711480978896</v>
      </c>
      <c r="L1232" s="88">
        <f t="shared" si="635"/>
        <v>113.32400960530319</v>
      </c>
      <c r="M1232" s="88" t="e">
        <f t="shared" si="635"/>
        <v>#DIV/0!</v>
      </c>
      <c r="N1232" s="88" t="e">
        <f t="shared" si="635"/>
        <v>#DIV/0!</v>
      </c>
      <c r="O1232" s="88" t="e">
        <f>O1206/O$1064</f>
        <v>#DIV/0!</v>
      </c>
      <c r="P1232" s="88">
        <f t="shared" si="635"/>
        <v>1620.6988969892723</v>
      </c>
      <c r="Q1232" s="88">
        <f t="shared" si="635"/>
        <v>1644.3371311349927</v>
      </c>
      <c r="R1232" s="88">
        <f t="shared" si="635"/>
        <v>1644.2856284184484</v>
      </c>
      <c r="S1232" s="88">
        <f>S1206/S1066/12</f>
        <v>45.241881413222977</v>
      </c>
      <c r="T1232" s="88">
        <f t="shared" si="629"/>
        <v>6.6231719389927887E-3</v>
      </c>
      <c r="U1232" s="88">
        <f t="shared" si="630"/>
        <v>4.6516826030090511E-2</v>
      </c>
      <c r="V1232" s="88"/>
      <c r="W1232" s="88"/>
    </row>
    <row r="1233" spans="1:26">
      <c r="A1233" s="39" t="s">
        <v>660</v>
      </c>
      <c r="G1233" s="86">
        <f>1949475282+3813699</f>
        <v>1953288981</v>
      </c>
      <c r="H1233" s="86">
        <v>589946030</v>
      </c>
      <c r="I1233" s="86"/>
      <c r="J1233" s="86"/>
      <c r="K1233" s="86"/>
      <c r="L1233" s="86"/>
      <c r="M1233" s="86"/>
      <c r="N1233" s="86"/>
      <c r="O1233" s="86"/>
      <c r="P1233" s="86"/>
      <c r="Q1233" s="86"/>
      <c r="R1233" s="86"/>
      <c r="S1233" s="86">
        <v>14650773</v>
      </c>
      <c r="T1233" s="86">
        <v>1092573</v>
      </c>
      <c r="U1233" s="86">
        <v>1127024</v>
      </c>
      <c r="V1233" s="86"/>
      <c r="W1233" s="86"/>
    </row>
    <row r="1234" spans="1:26">
      <c r="A1234" s="39" t="s">
        <v>661</v>
      </c>
      <c r="G1234" s="86">
        <f>G1058-G1233</f>
        <v>2264089399</v>
      </c>
      <c r="H1234" s="86">
        <f>H1058-H1233</f>
        <v>844116606</v>
      </c>
      <c r="I1234" s="86"/>
      <c r="J1234" s="86"/>
      <c r="K1234" s="86"/>
      <c r="L1234" s="86"/>
      <c r="M1234" s="86"/>
      <c r="N1234" s="86"/>
      <c r="O1234" s="86"/>
      <c r="P1234" s="86"/>
      <c r="Q1234" s="86"/>
      <c r="R1234" s="86"/>
      <c r="S1234" s="86">
        <f>S1058-S1233</f>
        <v>89195425</v>
      </c>
      <c r="T1234" s="86">
        <f>T1058-T1233</f>
        <v>2581642</v>
      </c>
      <c r="U1234" s="86">
        <f>U1058-U1233</f>
        <v>1948696</v>
      </c>
      <c r="V1234" s="86"/>
      <c r="W1234" s="86"/>
    </row>
    <row r="1235" spans="1:26">
      <c r="A1235" s="85" t="s">
        <v>662</v>
      </c>
      <c r="G1235" s="86"/>
      <c r="H1235" s="86"/>
      <c r="I1235" s="86">
        <v>135503.007459393</v>
      </c>
      <c r="J1235" s="86">
        <v>1895465.3942916298</v>
      </c>
      <c r="K1235" s="86">
        <v>260764.73302782851</v>
      </c>
      <c r="L1235" s="86">
        <v>285799</v>
      </c>
      <c r="M1235" s="86">
        <v>102606.36972726681</v>
      </c>
      <c r="N1235" s="86">
        <v>512089.79218811658</v>
      </c>
      <c r="O1235" s="86">
        <v>397399.80499999999</v>
      </c>
      <c r="P1235" s="86">
        <v>397399.80499999999</v>
      </c>
      <c r="Q1235" s="86">
        <v>171828.95732192826</v>
      </c>
      <c r="R1235" s="86">
        <v>46860</v>
      </c>
      <c r="S1235" s="86"/>
      <c r="T1235" s="86"/>
      <c r="U1235" s="86"/>
      <c r="V1235" s="86"/>
      <c r="W1235" s="86"/>
    </row>
    <row r="1236" spans="1:26">
      <c r="A1236" s="85" t="s">
        <v>663</v>
      </c>
      <c r="G1236" s="86"/>
      <c r="H1236" s="86"/>
      <c r="I1236" s="86">
        <v>138991.33175083768</v>
      </c>
      <c r="J1236" s="86">
        <v>2080157.4042928533</v>
      </c>
      <c r="K1236" s="86">
        <v>309424.14367580262</v>
      </c>
      <c r="L1236" s="86">
        <v>314912.097072565</v>
      </c>
      <c r="M1236" s="86">
        <v>126872.54488561678</v>
      </c>
      <c r="N1236" s="86">
        <v>626380.4658293426</v>
      </c>
      <c r="O1236" s="86">
        <v>551657.77325000009</v>
      </c>
      <c r="P1236" s="86">
        <v>551657.77325000009</v>
      </c>
      <c r="Q1236" s="86">
        <v>195542.2690373518</v>
      </c>
      <c r="R1236" s="86">
        <v>70434</v>
      </c>
      <c r="S1236" s="86"/>
      <c r="T1236" s="86"/>
      <c r="U1236" s="86"/>
      <c r="V1236" s="86"/>
      <c r="W1236" s="86"/>
    </row>
    <row r="1237" spans="1:26">
      <c r="A1237" s="85"/>
      <c r="G1237" s="86"/>
      <c r="H1237" s="86"/>
      <c r="I1237" s="86"/>
      <c r="J1237" s="86"/>
      <c r="K1237" s="86"/>
      <c r="L1237" s="86"/>
      <c r="M1237" s="86"/>
      <c r="N1237" s="86"/>
      <c r="O1237" s="86"/>
      <c r="P1237" s="86"/>
      <c r="Q1237" s="86"/>
      <c r="R1237" s="86"/>
      <c r="S1237" s="86"/>
      <c r="T1237" s="86"/>
      <c r="U1237" s="86"/>
      <c r="V1237" s="86"/>
      <c r="W1237" s="86"/>
    </row>
    <row r="1238" spans="1:26">
      <c r="A1238" s="85"/>
      <c r="G1238" s="86"/>
      <c r="H1238" s="86"/>
      <c r="I1238" s="86"/>
      <c r="J1238" s="86"/>
      <c r="K1238" s="86"/>
      <c r="L1238" s="86"/>
      <c r="M1238" s="86"/>
      <c r="N1238" s="86"/>
      <c r="O1238" s="86"/>
      <c r="P1238" s="86"/>
      <c r="Q1238" s="86"/>
      <c r="R1238" s="86"/>
      <c r="S1238" s="86"/>
      <c r="T1238" s="86"/>
      <c r="U1238" s="86"/>
      <c r="V1238" s="86"/>
      <c r="W1238" s="86"/>
    </row>
    <row r="1239" spans="1:26">
      <c r="A1239" s="44" t="s">
        <v>173</v>
      </c>
    </row>
    <row r="1240" spans="1:26">
      <c r="A1240" s="44"/>
    </row>
    <row r="1241" spans="1:26">
      <c r="A1241" s="44" t="s">
        <v>926</v>
      </c>
    </row>
    <row r="1242" spans="1:26">
      <c r="A1242" s="39" t="s">
        <v>752</v>
      </c>
      <c r="G1242" s="90">
        <f>G1211</f>
        <v>5.7394717940439845E-3</v>
      </c>
      <c r="H1242" s="90">
        <f t="shared" ref="H1242:U1242" si="636">H1211</f>
        <v>7.1039411640670255E-3</v>
      </c>
      <c r="I1242" s="90">
        <f t="shared" si="636"/>
        <v>6.5543307071646444</v>
      </c>
      <c r="J1242" s="90">
        <f t="shared" si="636"/>
        <v>4.301432388956802</v>
      </c>
      <c r="K1242" s="90">
        <f t="shared" si="636"/>
        <v>20.73684571076981</v>
      </c>
      <c r="L1242" s="90">
        <f t="shared" si="636"/>
        <v>6.1297584026271128</v>
      </c>
      <c r="M1242" s="90" t="e">
        <f t="shared" si="636"/>
        <v>#DIV/0!</v>
      </c>
      <c r="N1242" s="90" t="e">
        <f t="shared" si="636"/>
        <v>#DIV/0!</v>
      </c>
      <c r="O1242" s="90">
        <f>O1211</f>
        <v>0</v>
      </c>
      <c r="P1242" s="90">
        <f t="shared" si="636"/>
        <v>3.5343571669916871</v>
      </c>
      <c r="Q1242" s="90">
        <f t="shared" si="636"/>
        <v>3.1530067802364083</v>
      </c>
      <c r="R1242" s="90">
        <f t="shared" si="636"/>
        <v>2.419845627120361</v>
      </c>
      <c r="S1242" s="90">
        <f t="shared" si="636"/>
        <v>6.5362300627447136E-3</v>
      </c>
      <c r="T1242" s="90">
        <f t="shared" si="636"/>
        <v>7.8380465345640055E-3</v>
      </c>
      <c r="U1242" s="90">
        <f t="shared" si="636"/>
        <v>6.9184809015084836E-3</v>
      </c>
      <c r="V1242" s="90"/>
      <c r="W1242" s="90"/>
      <c r="X1242" s="53"/>
      <c r="Y1242" s="53"/>
      <c r="Z1242" s="53"/>
    </row>
    <row r="1243" spans="1:26" ht="15.6">
      <c r="A1243" s="39" t="s">
        <v>755</v>
      </c>
      <c r="G1243" s="123">
        <f>(G1198*G921)/G$1058</f>
        <v>1.8094697133412445E-3</v>
      </c>
      <c r="H1243" s="123">
        <f>(H1198*H921)/H$1058</f>
        <v>4.2353584231900566E-3</v>
      </c>
      <c r="I1243" s="123">
        <f>(I1198*I921)/341988</f>
        <v>3.5179378938654771</v>
      </c>
      <c r="J1243" s="123">
        <f>(J1198*J921)/5065324</f>
        <v>2.0824065887307239</v>
      </c>
      <c r="K1243" s="123">
        <f>(K1198*K921)/520367</f>
        <v>9.9971807894838456</v>
      </c>
      <c r="L1243" s="123">
        <f>(L1198*L921)/671385</f>
        <v>3.1026291764386675</v>
      </c>
      <c r="M1243" s="123" t="e">
        <f>(M1198*M921)/276454</f>
        <v>#DIV/0!</v>
      </c>
      <c r="N1243" s="123" t="e">
        <f>(N1198*N921)/1423259</f>
        <v>#DIV/0!</v>
      </c>
      <c r="O1243" s="123">
        <f>(O1198*O921)/696788</f>
        <v>0</v>
      </c>
      <c r="P1243" s="123">
        <f>(P1198*P921)/696788</f>
        <v>2.1555211753429231</v>
      </c>
      <c r="Q1243" s="123">
        <f>(Q1198*Q921)/370450</f>
        <v>0.48156128665185755</v>
      </c>
      <c r="R1243" s="123">
        <f>(R1198*R921)/104943</f>
        <v>0.63301796067673877</v>
      </c>
      <c r="S1243" s="123">
        <f>(S1198*S921)/S1058</f>
        <v>3.4837647183669799E-3</v>
      </c>
      <c r="T1243" s="123">
        <f>(T1198*T921)/T$1058</f>
        <v>5.7734244149879156E-3</v>
      </c>
      <c r="U1243" s="123">
        <f>(U1198*U921)/U$1058</f>
        <v>3.7817989241488549E-3</v>
      </c>
      <c r="V1243" s="123"/>
      <c r="W1243" s="123"/>
      <c r="X1243" s="53"/>
      <c r="Y1243" s="53"/>
      <c r="Z1243" s="53"/>
    </row>
    <row r="1244" spans="1:26">
      <c r="B1244" s="39" t="s">
        <v>758</v>
      </c>
      <c r="G1244" s="124">
        <f t="shared" ref="G1244:U1244" si="637">SUM(G1242:G1243)</f>
        <v>7.5489415073852293E-3</v>
      </c>
      <c r="H1244" s="124">
        <f t="shared" si="637"/>
        <v>1.1339299587257082E-2</v>
      </c>
      <c r="I1244" s="124">
        <f t="shared" si="637"/>
        <v>10.072268601030121</v>
      </c>
      <c r="J1244" s="124">
        <f t="shared" si="637"/>
        <v>6.3838389776875264</v>
      </c>
      <c r="K1244" s="124">
        <f t="shared" si="637"/>
        <v>30.734026500253655</v>
      </c>
      <c r="L1244" s="124">
        <f t="shared" si="637"/>
        <v>9.2323875790657794</v>
      </c>
      <c r="M1244" s="124" t="e">
        <f t="shared" si="637"/>
        <v>#DIV/0!</v>
      </c>
      <c r="N1244" s="124" t="e">
        <f t="shared" si="637"/>
        <v>#DIV/0!</v>
      </c>
      <c r="O1244" s="124">
        <f>SUM(O1242:O1243)</f>
        <v>0</v>
      </c>
      <c r="P1244" s="124">
        <f t="shared" si="637"/>
        <v>5.6898783423346107</v>
      </c>
      <c r="Q1244" s="124">
        <f t="shared" si="637"/>
        <v>3.6345680668882658</v>
      </c>
      <c r="R1244" s="124">
        <f t="shared" si="637"/>
        <v>3.0528635877970998</v>
      </c>
      <c r="S1244" s="124">
        <f t="shared" si="637"/>
        <v>1.0019994781111694E-2</v>
      </c>
      <c r="T1244" s="124">
        <f t="shared" si="637"/>
        <v>1.361147094955192E-2</v>
      </c>
      <c r="U1244" s="124">
        <f t="shared" si="637"/>
        <v>1.0700279825657338E-2</v>
      </c>
      <c r="V1244" s="124"/>
      <c r="W1244" s="124"/>
      <c r="X1244" s="53"/>
      <c r="Y1244" s="53"/>
      <c r="Z1244" s="53"/>
    </row>
    <row r="1245" spans="1:26">
      <c r="A1245" s="44"/>
    </row>
    <row r="1246" spans="1:26">
      <c r="A1246" s="44" t="s">
        <v>754</v>
      </c>
    </row>
    <row r="1247" spans="1:26">
      <c r="A1247" s="39" t="s">
        <v>752</v>
      </c>
      <c r="G1247" s="90">
        <f t="shared" ref="G1247:Q1247" si="638">G1212</f>
        <v>1.1115371445053096E-2</v>
      </c>
      <c r="H1247" s="90">
        <f t="shared" si="638"/>
        <v>1.584737207923639E-2</v>
      </c>
      <c r="I1247" s="90">
        <f t="shared" si="638"/>
        <v>10.280471301020816</v>
      </c>
      <c r="J1247" s="90">
        <f t="shared" si="638"/>
        <v>7.8964894881190419</v>
      </c>
      <c r="K1247" s="90">
        <f t="shared" si="638"/>
        <v>32.465878128686576</v>
      </c>
      <c r="L1247" s="90">
        <f t="shared" si="638"/>
        <v>10.422340791014843</v>
      </c>
      <c r="M1247" s="90" t="e">
        <f t="shared" si="638"/>
        <v>#DIV/0!</v>
      </c>
      <c r="N1247" s="90" t="e">
        <f t="shared" si="638"/>
        <v>#DIV/0!</v>
      </c>
      <c r="O1247" s="90">
        <f>O1212</f>
        <v>0</v>
      </c>
      <c r="P1247" s="90">
        <f t="shared" si="638"/>
        <v>7.9015149697363878</v>
      </c>
      <c r="Q1247" s="90">
        <f t="shared" si="638"/>
        <v>6.171572207553929</v>
      </c>
      <c r="R1247" s="90">
        <f>R1212</f>
        <v>3.9934353729162821</v>
      </c>
      <c r="S1247" s="90">
        <f>S1212</f>
        <v>0</v>
      </c>
      <c r="T1247" s="90">
        <f>T1212</f>
        <v>1.5826281940599222E-4</v>
      </c>
      <c r="U1247" s="90">
        <f>U1212</f>
        <v>5.3653079281532059E-3</v>
      </c>
      <c r="V1247" s="90"/>
      <c r="W1247" s="90"/>
      <c r="X1247" s="53"/>
      <c r="Y1247" s="53"/>
      <c r="Z1247" s="53"/>
    </row>
    <row r="1248" spans="1:26" ht="15.6">
      <c r="A1248" s="39" t="s">
        <v>755</v>
      </c>
      <c r="G1248" s="123">
        <f>(G1199*G921)/2264321177</f>
        <v>3.5043168960658452E-3</v>
      </c>
      <c r="H1248" s="123">
        <f>(H1199*H921)/799975176</f>
        <v>9.4481780283769707E-3</v>
      </c>
      <c r="I1248" s="123">
        <f>(I1199*I921)/214932</f>
        <v>4.3340924593492707</v>
      </c>
      <c r="J1248" s="123">
        <f>(J1199*J921)/3242275</f>
        <v>2.8474398558045118</v>
      </c>
      <c r="K1248" s="123">
        <f>(K1199*K921)/322248</f>
        <v>11.558770331771276</v>
      </c>
      <c r="L1248" s="123">
        <f>(L1199*L921)/433763</f>
        <v>3.884775842494415</v>
      </c>
      <c r="M1248" s="123" t="e">
        <f>(M1199*M921)/181277</f>
        <v>#DIV/0!</v>
      </c>
      <c r="N1248" s="123" t="e">
        <f>(N1199*N921)/927407</f>
        <v>#DIV/0!</v>
      </c>
      <c r="O1248" s="123">
        <f>(O1199*O921)/454878</f>
        <v>0</v>
      </c>
      <c r="P1248" s="123">
        <f>(P1199*P921)/454878</f>
        <v>3.0909575712082336</v>
      </c>
      <c r="Q1248" s="123">
        <f>(Q1199*Q921)/80068</f>
        <v>2.0397846132923831</v>
      </c>
      <c r="R1248" s="123">
        <f>(R1199*R921)/80068</f>
        <v>0.54701094192234556</v>
      </c>
      <c r="S1248" s="123">
        <f>(S1199*S921)/80068</f>
        <v>0</v>
      </c>
      <c r="T1248" s="123">
        <f>(T1199*T921)/80068</f>
        <v>5.3494622916856792E-3</v>
      </c>
      <c r="U1248" s="123">
        <f>(U1199*U921)/80068</f>
        <v>0.11266010611589891</v>
      </c>
      <c r="V1248" s="123"/>
      <c r="W1248" s="123"/>
      <c r="X1248" s="53"/>
      <c r="Y1248" s="53"/>
      <c r="Z1248" s="53"/>
    </row>
    <row r="1249" spans="1:26">
      <c r="B1249" s="39" t="s">
        <v>758</v>
      </c>
      <c r="G1249" s="124">
        <f t="shared" ref="G1249:P1249" si="639">SUM(G1247:G1248)</f>
        <v>1.4619688341118941E-2</v>
      </c>
      <c r="H1249" s="124">
        <f t="shared" si="639"/>
        <v>2.5295550107613363E-2</v>
      </c>
      <c r="I1249" s="124">
        <f t="shared" si="639"/>
        <v>14.614563760370086</v>
      </c>
      <c r="J1249" s="124">
        <f t="shared" si="639"/>
        <v>10.743929343923554</v>
      </c>
      <c r="K1249" s="124">
        <f t="shared" si="639"/>
        <v>44.024648460457854</v>
      </c>
      <c r="L1249" s="124">
        <f t="shared" si="639"/>
        <v>14.307116633509258</v>
      </c>
      <c r="M1249" s="124" t="e">
        <f t="shared" si="639"/>
        <v>#DIV/0!</v>
      </c>
      <c r="N1249" s="124" t="e">
        <f t="shared" si="639"/>
        <v>#DIV/0!</v>
      </c>
      <c r="O1249" s="124">
        <f>SUM(O1247:O1248)</f>
        <v>0</v>
      </c>
      <c r="P1249" s="124">
        <f t="shared" si="639"/>
        <v>10.992472540944622</v>
      </c>
      <c r="Q1249" s="124">
        <f>SUM(Q1247:Q1248)</f>
        <v>8.2113568208463121</v>
      </c>
      <c r="R1249" s="124">
        <f>SUM(R1247:R1248)</f>
        <v>4.5404463148386274</v>
      </c>
      <c r="S1249" s="124">
        <f>SUM(S1247:S1248)</f>
        <v>0</v>
      </c>
      <c r="T1249" s="124">
        <f>SUM(T1247:T1248)</f>
        <v>5.5077251110916712E-3</v>
      </c>
      <c r="U1249" s="124">
        <f>SUM(U1247:U1248)</f>
        <v>0.11802541404405212</v>
      </c>
      <c r="V1249" s="124"/>
      <c r="W1249" s="124"/>
      <c r="X1249" s="53"/>
      <c r="Y1249" s="53"/>
      <c r="Z1249" s="53"/>
    </row>
    <row r="1251" spans="1:26">
      <c r="A1251" s="44" t="s">
        <v>756</v>
      </c>
    </row>
    <row r="1252" spans="1:26">
      <c r="A1252" s="39" t="s">
        <v>753</v>
      </c>
      <c r="G1252" s="90">
        <f>G1213</f>
        <v>2.0018169373309844E-2</v>
      </c>
      <c r="H1252" s="90">
        <f t="shared" ref="H1252:P1252" si="640">H1213</f>
        <v>2.1413951206368301E-2</v>
      </c>
      <c r="I1252" s="90">
        <f t="shared" si="640"/>
        <v>9.4154159580829404</v>
      </c>
      <c r="J1252" s="90">
        <f t="shared" si="640"/>
        <v>7.0035489650685596</v>
      </c>
      <c r="K1252" s="90">
        <f t="shared" si="640"/>
        <v>24.111046552820927</v>
      </c>
      <c r="L1252" s="90">
        <f t="shared" si="640"/>
        <v>8.2847870703666722</v>
      </c>
      <c r="M1252" s="90" t="e">
        <f t="shared" si="640"/>
        <v>#DIV/0!</v>
      </c>
      <c r="N1252" s="90" t="e">
        <f t="shared" si="640"/>
        <v>#DIV/0!</v>
      </c>
      <c r="O1252" s="90">
        <f>O1213</f>
        <v>0</v>
      </c>
      <c r="P1252" s="90">
        <f t="shared" si="640"/>
        <v>3.9661337332171018</v>
      </c>
      <c r="Q1252" s="90">
        <f>Q1213</f>
        <v>5.9054120063629965</v>
      </c>
      <c r="R1252" s="90">
        <f>R1213</f>
        <v>2.8901633904009096</v>
      </c>
      <c r="S1252" s="90">
        <f>S1213</f>
        <v>0</v>
      </c>
      <c r="T1252" s="90">
        <f>T1213</f>
        <v>1.9867818145194853E-4</v>
      </c>
      <c r="U1252" s="90">
        <f>U1213</f>
        <v>3.5644050582855284E-3</v>
      </c>
      <c r="V1252" s="90"/>
      <c r="W1252" s="90"/>
      <c r="X1252" s="53"/>
      <c r="Y1252" s="53"/>
      <c r="Z1252" s="53"/>
    </row>
    <row r="1253" spans="1:26" ht="15.6">
      <c r="A1253" s="39" t="s">
        <v>757</v>
      </c>
      <c r="G1253" s="123">
        <f>(G1200*G921)/1583388605</f>
        <v>6.2319944703965735E-3</v>
      </c>
      <c r="H1253" s="123">
        <f>(H1200*H921)/505580412</f>
        <v>1.2607534767682357E-2</v>
      </c>
      <c r="I1253" s="123">
        <f>(I1200*I921)/127056</f>
        <v>6.8108633983868723</v>
      </c>
      <c r="J1253" s="123">
        <f>(J1200*J921)/1823049</f>
        <v>4.8719775232324372</v>
      </c>
      <c r="K1253" s="123">
        <f>(K1200*K921)/194877</f>
        <v>16.509041980525076</v>
      </c>
      <c r="L1253" s="123">
        <f>(L1200*L921)/232987</f>
        <v>6.2447582620127173</v>
      </c>
      <c r="M1253" s="123" t="e">
        <f>(M1200*M921)/95177</f>
        <v>#DIV/0!</v>
      </c>
      <c r="N1253" s="123" t="e">
        <f>(N1200*N921)/495852</f>
        <v>#DIV/0!</v>
      </c>
      <c r="O1253" s="123">
        <f>(O1200*O921)/234813</f>
        <v>0</v>
      </c>
      <c r="P1253" s="123">
        <f>(P1200*P921)/234813</f>
        <v>3.731975175370013</v>
      </c>
      <c r="Q1253" s="123">
        <f>(Q1200*Q921)/31727</f>
        <v>5.5239383410162786</v>
      </c>
      <c r="R1253" s="123">
        <f>(R1200*R921)/31727</f>
        <v>1.47914831580231</v>
      </c>
      <c r="S1253" s="123">
        <f>(S1200*S921)/31727</f>
        <v>0</v>
      </c>
      <c r="T1253" s="123">
        <f>(T1200*T921)/31727</f>
        <v>1.6785299115620284E-2</v>
      </c>
      <c r="U1253" s="123">
        <f>(U1200*U921)/31727</f>
        <v>0.18600638932230273</v>
      </c>
      <c r="V1253" s="123"/>
      <c r="W1253" s="123"/>
      <c r="X1253" s="53"/>
      <c r="Y1253" s="53"/>
      <c r="Z1253" s="53"/>
    </row>
    <row r="1254" spans="1:26">
      <c r="B1254" s="39" t="s">
        <v>759</v>
      </c>
      <c r="G1254" s="124">
        <f t="shared" ref="G1254:P1254" si="641">SUM(G1252:G1253)</f>
        <v>2.6250163843706417E-2</v>
      </c>
      <c r="H1254" s="124">
        <f t="shared" si="641"/>
        <v>3.4021485974050657E-2</v>
      </c>
      <c r="I1254" s="124">
        <f t="shared" si="641"/>
        <v>16.226279356469814</v>
      </c>
      <c r="J1254" s="124">
        <f t="shared" si="641"/>
        <v>11.875526488300997</v>
      </c>
      <c r="K1254" s="124">
        <f t="shared" si="641"/>
        <v>40.620088533346006</v>
      </c>
      <c r="L1254" s="124">
        <f t="shared" si="641"/>
        <v>14.529545332379389</v>
      </c>
      <c r="M1254" s="124" t="e">
        <f t="shared" si="641"/>
        <v>#DIV/0!</v>
      </c>
      <c r="N1254" s="124" t="e">
        <f t="shared" si="641"/>
        <v>#DIV/0!</v>
      </c>
      <c r="O1254" s="124">
        <f>SUM(O1252:O1253)</f>
        <v>0</v>
      </c>
      <c r="P1254" s="124">
        <f t="shared" si="641"/>
        <v>7.6981089085871144</v>
      </c>
      <c r="Q1254" s="124">
        <f>SUM(Q1252:Q1253)</f>
        <v>11.429350347379275</v>
      </c>
      <c r="R1254" s="124">
        <f>SUM(R1252:R1253)</f>
        <v>4.3693117062032201</v>
      </c>
      <c r="S1254" s="124">
        <f>SUM(S1252:S1253)</f>
        <v>0</v>
      </c>
      <c r="T1254" s="124">
        <f>SUM(T1252:T1253)</f>
        <v>1.6983977297072232E-2</v>
      </c>
      <c r="U1254" s="124">
        <f>SUM(U1252:U1253)</f>
        <v>0.18957079438058827</v>
      </c>
      <c r="V1254" s="124"/>
      <c r="W1254" s="124"/>
      <c r="X1254" s="53"/>
      <c r="Y1254" s="53"/>
      <c r="Z1254" s="53"/>
    </row>
    <row r="1255" spans="1:26">
      <c r="G1255" s="124"/>
      <c r="H1255" s="124"/>
      <c r="I1255" s="124"/>
      <c r="J1255" s="124"/>
      <c r="K1255" s="124"/>
      <c r="L1255" s="124"/>
      <c r="M1255" s="124"/>
      <c r="N1255" s="124"/>
      <c r="O1255" s="124"/>
      <c r="P1255" s="124"/>
      <c r="Q1255" s="124"/>
      <c r="R1255" s="124"/>
      <c r="S1255" s="124"/>
      <c r="T1255" s="124"/>
      <c r="U1255" s="124"/>
      <c r="V1255" s="90"/>
      <c r="W1255" s="90"/>
      <c r="X1255" s="53"/>
      <c r="Y1255" s="53"/>
      <c r="Z1255" s="53"/>
    </row>
    <row r="1256" spans="1:26">
      <c r="A1256" s="44" t="s">
        <v>363</v>
      </c>
    </row>
    <row r="1257" spans="1:26">
      <c r="A1257" s="39" t="s">
        <v>363</v>
      </c>
      <c r="G1257" s="90">
        <f>G1217</f>
        <v>3.2548672871527726E-2</v>
      </c>
      <c r="H1257" s="90">
        <f t="shared" ref="H1257:U1257" si="642">H1217</f>
        <v>3.3723205334964916E-2</v>
      </c>
      <c r="I1257" s="90">
        <f t="shared" si="642"/>
        <v>3.3502006047715666E-2</v>
      </c>
      <c r="J1257" s="90">
        <f t="shared" si="642"/>
        <v>3.4119267306685505E-2</v>
      </c>
      <c r="K1257" s="90">
        <f t="shared" si="642"/>
        <v>3.2934295338241812E-2</v>
      </c>
      <c r="L1257" s="90">
        <f t="shared" si="642"/>
        <v>3.3978731052707233E-2</v>
      </c>
      <c r="M1257" s="90" t="e">
        <f t="shared" si="642"/>
        <v>#DIV/0!</v>
      </c>
      <c r="N1257" s="90" t="e">
        <f t="shared" si="642"/>
        <v>#DIV/0!</v>
      </c>
      <c r="O1257" s="90">
        <f>O1217</f>
        <v>0</v>
      </c>
      <c r="P1257" s="90">
        <f t="shared" si="642"/>
        <v>3.3111706938365307E-2</v>
      </c>
      <c r="Q1257" s="90">
        <f t="shared" si="642"/>
        <v>3.2911841487654143E-2</v>
      </c>
      <c r="R1257" s="90">
        <f t="shared" si="642"/>
        <v>3.3382735801803023E-2</v>
      </c>
      <c r="S1257" s="90">
        <f t="shared" si="642"/>
        <v>3.3017294150705208E-2</v>
      </c>
      <c r="T1257" s="90">
        <f t="shared" si="642"/>
        <v>3.3379639535989797E-2</v>
      </c>
      <c r="U1257" s="90">
        <f t="shared" si="642"/>
        <v>3.4131581106461299E-2</v>
      </c>
      <c r="V1257" s="90"/>
      <c r="W1257" s="90"/>
      <c r="X1257" s="53"/>
      <c r="Y1257" s="53"/>
      <c r="Z1257" s="53"/>
    </row>
    <row r="1258" spans="1:26" ht="15.6">
      <c r="A1258" s="39" t="s">
        <v>768</v>
      </c>
      <c r="G1258" s="123">
        <f t="shared" ref="G1258:U1258" si="643">(G1204*G921)/G$1058</f>
        <v>2.5262854239698363E-4</v>
      </c>
      <c r="H1258" s="123">
        <f t="shared" si="643"/>
        <v>5.9862508037993533E-4</v>
      </c>
      <c r="I1258" s="123">
        <f t="shared" si="643"/>
        <v>7.0959902974484233E-4</v>
      </c>
      <c r="J1258" s="123">
        <f t="shared" si="643"/>
        <v>6.3008935239384416E-4</v>
      </c>
      <c r="K1258" s="123">
        <f t="shared" si="643"/>
        <v>3.8281745049035268E-4</v>
      </c>
      <c r="L1258" s="123">
        <f t="shared" si="643"/>
        <v>4.9770102383339004E-4</v>
      </c>
      <c r="M1258" s="123" t="e">
        <f t="shared" si="643"/>
        <v>#DIV/0!</v>
      </c>
      <c r="N1258" s="123" t="e">
        <f t="shared" si="643"/>
        <v>#DIV/0!</v>
      </c>
      <c r="O1258" s="123" t="e">
        <f t="shared" si="643"/>
        <v>#DIV/0!</v>
      </c>
      <c r="P1258" s="123">
        <f t="shared" si="643"/>
        <v>3.9898804982930406E-4</v>
      </c>
      <c r="Q1258" s="123">
        <f t="shared" si="643"/>
        <v>1.1509597669759367E-4</v>
      </c>
      <c r="R1258" s="123">
        <f t="shared" si="643"/>
        <v>1.7206109883238704E-4</v>
      </c>
      <c r="S1258" s="123">
        <f t="shared" si="643"/>
        <v>4.8481584550307802E-4</v>
      </c>
      <c r="T1258" s="123">
        <f t="shared" si="643"/>
        <v>7.8784652418342944E-4</v>
      </c>
      <c r="U1258" s="123">
        <f t="shared" si="643"/>
        <v>5.2631971014547902E-4</v>
      </c>
      <c r="V1258" s="123"/>
      <c r="W1258" s="123"/>
      <c r="X1258" s="53"/>
      <c r="Y1258" s="53"/>
      <c r="Z1258" s="53"/>
    </row>
    <row r="1259" spans="1:26">
      <c r="B1259" s="39" t="s">
        <v>769</v>
      </c>
      <c r="G1259" s="124">
        <f t="shared" ref="G1259:U1259" si="644">SUM(G1257:G1258)</f>
        <v>3.2801301413924712E-2</v>
      </c>
      <c r="H1259" s="124">
        <f t="shared" si="644"/>
        <v>3.4321830415344853E-2</v>
      </c>
      <c r="I1259" s="124">
        <f t="shared" si="644"/>
        <v>3.4211605077460509E-2</v>
      </c>
      <c r="J1259" s="124">
        <f t="shared" si="644"/>
        <v>3.4749356659079349E-2</v>
      </c>
      <c r="K1259" s="124">
        <f t="shared" si="644"/>
        <v>3.3317112788732166E-2</v>
      </c>
      <c r="L1259" s="124">
        <f t="shared" si="644"/>
        <v>3.4476432076540622E-2</v>
      </c>
      <c r="M1259" s="124" t="e">
        <f t="shared" si="644"/>
        <v>#DIV/0!</v>
      </c>
      <c r="N1259" s="124" t="e">
        <f t="shared" si="644"/>
        <v>#DIV/0!</v>
      </c>
      <c r="O1259" s="124" t="e">
        <f>SUM(O1257:O1258)</f>
        <v>#DIV/0!</v>
      </c>
      <c r="P1259" s="124">
        <f t="shared" si="644"/>
        <v>3.351069498819461E-2</v>
      </c>
      <c r="Q1259" s="124">
        <f t="shared" si="644"/>
        <v>3.3026937464351737E-2</v>
      </c>
      <c r="R1259" s="124">
        <f t="shared" si="644"/>
        <v>3.3554796900635411E-2</v>
      </c>
      <c r="S1259" s="124">
        <f t="shared" si="644"/>
        <v>3.3502109996208285E-2</v>
      </c>
      <c r="T1259" s="124">
        <f t="shared" si="644"/>
        <v>3.4167486060173224E-2</v>
      </c>
      <c r="U1259" s="124">
        <f t="shared" si="644"/>
        <v>3.4657900816606781E-2</v>
      </c>
      <c r="V1259" s="124"/>
      <c r="W1259" s="124"/>
      <c r="X1259" s="53"/>
      <c r="Y1259" s="53"/>
      <c r="Z1259" s="53"/>
    </row>
    <row r="1260" spans="1:26">
      <c r="G1260" s="124"/>
      <c r="H1260" s="124"/>
      <c r="I1260" s="124"/>
      <c r="J1260" s="124"/>
      <c r="K1260" s="124"/>
      <c r="L1260" s="124"/>
      <c r="M1260" s="124"/>
      <c r="N1260" s="124"/>
      <c r="O1260" s="124"/>
      <c r="P1260" s="124"/>
      <c r="Q1260" s="124"/>
      <c r="R1260" s="124"/>
      <c r="S1260" s="124"/>
      <c r="T1260" s="124"/>
      <c r="U1260" s="124"/>
      <c r="V1260" s="90"/>
      <c r="W1260" s="90"/>
      <c r="X1260" s="53"/>
      <c r="Y1260" s="53"/>
      <c r="Z1260" s="53"/>
    </row>
    <row r="1261" spans="1:26">
      <c r="A1261" s="44" t="s">
        <v>927</v>
      </c>
    </row>
    <row r="1262" spans="1:26">
      <c r="A1262" s="39" t="s">
        <v>761</v>
      </c>
      <c r="G1262" s="90">
        <f>G1214</f>
        <v>8.8786464831597136E-4</v>
      </c>
      <c r="H1262" s="90">
        <f t="shared" ref="H1262:U1262" si="645">H1214</f>
        <v>1.0420014853354585E-3</v>
      </c>
      <c r="I1262" s="90">
        <f t="shared" si="645"/>
        <v>0.95532329374294866</v>
      </c>
      <c r="J1262" s="90">
        <f t="shared" si="645"/>
        <v>0.63385400663552482</v>
      </c>
      <c r="K1262" s="90">
        <f t="shared" si="645"/>
        <v>3.1699682181068183</v>
      </c>
      <c r="L1262" s="90">
        <f t="shared" si="645"/>
        <v>0.94688102149355291</v>
      </c>
      <c r="M1262" s="90" t="e">
        <f t="shared" si="645"/>
        <v>#DIV/0!</v>
      </c>
      <c r="N1262" s="90" t="e">
        <f t="shared" si="645"/>
        <v>#DIV/0!</v>
      </c>
      <c r="O1262" s="90">
        <f>O1214</f>
        <v>0</v>
      </c>
      <c r="P1262" s="90">
        <f t="shared" si="645"/>
        <v>0.53619639367123983</v>
      </c>
      <c r="Q1262" s="90">
        <f t="shared" si="645"/>
        <v>0.49713751361662212</v>
      </c>
      <c r="R1262" s="90">
        <f t="shared" si="645"/>
        <v>0.39012267488125757</v>
      </c>
      <c r="S1262" s="90">
        <f t="shared" si="645"/>
        <v>1.0182306109352609E-3</v>
      </c>
      <c r="T1262" s="90">
        <f t="shared" si="645"/>
        <v>1.1725314356976341E-3</v>
      </c>
      <c r="U1262" s="90">
        <f t="shared" si="645"/>
        <v>1.0398943355488359E-3</v>
      </c>
      <c r="V1262" s="90"/>
      <c r="W1262" s="90"/>
      <c r="X1262" s="53"/>
      <c r="Y1262" s="53"/>
      <c r="Z1262" s="53"/>
    </row>
    <row r="1263" spans="1:26" ht="15.6">
      <c r="A1263" s="39" t="s">
        <v>762</v>
      </c>
      <c r="G1263" s="123">
        <f>(G1201*G921)/G1058</f>
        <v>1.8882418257169852E-4</v>
      </c>
      <c r="H1263" s="123">
        <f>(H1201*H921)/H1058</f>
        <v>4.4197397311066981E-4</v>
      </c>
      <c r="I1263" s="123">
        <f>(I1201*I921)/341988</f>
        <v>0.36710521302125482</v>
      </c>
      <c r="J1263" s="123">
        <f>(J1201*J921)/5065324</f>
        <v>0.21730404343804807</v>
      </c>
      <c r="K1263" s="123">
        <f>(K1201*K921)/520367</f>
        <v>1.0432282922313303</v>
      </c>
      <c r="L1263" s="123">
        <f>(L1201*L921)/671385</f>
        <v>0.32376654582061865</v>
      </c>
      <c r="M1263" s="123" t="e">
        <f>(M1201*M921)/276454</f>
        <v>#DIV/0!</v>
      </c>
      <c r="N1263" s="123" t="e">
        <f>(N1201*N921)/1423259</f>
        <v>#DIV/0!</v>
      </c>
      <c r="O1263" s="123">
        <f>(O1201*O921)/696788</f>
        <v>0</v>
      </c>
      <c r="P1263" s="123">
        <f>(P1201*P921)/696788</f>
        <v>0.22493343502265478</v>
      </c>
      <c r="Q1263" s="123">
        <f>(Q1201*Q921)/370450</f>
        <v>5.0252006133912022E-2</v>
      </c>
      <c r="R1263" s="123">
        <f>(R1201*R921)/104943</f>
        <v>6.6056887338449527E-2</v>
      </c>
      <c r="S1263" s="123">
        <f>(S1201*S921)/S$1058</f>
        <v>3.6352932344438317E-4</v>
      </c>
      <c r="T1263" s="123">
        <f>(T1201*T921)/T$1058</f>
        <v>6.0247147908706737E-4</v>
      </c>
      <c r="U1263" s="123">
        <f>(U1201*U921)/U$1058</f>
        <v>3.9464620611790732E-4</v>
      </c>
      <c r="V1263" s="123"/>
      <c r="W1263" s="123"/>
      <c r="X1263" s="53"/>
      <c r="Y1263" s="53"/>
      <c r="Z1263" s="53"/>
    </row>
    <row r="1264" spans="1:26">
      <c r="B1264" s="39" t="s">
        <v>763</v>
      </c>
      <c r="G1264" s="124">
        <f t="shared" ref="G1264:U1264" si="646">SUM(G1262:G1263)</f>
        <v>1.07668883088767E-3</v>
      </c>
      <c r="H1264" s="124">
        <f t="shared" si="646"/>
        <v>1.4839754584461283E-3</v>
      </c>
      <c r="I1264" s="124">
        <f t="shared" si="646"/>
        <v>1.3224285067642034</v>
      </c>
      <c r="J1264" s="124">
        <f t="shared" si="646"/>
        <v>0.85115805007357292</v>
      </c>
      <c r="K1264" s="124">
        <f t="shared" si="646"/>
        <v>4.2131965103381486</v>
      </c>
      <c r="L1264" s="124">
        <f t="shared" si="646"/>
        <v>1.2706475673141715</v>
      </c>
      <c r="M1264" s="124" t="e">
        <f t="shared" si="646"/>
        <v>#DIV/0!</v>
      </c>
      <c r="N1264" s="124" t="e">
        <f t="shared" si="646"/>
        <v>#DIV/0!</v>
      </c>
      <c r="O1264" s="124">
        <f>SUM(O1262:O1263)</f>
        <v>0</v>
      </c>
      <c r="P1264" s="124">
        <f t="shared" si="646"/>
        <v>0.76112982869389456</v>
      </c>
      <c r="Q1264" s="124">
        <f t="shared" si="646"/>
        <v>0.54738951975053418</v>
      </c>
      <c r="R1264" s="124">
        <f t="shared" si="646"/>
        <v>0.45617956221970712</v>
      </c>
      <c r="S1264" s="124">
        <f t="shared" si="646"/>
        <v>1.3817599343796442E-3</v>
      </c>
      <c r="T1264" s="124">
        <f t="shared" si="646"/>
        <v>1.7750029147847015E-3</v>
      </c>
      <c r="U1264" s="124">
        <f t="shared" si="646"/>
        <v>1.4345405416667431E-3</v>
      </c>
      <c r="V1264" s="124"/>
      <c r="W1264" s="124"/>
      <c r="X1264" s="53"/>
      <c r="Y1264" s="53"/>
      <c r="Z1264" s="53"/>
    </row>
    <row r="1266" spans="1:26">
      <c r="A1266" s="44" t="s">
        <v>760</v>
      </c>
    </row>
    <row r="1267" spans="1:26">
      <c r="A1267" s="39" t="s">
        <v>761</v>
      </c>
      <c r="G1267" s="90">
        <f>G1215</f>
        <v>1.7194866902568884E-3</v>
      </c>
      <c r="H1267" s="90">
        <f t="shared" ref="H1267:U1267" si="647">H1215</f>
        <v>2.3244822646833782E-3</v>
      </c>
      <c r="I1267" s="90">
        <f t="shared" si="647"/>
        <v>1.4984251090329288</v>
      </c>
      <c r="J1267" s="90">
        <f t="shared" si="647"/>
        <v>1.1636173831883576</v>
      </c>
      <c r="K1267" s="90">
        <f t="shared" si="647"/>
        <v>4.9629438959183538</v>
      </c>
      <c r="L1267" s="90">
        <f t="shared" si="647"/>
        <v>1.6099682966820508</v>
      </c>
      <c r="M1267" s="90" t="e">
        <f t="shared" si="647"/>
        <v>#DIV/0!</v>
      </c>
      <c r="N1267" s="90" t="e">
        <f t="shared" si="647"/>
        <v>#DIV/0!</v>
      </c>
      <c r="O1267" s="90">
        <f>O1215</f>
        <v>0</v>
      </c>
      <c r="P1267" s="90">
        <f t="shared" si="647"/>
        <v>1.1987367521540391</v>
      </c>
      <c r="Q1267" s="90">
        <f t="shared" si="647"/>
        <v>0.97307753399082897</v>
      </c>
      <c r="R1267" s="90">
        <f t="shared" si="647"/>
        <v>0.64381366818902508</v>
      </c>
      <c r="S1267" s="90">
        <f t="shared" si="647"/>
        <v>0</v>
      </c>
      <c r="T1267" s="90">
        <f t="shared" si="647"/>
        <v>2.3675303538624075E-5</v>
      </c>
      <c r="U1267" s="90">
        <f t="shared" si="647"/>
        <v>8.0644196354510045E-4</v>
      </c>
      <c r="V1267" s="90"/>
      <c r="W1267" s="90"/>
      <c r="X1267" s="53"/>
      <c r="Y1267" s="53"/>
      <c r="Z1267" s="53"/>
    </row>
    <row r="1268" spans="1:26" ht="15.6">
      <c r="A1268" s="39" t="s">
        <v>762</v>
      </c>
      <c r="G1268" s="123">
        <f>(G1202*G921)/2264321177</f>
        <v>3.6568712285875985E-4</v>
      </c>
      <c r="H1268" s="123">
        <f>(H1202*H921)/799975176</f>
        <v>9.8594932579837446E-4</v>
      </c>
      <c r="I1268" s="123">
        <f>(I1202*I921)/214932</f>
        <v>0.45227288927348763</v>
      </c>
      <c r="J1268" s="123">
        <f>(J1202*J921)/3242275</f>
        <v>0.29713707085902058</v>
      </c>
      <c r="K1268" s="123">
        <f>(K1202*K921)/322248</f>
        <v>1.2061836719200203</v>
      </c>
      <c r="L1268" s="123">
        <f>(L1202*L921)/433763</f>
        <v>0.40538536327938218</v>
      </c>
      <c r="M1268" s="123" t="e">
        <f>(M1202*M921)/181277</f>
        <v>#DIV/0!</v>
      </c>
      <c r="N1268" s="123" t="e">
        <f>(N1202*N921)/927407</f>
        <v>#DIV/0!</v>
      </c>
      <c r="O1268" s="123">
        <f>(O1202*O921)/454878</f>
        <v>0</v>
      </c>
      <c r="P1268" s="123">
        <f>(P1202*P921)/454878</f>
        <v>0.32254830616105656</v>
      </c>
      <c r="Q1268" s="123">
        <f>(Q1202*Q921)/216450</f>
        <v>7.8738573013446764E-2</v>
      </c>
      <c r="R1268" s="123">
        <f>(R1202*R921)/104943</f>
        <v>4.3551547575106299E-2</v>
      </c>
      <c r="S1268" s="123">
        <f>(S1202*S921)/S$1058</f>
        <v>0</v>
      </c>
      <c r="T1268" s="123">
        <f>(T1202*T921)/T$1058</f>
        <v>1.216487226396919E-5</v>
      </c>
      <c r="U1268" s="123">
        <f>(U1202*U921)/U$1058</f>
        <v>3.0604961531921271E-4</v>
      </c>
      <c r="V1268" s="123"/>
      <c r="W1268" s="123"/>
      <c r="X1268" s="53"/>
      <c r="Y1268" s="53"/>
      <c r="Z1268" s="53"/>
    </row>
    <row r="1269" spans="1:26">
      <c r="B1269" s="39" t="s">
        <v>763</v>
      </c>
      <c r="G1269" s="124">
        <f t="shared" ref="G1269:U1269" si="648">SUM(G1267:G1268)</f>
        <v>2.0851738131156482E-3</v>
      </c>
      <c r="H1269" s="124">
        <f t="shared" si="648"/>
        <v>3.3104315904817529E-3</v>
      </c>
      <c r="I1269" s="124">
        <f t="shared" si="648"/>
        <v>1.9506979983064165</v>
      </c>
      <c r="J1269" s="124">
        <f t="shared" si="648"/>
        <v>1.4607544540473782</v>
      </c>
      <c r="K1269" s="124">
        <f t="shared" si="648"/>
        <v>6.1691275678383741</v>
      </c>
      <c r="L1269" s="124">
        <f t="shared" si="648"/>
        <v>2.0153536599614328</v>
      </c>
      <c r="M1269" s="124" t="e">
        <f t="shared" si="648"/>
        <v>#DIV/0!</v>
      </c>
      <c r="N1269" s="124" t="e">
        <f t="shared" si="648"/>
        <v>#DIV/0!</v>
      </c>
      <c r="O1269" s="124">
        <f>SUM(O1267:O1268)</f>
        <v>0</v>
      </c>
      <c r="P1269" s="124">
        <f t="shared" si="648"/>
        <v>1.5212850583150956</v>
      </c>
      <c r="Q1269" s="124">
        <f t="shared" si="648"/>
        <v>1.0518161070042757</v>
      </c>
      <c r="R1269" s="124">
        <f t="shared" si="648"/>
        <v>0.68736521576413134</v>
      </c>
      <c r="S1269" s="124">
        <f t="shared" si="648"/>
        <v>0</v>
      </c>
      <c r="T1269" s="124">
        <f t="shared" si="648"/>
        <v>3.5840175802593263E-5</v>
      </c>
      <c r="U1269" s="124">
        <f t="shared" si="648"/>
        <v>1.1124915788643132E-3</v>
      </c>
      <c r="V1269" s="124"/>
      <c r="W1269" s="124"/>
      <c r="X1269" s="53"/>
      <c r="Y1269" s="53"/>
      <c r="Z1269" s="53"/>
    </row>
    <row r="1271" spans="1:26">
      <c r="A1271" s="44" t="s">
        <v>764</v>
      </c>
    </row>
    <row r="1272" spans="1:26">
      <c r="A1272" s="39" t="s">
        <v>765</v>
      </c>
      <c r="G1272" s="90">
        <f>G1216</f>
        <v>3.0578945521826696E-3</v>
      </c>
      <c r="H1272" s="90">
        <f t="shared" ref="H1272:U1272" si="649">H1216</f>
        <v>3.1017610888404226E-3</v>
      </c>
      <c r="I1272" s="90">
        <f t="shared" si="649"/>
        <v>1.3570453365288047</v>
      </c>
      <c r="J1272" s="90">
        <f t="shared" si="649"/>
        <v>1.0200678783693971</v>
      </c>
      <c r="K1272" s="90">
        <f t="shared" si="649"/>
        <v>3.6125562256488064</v>
      </c>
      <c r="L1272" s="90">
        <f t="shared" si="649"/>
        <v>1.2615879644637837</v>
      </c>
      <c r="M1272" s="90" t="e">
        <f t="shared" si="649"/>
        <v>#DIV/0!</v>
      </c>
      <c r="N1272" s="90" t="e">
        <f t="shared" si="649"/>
        <v>#DIV/0!</v>
      </c>
      <c r="O1272" s="90">
        <f>O1216</f>
        <v>0</v>
      </c>
      <c r="P1272" s="90">
        <f t="shared" si="649"/>
        <v>0.5382135596187928</v>
      </c>
      <c r="Q1272" s="90">
        <f t="shared" si="649"/>
        <v>0.91756679563546006</v>
      </c>
      <c r="R1272" s="90">
        <f t="shared" si="649"/>
        <v>0.45895051505833928</v>
      </c>
      <c r="S1272" s="90">
        <f t="shared" si="649"/>
        <v>0</v>
      </c>
      <c r="T1272" s="90">
        <f t="shared" si="649"/>
        <v>2.9436389317004779E-5</v>
      </c>
      <c r="U1272" s="90">
        <f t="shared" si="649"/>
        <v>5.2759522098703797E-4</v>
      </c>
      <c r="V1272" s="90"/>
      <c r="W1272" s="90"/>
      <c r="X1272" s="53"/>
      <c r="Y1272" s="53"/>
      <c r="Z1272" s="53"/>
    </row>
    <row r="1273" spans="1:26" ht="15.6">
      <c r="A1273" s="39" t="s">
        <v>766</v>
      </c>
      <c r="G1273" s="123">
        <f>(G1203*G921)/1583388605</f>
        <v>6.5032934952587238E-4</v>
      </c>
      <c r="H1273" s="123">
        <f>(H1203*H921)/505580412</f>
        <v>1.3156388847502813E-3</v>
      </c>
      <c r="I1273" s="123">
        <f>(I1203*I921)/127056</f>
        <v>0.7107298463351126</v>
      </c>
      <c r="J1273" s="123">
        <f>(J1203*J921)/1823049</f>
        <v>0.50840235574888282</v>
      </c>
      <c r="K1273" s="123">
        <f>(K1203*K921)/194877</f>
        <v>1.7227556482558843</v>
      </c>
      <c r="L1273" s="123">
        <f>(L1203*L921)/232987</f>
        <v>0.6516549987122171</v>
      </c>
      <c r="M1273" s="123" t="e">
        <f>(M1203*M921)/95177</f>
        <v>#DIV/0!</v>
      </c>
      <c r="N1273" s="123" t="e">
        <f>(N1203*N921)/495852</f>
        <v>#DIV/0!</v>
      </c>
      <c r="O1273" s="123">
        <f>(O1203*O921)/234813</f>
        <v>0</v>
      </c>
      <c r="P1273" s="123">
        <f>(P1203*P921)/234813</f>
        <v>0.38943992071045341</v>
      </c>
      <c r="Q1273" s="123">
        <f>(Q1203*Q921)/31727</f>
        <v>0.57643542180495799</v>
      </c>
      <c r="R1273" s="123">
        <f>(R1203*R921)/31727</f>
        <v>0.15435254562027623</v>
      </c>
      <c r="S1273" s="123">
        <f>(S1203*S921)/31727</f>
        <v>0</v>
      </c>
      <c r="T1273" s="123">
        <f>(T1203*T921)/31727</f>
        <v>1.7515885301717874E-3</v>
      </c>
      <c r="U1273" s="123">
        <f>(U1203*U921)/31727</f>
        <v>1.9410528516203004E-2</v>
      </c>
      <c r="V1273" s="123"/>
      <c r="W1273" s="123"/>
      <c r="X1273" s="53"/>
      <c r="Y1273" s="53"/>
      <c r="Z1273" s="53"/>
    </row>
    <row r="1274" spans="1:26">
      <c r="B1274" s="39" t="s">
        <v>767</v>
      </c>
      <c r="G1274" s="124">
        <f t="shared" ref="G1274:P1274" si="650">SUM(G1272:G1273)</f>
        <v>3.7082239017085421E-3</v>
      </c>
      <c r="H1274" s="124">
        <f t="shared" si="650"/>
        <v>4.4173999735907035E-3</v>
      </c>
      <c r="I1274" s="124">
        <f t="shared" si="650"/>
        <v>2.067775182863917</v>
      </c>
      <c r="J1274" s="124">
        <f t="shared" si="650"/>
        <v>1.5284702341182799</v>
      </c>
      <c r="K1274" s="124">
        <f t="shared" si="650"/>
        <v>5.3353118739046907</v>
      </c>
      <c r="L1274" s="124">
        <f t="shared" si="650"/>
        <v>1.9132429631760008</v>
      </c>
      <c r="M1274" s="124" t="e">
        <f t="shared" si="650"/>
        <v>#DIV/0!</v>
      </c>
      <c r="N1274" s="124" t="e">
        <f t="shared" si="650"/>
        <v>#DIV/0!</v>
      </c>
      <c r="O1274" s="124">
        <f>SUM(O1272:O1273)</f>
        <v>0</v>
      </c>
      <c r="P1274" s="124">
        <f t="shared" si="650"/>
        <v>0.92765348032924622</v>
      </c>
      <c r="Q1274" s="124">
        <f>SUM(Q1272:Q1273)</f>
        <v>1.4940022174404182</v>
      </c>
      <c r="R1274" s="124">
        <f>SUM(R1272:R1273)</f>
        <v>0.61330306067861551</v>
      </c>
      <c r="S1274" s="124">
        <f>SUM(S1272:S1273)</f>
        <v>0</v>
      </c>
      <c r="T1274" s="124">
        <f>SUM(T1272:T1273)</f>
        <v>1.7810249194887922E-3</v>
      </c>
      <c r="U1274" s="124">
        <f>SUM(U1272:U1273)</f>
        <v>1.993812373719004E-2</v>
      </c>
      <c r="V1274" s="124"/>
      <c r="W1274" s="124"/>
      <c r="X1274" s="53"/>
      <c r="Y1274" s="53"/>
      <c r="Z1274" s="53"/>
    </row>
    <row r="1276" spans="1:26">
      <c r="A1276" s="44" t="s">
        <v>174</v>
      </c>
    </row>
    <row r="1277" spans="1:26">
      <c r="A1277" s="39" t="s">
        <v>175</v>
      </c>
      <c r="G1277" s="90">
        <f>G1218</f>
        <v>5.0088543173797727E-3</v>
      </c>
      <c r="H1277" s="90">
        <f t="shared" ref="H1277:Q1277" si="651">H1218</f>
        <v>4.7918601283854171E-3</v>
      </c>
      <c r="I1277" s="90">
        <f t="shared" si="651"/>
        <v>2.0643027620813781</v>
      </c>
      <c r="J1277" s="90">
        <f t="shared" si="651"/>
        <v>2.0284535947055575</v>
      </c>
      <c r="K1277" s="90">
        <f t="shared" si="651"/>
        <v>7.516282588402043</v>
      </c>
      <c r="L1277" s="90">
        <f t="shared" si="651"/>
        <v>2.622053726608121</v>
      </c>
      <c r="M1277" s="90" t="e">
        <f t="shared" si="651"/>
        <v>#DIV/0!</v>
      </c>
      <c r="N1277" s="90" t="e">
        <f t="shared" si="651"/>
        <v>#DIV/0!</v>
      </c>
      <c r="O1277" s="90">
        <f>O1218</f>
        <v>0</v>
      </c>
      <c r="P1277" s="90">
        <f t="shared" si="651"/>
        <v>0</v>
      </c>
      <c r="Q1277" s="90">
        <f t="shared" si="651"/>
        <v>1.3985216767871658</v>
      </c>
      <c r="R1277" s="90">
        <f>R1218</f>
        <v>0.91287314138750009</v>
      </c>
      <c r="S1277" s="90">
        <f>S1218</f>
        <v>3.375264672602294E-3</v>
      </c>
      <c r="T1277" s="90">
        <f>T1218</f>
        <v>4.0483348674836368E-3</v>
      </c>
      <c r="U1277" s="90">
        <f>U1218</f>
        <v>1.7311536210980723E-3</v>
      </c>
      <c r="V1277" s="90"/>
      <c r="W1277" s="90"/>
      <c r="X1277" s="53"/>
      <c r="Y1277" s="53"/>
      <c r="Z1277" s="53"/>
    </row>
    <row r="1278" spans="1:26" ht="15.6">
      <c r="A1278" s="39" t="s">
        <v>176</v>
      </c>
      <c r="G1278" s="123">
        <f>(G1205*G921)/G$1058</f>
        <v>1.5555325671459228E-3</v>
      </c>
      <c r="H1278" s="123">
        <f>(H1205*H921)/H$1058</f>
        <v>2.7199166801733792E-3</v>
      </c>
      <c r="I1278" s="123">
        <f>(I1205*I921)/341988</f>
        <v>0.97686691732147413</v>
      </c>
      <c r="J1278" s="123">
        <f>(J1205*J921)/5065324</f>
        <v>0.92062971724081555</v>
      </c>
      <c r="K1278" s="123">
        <f>(K1205*K921)/520367</f>
        <v>3.1722564167662344</v>
      </c>
      <c r="L1278" s="123">
        <f>(L1205*L921)/671385</f>
        <v>1.249737367929213</v>
      </c>
      <c r="M1278" s="123" t="e">
        <f>(M1205*M921)/276454</f>
        <v>#DIV/0!</v>
      </c>
      <c r="N1278" s="123" t="e">
        <f>(N1205*N921)/1423259</f>
        <v>#DIV/0!</v>
      </c>
      <c r="O1278" s="123">
        <f>(O1205*O921)/696788</f>
        <v>0</v>
      </c>
      <c r="P1278" s="123">
        <f>(P1205*P921)/696788</f>
        <v>0</v>
      </c>
      <c r="Q1278" s="123">
        <f>(Q1205*Q921)/370450</f>
        <v>0.1883430543354411</v>
      </c>
      <c r="R1278" s="123">
        <f>(R1205*R921)/104943</f>
        <v>0.20800699117059795</v>
      </c>
      <c r="S1278" s="123">
        <f>(S1205*S921)/S$1058</f>
        <v>1.619644361855011E-3</v>
      </c>
      <c r="T1278" s="123">
        <f>(T1205*T921)/T$1058</f>
        <v>2.6936509494439437E-3</v>
      </c>
      <c r="U1278" s="123">
        <f>(U1205*U921)/U$1058</f>
        <v>8.7801074350381811E-4</v>
      </c>
      <c r="V1278" s="123"/>
      <c r="W1278" s="123"/>
      <c r="X1278" s="55"/>
      <c r="Y1278" s="55"/>
      <c r="Z1278" s="55"/>
    </row>
    <row r="1279" spans="1:26">
      <c r="B1279" s="39" t="s">
        <v>177</v>
      </c>
      <c r="G1279" s="90">
        <f>G1277+G1278</f>
        <v>6.5643868845256959E-3</v>
      </c>
      <c r="H1279" s="90">
        <f t="shared" ref="H1279:Q1279" si="652">H1277+H1278</f>
        <v>7.5117768085587958E-3</v>
      </c>
      <c r="I1279" s="90">
        <f t="shared" si="652"/>
        <v>3.0411696794028522</v>
      </c>
      <c r="J1279" s="90">
        <f t="shared" si="652"/>
        <v>2.9490833119463731</v>
      </c>
      <c r="K1279" s="90">
        <f t="shared" si="652"/>
        <v>10.688539005168277</v>
      </c>
      <c r="L1279" s="90">
        <f t="shared" si="652"/>
        <v>3.8717910945373339</v>
      </c>
      <c r="M1279" s="90" t="e">
        <f t="shared" si="652"/>
        <v>#DIV/0!</v>
      </c>
      <c r="N1279" s="90" t="e">
        <f t="shared" si="652"/>
        <v>#DIV/0!</v>
      </c>
      <c r="O1279" s="90">
        <f>O1277+O1278</f>
        <v>0</v>
      </c>
      <c r="P1279" s="90">
        <f t="shared" si="652"/>
        <v>0</v>
      </c>
      <c r="Q1279" s="90">
        <f t="shared" si="652"/>
        <v>1.586864731122607</v>
      </c>
      <c r="R1279" s="90">
        <f>R1277+R1278</f>
        <v>1.1208801325580979</v>
      </c>
      <c r="S1279" s="90">
        <f>S1277+S1278</f>
        <v>4.9949090344573047E-3</v>
      </c>
      <c r="T1279" s="90">
        <f>T1277+T1278</f>
        <v>6.7419858169275801E-3</v>
      </c>
      <c r="U1279" s="90">
        <f>U1277+U1278</f>
        <v>2.6091643646018905E-3</v>
      </c>
      <c r="V1279" s="90"/>
      <c r="W1279" s="90"/>
      <c r="X1279" s="53"/>
      <c r="Y1279" s="53"/>
      <c r="Z1279" s="53"/>
    </row>
    <row r="1280" spans="1:26">
      <c r="J1280" s="90"/>
    </row>
    <row r="1281" spans="1:27">
      <c r="A1281" s="44" t="s">
        <v>178</v>
      </c>
    </row>
    <row r="1282" spans="1:27">
      <c r="A1282" s="39" t="s">
        <v>179</v>
      </c>
      <c r="G1282" s="89">
        <f>G1219</f>
        <v>15.342539178242264</v>
      </c>
      <c r="H1282" s="89">
        <f t="shared" ref="H1282:U1282" si="653">H1219</f>
        <v>26.592736031022781</v>
      </c>
      <c r="I1282" s="89">
        <f t="shared" si="653"/>
        <v>162.77351963561213</v>
      </c>
      <c r="J1282" s="89">
        <f t="shared" si="653"/>
        <v>58.758716486660248</v>
      </c>
      <c r="K1282" s="89">
        <f t="shared" si="653"/>
        <v>254.14222514971524</v>
      </c>
      <c r="L1282" s="89">
        <f t="shared" si="653"/>
        <v>148.99848045473769</v>
      </c>
      <c r="M1282" s="89" t="e">
        <f t="shared" si="653"/>
        <v>#DIV/0!</v>
      </c>
      <c r="N1282" s="89" t="e">
        <f t="shared" si="653"/>
        <v>#DIV/0!</v>
      </c>
      <c r="O1282" s="89">
        <f>O1219</f>
        <v>0</v>
      </c>
      <c r="P1282" s="89">
        <f t="shared" si="653"/>
        <v>1064.7108751075787</v>
      </c>
      <c r="Q1282" s="89">
        <f t="shared" si="653"/>
        <v>892.33479978166815</v>
      </c>
      <c r="R1282" s="89">
        <f t="shared" si="653"/>
        <v>845.92285129046797</v>
      </c>
      <c r="S1282" s="89">
        <f t="shared" si="653"/>
        <v>6.5824292258493839</v>
      </c>
      <c r="T1282" s="89">
        <f t="shared" si="653"/>
        <v>2.4824914151239334E-3</v>
      </c>
      <c r="U1282" s="89">
        <f t="shared" si="653"/>
        <v>1.6167571421922853E-2</v>
      </c>
      <c r="V1282" s="89"/>
      <c r="W1282" s="89"/>
      <c r="X1282" s="52"/>
      <c r="Y1282" s="52"/>
      <c r="Z1282" s="52"/>
    </row>
    <row r="1283" spans="1:27" ht="15.6">
      <c r="A1283" s="39" t="s">
        <v>180</v>
      </c>
      <c r="G1283" s="125">
        <f t="shared" ref="G1283:R1283" si="654">(G1206*G921)/G1064</f>
        <v>2.9675933226460289</v>
      </c>
      <c r="H1283" s="125">
        <f t="shared" si="654"/>
        <v>8.0683061448462485</v>
      </c>
      <c r="I1283" s="125">
        <f t="shared" si="654"/>
        <v>37.075630405708594</v>
      </c>
      <c r="J1283" s="125">
        <f t="shared" si="654"/>
        <v>12.99665420456861</v>
      </c>
      <c r="K1283" s="125">
        <f t="shared" si="654"/>
        <v>20.911956121886977</v>
      </c>
      <c r="L1283" s="125">
        <f t="shared" si="654"/>
        <v>10.810666515692946</v>
      </c>
      <c r="M1283" s="125" t="e">
        <f t="shared" si="654"/>
        <v>#DIV/0!</v>
      </c>
      <c r="N1283" s="125" t="e">
        <f t="shared" si="654"/>
        <v>#DIV/0!</v>
      </c>
      <c r="O1283" s="125" t="e">
        <f t="shared" si="654"/>
        <v>#DIV/0!</v>
      </c>
      <c r="P1283" s="125">
        <f t="shared" si="654"/>
        <v>139.21066923509881</v>
      </c>
      <c r="Q1283" s="125">
        <f t="shared" si="654"/>
        <v>39.964376305556819</v>
      </c>
      <c r="R1283" s="125">
        <f t="shared" si="654"/>
        <v>55.377177371257744</v>
      </c>
      <c r="S1283" s="125">
        <f>(S1206*S921)/S1066/12</f>
        <v>4.5290664291316087</v>
      </c>
      <c r="T1283" s="125">
        <f>(T1206*T921)/T1058</f>
        <v>1.0773378136014983E-3</v>
      </c>
      <c r="U1283" s="172">
        <f>(U1206*U921)/U1058</f>
        <v>5.0680756614480153E-3</v>
      </c>
      <c r="V1283" s="125"/>
      <c r="W1283" s="125"/>
      <c r="X1283" s="56"/>
      <c r="Y1283" s="56"/>
      <c r="Z1283" s="56"/>
    </row>
    <row r="1284" spans="1:27">
      <c r="B1284" s="39" t="s">
        <v>181</v>
      </c>
      <c r="G1284" s="89">
        <f>G1282+G1283</f>
        <v>18.310132500888294</v>
      </c>
      <c r="H1284" s="89">
        <f t="shared" ref="H1284:Q1284" si="655">H1282+H1283</f>
        <v>34.661042175869028</v>
      </c>
      <c r="I1284" s="89">
        <f t="shared" si="655"/>
        <v>199.84915004132074</v>
      </c>
      <c r="J1284" s="89">
        <f t="shared" si="655"/>
        <v>71.755370691228862</v>
      </c>
      <c r="K1284" s="89">
        <f t="shared" si="655"/>
        <v>275.0541812716022</v>
      </c>
      <c r="L1284" s="89">
        <f t="shared" si="655"/>
        <v>159.80914697043065</v>
      </c>
      <c r="M1284" s="89" t="e">
        <f t="shared" si="655"/>
        <v>#DIV/0!</v>
      </c>
      <c r="N1284" s="89" t="e">
        <f t="shared" si="655"/>
        <v>#DIV/0!</v>
      </c>
      <c r="O1284" s="89" t="e">
        <f>O1282+O1283</f>
        <v>#DIV/0!</v>
      </c>
      <c r="P1284" s="89">
        <f t="shared" si="655"/>
        <v>1203.9215443426774</v>
      </c>
      <c r="Q1284" s="89">
        <f t="shared" si="655"/>
        <v>932.29917608722496</v>
      </c>
      <c r="R1284" s="89">
        <f>R1282+R1283</f>
        <v>901.30002866172572</v>
      </c>
      <c r="S1284" s="89">
        <f>S1282+S1283</f>
        <v>11.111495654980992</v>
      </c>
      <c r="T1284" s="89">
        <f>T1282+T1283</f>
        <v>3.5598292287254314E-3</v>
      </c>
      <c r="U1284" s="89">
        <f>U1282+U1283</f>
        <v>2.1235647083370869E-2</v>
      </c>
      <c r="V1284" s="89"/>
      <c r="W1284" s="89"/>
      <c r="X1284" s="52"/>
      <c r="Y1284" s="52"/>
      <c r="Z1284" s="52"/>
    </row>
    <row r="1287" spans="1:27">
      <c r="A1287" s="39" t="s">
        <v>1006</v>
      </c>
      <c r="B1287" s="47"/>
      <c r="C1287" s="47"/>
      <c r="D1287" s="47"/>
      <c r="E1287" s="47"/>
      <c r="F1287" s="47"/>
      <c r="G1287" s="173">
        <f>(G1185+G1186+G1187+G1191)+((G1198+G1199+G1200+G1204)*$G$952)</f>
        <v>259838669.86817744</v>
      </c>
      <c r="H1287" s="47"/>
      <c r="I1287" s="47"/>
      <c r="J1287" s="47"/>
      <c r="K1287" s="173"/>
      <c r="L1287" s="173"/>
      <c r="M1287" s="47"/>
      <c r="N1287" s="47"/>
      <c r="O1287" s="173">
        <f>(O1185+O1186+O1187+O1191)+((O1198+O1199+O1200+O1204)*$G$952)</f>
        <v>0</v>
      </c>
      <c r="P1287" s="173">
        <f>(P1185+P1186+P1187+P1191)+((P1198+P1199+P1200+P1204)*$G$952)</f>
        <v>29835652.962658379</v>
      </c>
      <c r="Q1287" s="47"/>
      <c r="R1287" s="47"/>
      <c r="S1287" s="174">
        <f>SUM(P1287:P1287)</f>
        <v>29835652.962658379</v>
      </c>
      <c r="T1287" s="47"/>
      <c r="U1287" s="47"/>
      <c r="V1287" s="47"/>
      <c r="W1287" s="47"/>
      <c r="X1287" s="46"/>
      <c r="Y1287" s="46"/>
      <c r="Z1287" s="46"/>
      <c r="AA1287" s="46"/>
    </row>
    <row r="1288" spans="1:27">
      <c r="A1288" s="39" t="s">
        <v>1007</v>
      </c>
      <c r="B1288" s="47"/>
      <c r="C1288" s="47"/>
      <c r="D1288" s="47"/>
      <c r="E1288" s="47"/>
      <c r="F1288" s="47"/>
      <c r="G1288" s="173">
        <f>(G1188+G1189+G1190)+((G1201+G1202+G1203)*$G$952)</f>
        <v>16636086.697691934</v>
      </c>
      <c r="H1288" s="47"/>
      <c r="I1288" s="47"/>
      <c r="J1288" s="47"/>
      <c r="K1288" s="173"/>
      <c r="L1288" s="173"/>
      <c r="M1288" s="47"/>
      <c r="N1288" s="47"/>
      <c r="O1288" s="173">
        <f>(O1188+O1189+O1190)+((O1201+O1202+O1203)*$G$952)</f>
        <v>0</v>
      </c>
      <c r="P1288" s="173">
        <f>(P1188+P1189+P1190)+((P1201+P1202+P1203)*$G$952)</f>
        <v>1658619.3928468942</v>
      </c>
      <c r="Q1288" s="47"/>
      <c r="R1288" s="47"/>
      <c r="S1288" s="174">
        <f>SUM(P1288:P1288)</f>
        <v>1658619.3928468942</v>
      </c>
      <c r="T1288" s="47"/>
      <c r="U1288" s="47"/>
      <c r="V1288" s="47"/>
      <c r="W1288" s="47"/>
      <c r="X1288" s="46"/>
      <c r="Y1288" s="46"/>
      <c r="Z1288" s="46"/>
      <c r="AA1288" s="46"/>
    </row>
    <row r="1289" spans="1:27">
      <c r="A1289" s="39" t="s">
        <v>1008</v>
      </c>
      <c r="G1289" s="175">
        <f>(G1192+G1193)+((G1205+G1206)*$G$952)</f>
        <v>114819562.0165803</v>
      </c>
      <c r="K1289" s="173"/>
      <c r="L1289" s="173"/>
      <c r="O1289" s="175">
        <f>(O1192+O1193)+((O1205+O1206)*$G$952)</f>
        <v>0</v>
      </c>
      <c r="P1289" s="175">
        <f>(P1192+P1193)+((P1205+P1206)*$G$952)</f>
        <v>158059.29654198221</v>
      </c>
      <c r="S1289" s="174">
        <f>SUM(P1289:P1289)</f>
        <v>158059.29654198221</v>
      </c>
    </row>
    <row r="1290" spans="1:27">
      <c r="G1290" s="176">
        <f>SUM(G1287:G1289)</f>
        <v>391294318.58244967</v>
      </c>
      <c r="K1290" s="174"/>
      <c r="L1290" s="174"/>
      <c r="O1290" s="176">
        <f>SUM(O1287:O1289)</f>
        <v>0</v>
      </c>
      <c r="P1290" s="176">
        <f>SUM(P1287:P1289)</f>
        <v>31652331.652047254</v>
      </c>
      <c r="S1290" s="59" t="e">
        <f>(S1193+#REF!)-S214-#REF!-S324-#REF!-S490-#REF!-S545-#REF!-S600-#REF!</f>
        <v>#REF!</v>
      </c>
    </row>
    <row r="1291" spans="1:27">
      <c r="K1291" s="47"/>
      <c r="L1291" s="47"/>
      <c r="S1291" s="89" t="e">
        <f>S1290/(S1066+#REF!)/12</f>
        <v>#REF!</v>
      </c>
    </row>
    <row r="1292" spans="1:27">
      <c r="A1292" s="39" t="s">
        <v>1009</v>
      </c>
      <c r="G1292" s="110">
        <f>G1287/$G$1290</f>
        <v>0.66404917610227654</v>
      </c>
      <c r="K1292" s="168"/>
      <c r="L1292" s="168"/>
      <c r="O1292" s="110">
        <f t="shared" ref="O1292:P1294" si="656">O1287/$P$1290</f>
        <v>0</v>
      </c>
      <c r="P1292" s="110">
        <f t="shared" si="656"/>
        <v>0.94260521754417503</v>
      </c>
      <c r="S1292" s="59" t="e">
        <f>(S1206+#REF!)-S159-#REF!</f>
        <v>#REF!</v>
      </c>
    </row>
    <row r="1293" spans="1:27">
      <c r="A1293" s="39" t="s">
        <v>1010</v>
      </c>
      <c r="G1293" s="110">
        <f>G1288/$G$1290</f>
        <v>4.2515533468412837E-2</v>
      </c>
      <c r="K1293" s="168"/>
      <c r="L1293" s="168"/>
      <c r="O1293" s="110">
        <f t="shared" si="656"/>
        <v>0</v>
      </c>
      <c r="P1293" s="110">
        <f t="shared" si="656"/>
        <v>5.2401175720007839E-2</v>
      </c>
      <c r="S1293" s="122" t="e">
        <f>(S1292*0.0712)/(S1066+#REF!)/12</f>
        <v>#REF!</v>
      </c>
    </row>
    <row r="1294" spans="1:27">
      <c r="A1294" s="39" t="s">
        <v>1011</v>
      </c>
      <c r="G1294" s="177">
        <f>G1289/$G$1290</f>
        <v>0.2934352904293106</v>
      </c>
      <c r="K1294" s="168"/>
      <c r="L1294" s="168"/>
      <c r="O1294" s="177">
        <f t="shared" si="656"/>
        <v>0</v>
      </c>
      <c r="P1294" s="177">
        <f t="shared" si="656"/>
        <v>4.9936067358171713E-3</v>
      </c>
    </row>
    <row r="1295" spans="1:27">
      <c r="G1295" s="106">
        <f>SUM(G1292:G1294)</f>
        <v>1</v>
      </c>
      <c r="K1295" s="178"/>
      <c r="L1295" s="178"/>
      <c r="O1295" s="106">
        <f>SUM(O1292:O1294)</f>
        <v>0</v>
      </c>
      <c r="P1295" s="106">
        <f>SUM(P1292:P1294)</f>
        <v>1</v>
      </c>
    </row>
    <row r="1296" spans="1:27">
      <c r="S1296" s="179">
        <f>S1244+S1249+S1254+S1259+S1264+S1269+S1274+S1279</f>
        <v>4.9898773746156928E-2</v>
      </c>
    </row>
    <row r="1298" spans="6:28">
      <c r="F1298" s="59"/>
      <c r="G1298" s="59"/>
      <c r="H1298" s="59"/>
      <c r="I1298" s="59"/>
      <c r="J1298" s="59"/>
      <c r="K1298" s="59"/>
      <c r="L1298" s="59"/>
      <c r="M1298" s="59"/>
      <c r="N1298" s="59"/>
      <c r="O1298" s="59"/>
      <c r="P1298" s="59"/>
      <c r="Q1298" s="59"/>
      <c r="R1298" s="59"/>
      <c r="S1298" s="59"/>
      <c r="T1298" s="59"/>
      <c r="U1298" s="59"/>
      <c r="V1298" s="59"/>
      <c r="W1298" s="59"/>
      <c r="X1298" s="43"/>
      <c r="Y1298" s="43"/>
      <c r="Z1298" s="43"/>
      <c r="AA1298" s="43"/>
      <c r="AB1298" s="37"/>
    </row>
    <row r="1299" spans="6:28">
      <c r="F1299" s="59"/>
      <c r="G1299" s="59"/>
      <c r="H1299" s="59"/>
      <c r="I1299" s="59"/>
      <c r="J1299" s="59"/>
      <c r="K1299" s="59"/>
      <c r="L1299" s="59"/>
      <c r="M1299" s="59"/>
      <c r="N1299" s="59"/>
      <c r="O1299" s="59"/>
      <c r="P1299" s="59"/>
      <c r="Q1299" s="59"/>
      <c r="R1299" s="59"/>
      <c r="S1299" s="59"/>
      <c r="T1299" s="59"/>
      <c r="U1299" s="59"/>
      <c r="V1299" s="59"/>
      <c r="W1299" s="59"/>
      <c r="X1299" s="43"/>
      <c r="Y1299" s="43"/>
      <c r="Z1299" s="43"/>
      <c r="AA1299" s="43"/>
      <c r="AB1299" s="37"/>
    </row>
    <row r="1300" spans="6:28">
      <c r="F1300" s="59"/>
      <c r="G1300" s="59"/>
      <c r="H1300" s="59"/>
      <c r="I1300" s="59"/>
      <c r="J1300" s="59"/>
      <c r="K1300" s="59"/>
      <c r="L1300" s="59"/>
      <c r="M1300" s="59"/>
      <c r="N1300" s="59"/>
      <c r="O1300" s="59"/>
      <c r="P1300" s="59"/>
      <c r="Q1300" s="59"/>
      <c r="R1300" s="59"/>
      <c r="S1300" s="59"/>
      <c r="T1300" s="59"/>
      <c r="U1300" s="59"/>
      <c r="V1300" s="59"/>
      <c r="W1300" s="59"/>
      <c r="X1300" s="43"/>
      <c r="Y1300" s="43"/>
      <c r="Z1300" s="43"/>
      <c r="AA1300" s="43"/>
      <c r="AB1300" s="37"/>
    </row>
    <row r="1301" spans="6:28">
      <c r="F1301" s="59"/>
      <c r="G1301" s="59"/>
      <c r="H1301" s="59"/>
      <c r="I1301" s="59"/>
      <c r="J1301" s="59"/>
      <c r="K1301" s="59"/>
      <c r="L1301" s="59"/>
      <c r="M1301" s="59"/>
      <c r="N1301" s="59"/>
      <c r="O1301" s="59"/>
      <c r="P1301" s="59"/>
      <c r="Q1301" s="59"/>
      <c r="R1301" s="59"/>
      <c r="S1301" s="59"/>
      <c r="T1301" s="59"/>
      <c r="U1301" s="59"/>
      <c r="V1301" s="59"/>
      <c r="W1301" s="59"/>
      <c r="X1301" s="59"/>
      <c r="Y1301" s="59"/>
      <c r="Z1301" s="59"/>
      <c r="AA1301" s="43"/>
      <c r="AB1301" s="37"/>
    </row>
    <row r="1302" spans="6:28">
      <c r="F1302" s="59"/>
      <c r="G1302" s="59"/>
      <c r="H1302" s="59"/>
      <c r="I1302" s="59"/>
      <c r="J1302" s="59"/>
      <c r="K1302" s="59"/>
      <c r="L1302" s="59"/>
      <c r="M1302" s="59"/>
      <c r="N1302" s="59"/>
      <c r="O1302" s="59"/>
      <c r="P1302" s="59"/>
      <c r="Q1302" s="59"/>
      <c r="R1302" s="59"/>
      <c r="S1302" s="59"/>
      <c r="T1302" s="59"/>
      <c r="U1302" s="59"/>
      <c r="V1302" s="59"/>
      <c r="W1302" s="59"/>
      <c r="X1302" s="59"/>
      <c r="Y1302" s="59"/>
      <c r="Z1302" s="59"/>
      <c r="AA1302" s="43"/>
      <c r="AB1302" s="37"/>
    </row>
    <row r="1303" spans="6:28">
      <c r="F1303" s="59"/>
      <c r="G1303" s="59"/>
      <c r="H1303" s="59"/>
      <c r="I1303" s="59"/>
      <c r="J1303" s="59"/>
      <c r="K1303" s="59"/>
      <c r="L1303" s="59"/>
      <c r="M1303" s="59"/>
      <c r="N1303" s="59"/>
      <c r="O1303" s="59"/>
      <c r="P1303" s="59"/>
      <c r="Q1303" s="59"/>
      <c r="R1303" s="59"/>
      <c r="S1303" s="59"/>
      <c r="T1303" s="59"/>
      <c r="U1303" s="59"/>
      <c r="V1303" s="59"/>
      <c r="W1303" s="59"/>
      <c r="X1303" s="59"/>
      <c r="Y1303" s="59"/>
      <c r="Z1303" s="59"/>
      <c r="AA1303" s="43"/>
      <c r="AB1303" s="37"/>
    </row>
    <row r="1304" spans="6:28">
      <c r="F1304" s="86"/>
      <c r="G1304" s="86"/>
      <c r="H1304" s="86"/>
      <c r="I1304" s="86"/>
      <c r="J1304" s="86"/>
      <c r="K1304" s="86"/>
      <c r="L1304" s="86"/>
      <c r="M1304" s="86"/>
      <c r="N1304" s="86"/>
      <c r="O1304" s="86"/>
      <c r="P1304" s="86"/>
      <c r="Q1304" s="86"/>
      <c r="R1304" s="86"/>
      <c r="S1304" s="86"/>
      <c r="T1304" s="86"/>
      <c r="U1304" s="86"/>
      <c r="V1304" s="86"/>
      <c r="W1304" s="86"/>
      <c r="X1304" s="86"/>
      <c r="Y1304" s="86"/>
      <c r="Z1304" s="86"/>
      <c r="AA1304" s="43"/>
      <c r="AB1304" s="37"/>
    </row>
    <row r="1305" spans="6:28">
      <c r="F1305" s="59"/>
      <c r="G1305" s="59"/>
      <c r="H1305" s="59"/>
      <c r="I1305" s="59"/>
      <c r="J1305" s="59"/>
      <c r="K1305" s="59"/>
      <c r="L1305" s="59"/>
      <c r="M1305" s="59"/>
      <c r="N1305" s="59"/>
      <c r="O1305" s="59"/>
      <c r="P1305" s="59"/>
      <c r="Q1305" s="59"/>
      <c r="R1305" s="59"/>
      <c r="S1305" s="59"/>
      <c r="T1305" s="59"/>
      <c r="U1305" s="59"/>
      <c r="V1305" s="59"/>
      <c r="W1305" s="59"/>
      <c r="X1305" s="59"/>
      <c r="Y1305" s="59"/>
      <c r="Z1305" s="59"/>
      <c r="AA1305" s="43"/>
      <c r="AB1305" s="37"/>
    </row>
    <row r="1306" spans="6:28">
      <c r="F1306" s="59"/>
      <c r="G1306" s="59"/>
      <c r="H1306" s="59"/>
      <c r="I1306" s="59"/>
      <c r="J1306" s="59"/>
      <c r="K1306" s="59"/>
      <c r="L1306" s="59"/>
      <c r="M1306" s="59"/>
      <c r="N1306" s="59"/>
      <c r="O1306" s="59"/>
      <c r="P1306" s="59"/>
      <c r="Q1306" s="59"/>
      <c r="R1306" s="59"/>
      <c r="S1306" s="59"/>
      <c r="T1306" s="59"/>
      <c r="U1306" s="59"/>
      <c r="V1306" s="59"/>
      <c r="W1306" s="59"/>
      <c r="X1306" s="59"/>
      <c r="Y1306" s="59"/>
      <c r="Z1306" s="59"/>
      <c r="AA1306" s="43"/>
      <c r="AB1306" s="37"/>
    </row>
    <row r="1307" spans="6:28">
      <c r="X1307" s="39"/>
      <c r="Y1307" s="39"/>
      <c r="Z1307" s="39"/>
      <c r="AA1307" s="43"/>
      <c r="AB1307" s="37"/>
    </row>
    <row r="1308" spans="6:28">
      <c r="F1308" s="110"/>
      <c r="G1308" s="110"/>
      <c r="H1308" s="110"/>
      <c r="I1308" s="110"/>
      <c r="J1308" s="110"/>
      <c r="K1308" s="110"/>
      <c r="L1308" s="110"/>
      <c r="M1308" s="110"/>
      <c r="N1308" s="110"/>
      <c r="O1308" s="110"/>
      <c r="P1308" s="110"/>
      <c r="Q1308" s="110"/>
      <c r="R1308" s="110"/>
      <c r="S1308" s="110"/>
      <c r="T1308" s="110"/>
      <c r="U1308" s="110"/>
      <c r="V1308" s="110"/>
      <c r="W1308" s="110"/>
      <c r="X1308" s="51"/>
      <c r="Y1308" s="51"/>
      <c r="Z1308" s="51"/>
      <c r="AA1308" s="43"/>
      <c r="AB1308" s="37"/>
    </row>
    <row r="1309" spans="6:28">
      <c r="F1309" s="89"/>
      <c r="G1309" s="89"/>
      <c r="H1309" s="89"/>
      <c r="I1309" s="89"/>
      <c r="J1309" s="89"/>
      <c r="K1309" s="89"/>
      <c r="L1309" s="89"/>
      <c r="M1309" s="89"/>
      <c r="N1309" s="89"/>
      <c r="O1309" s="89"/>
      <c r="P1309" s="89"/>
      <c r="Q1309" s="89"/>
      <c r="R1309" s="89"/>
      <c r="S1309" s="89"/>
      <c r="T1309" s="89"/>
      <c r="U1309" s="89"/>
      <c r="V1309" s="89"/>
      <c r="W1309" s="89"/>
      <c r="X1309" s="89"/>
      <c r="Y1309" s="89"/>
      <c r="Z1309" s="89"/>
      <c r="AA1309" s="43"/>
      <c r="AB1309" s="37"/>
    </row>
    <row r="1310" spans="6:28">
      <c r="F1310" s="59"/>
      <c r="G1310" s="59"/>
      <c r="H1310" s="59"/>
      <c r="I1310" s="59"/>
      <c r="J1310" s="59"/>
      <c r="K1310" s="59"/>
      <c r="L1310" s="59"/>
      <c r="M1310" s="59"/>
      <c r="N1310" s="59"/>
      <c r="O1310" s="59"/>
      <c r="P1310" s="59"/>
      <c r="Q1310" s="59"/>
      <c r="R1310" s="59"/>
      <c r="S1310" s="59"/>
      <c r="T1310" s="59"/>
      <c r="U1310" s="59"/>
      <c r="V1310" s="59"/>
      <c r="W1310" s="59"/>
      <c r="X1310" s="59"/>
      <c r="Y1310" s="59"/>
      <c r="Z1310" s="59"/>
      <c r="AA1310" s="43"/>
      <c r="AB1310" s="37"/>
    </row>
  </sheetData>
  <autoFilter ref="D2:E1306"/>
  <phoneticPr fontId="0" type="noConversion"/>
  <conditionalFormatting sqref="X1059:X1060">
    <cfRule type="cellIs" dxfId="0" priority="1" stopIfTrue="1" operator="notEqual">
      <formula>""</formula>
    </cfRule>
  </conditionalFormatting>
  <pageMargins left="0.75" right="0.25" top="1.25" bottom="0.5" header="0.69" footer="0.18"/>
  <pageSetup scale="58" fitToWidth="2" fitToHeight="30" pageOrder="overThenDown" orientation="landscape" r:id="rId1"/>
  <headerFooter alignWithMargins="0">
    <oddHeader>&amp;C&amp;"Times New Roman,Bold"LOUISVILLE GAS AND ELECTRIC COMPANY
Electric Cost of Service Study
Class Allocation
Twelve Months Ended March 31, 2012</oddHeader>
    <oddFooter>&amp;R&amp;"Times New Roman,Bold"&amp;12Conroy Exhibit C3
Page  &amp;P of &amp;N</oddFooter>
  </headerFooter>
  <rowBreaks count="19" manualBreakCount="19">
    <brk id="60" min="5" max="20" man="1"/>
    <brk id="115" min="5" max="20" man="1"/>
    <brk id="170" min="5" max="20" man="1"/>
    <brk id="225" min="5" max="20" man="1"/>
    <brk id="280" min="5" max="20" man="1"/>
    <brk id="335" min="5" max="20" man="1"/>
    <brk id="391" min="5" max="20" man="1"/>
    <brk id="446" min="5" max="20" man="1"/>
    <brk id="501" min="5" max="20" man="1"/>
    <brk id="556" min="5" max="20" man="1"/>
    <brk id="611" min="5" max="20" man="1"/>
    <brk id="666" min="5" max="20" man="1"/>
    <brk id="704" min="5" max="20" man="1"/>
    <brk id="723" min="5" max="20" man="1"/>
    <brk id="751" min="5" max="20" man="1"/>
    <brk id="811" min="5" max="20" man="1"/>
    <brk id="1039" min="5" max="20" man="1"/>
    <brk id="1083" min="5" max="20" man="1"/>
    <brk id="1123" min="5" max="20" man="1"/>
  </rowBreaks>
  <colBreaks count="2" manualBreakCount="2">
    <brk id="15" min="1009" max="1166" man="1"/>
    <brk id="15" min="5" max="82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C32" sqref="C32"/>
    </sheetView>
  </sheetViews>
  <sheetFormatPr defaultColWidth="9.109375" defaultRowHeight="13.8"/>
  <cols>
    <col min="1" max="1" width="40.88671875" style="411" customWidth="1"/>
    <col min="2" max="2" width="16.88671875" style="3" customWidth="1"/>
    <col min="3" max="3" width="16.6640625" style="3" customWidth="1"/>
    <col min="4" max="4" width="15.44140625" style="3" customWidth="1"/>
    <col min="5" max="5" width="16.6640625" style="8" customWidth="1"/>
    <col min="6" max="6" width="11.88671875" style="411" customWidth="1"/>
    <col min="7" max="7" width="1.6640625" style="4" customWidth="1"/>
    <col min="8" max="8" width="13.109375" style="411" customWidth="1"/>
    <col min="9" max="11" width="15.6640625" style="4" customWidth="1"/>
    <col min="12" max="12" width="15.6640625" style="411" customWidth="1"/>
    <col min="13" max="16384" width="9.109375" style="411"/>
  </cols>
  <sheetData>
    <row r="1" spans="1:12" ht="17.399999999999999">
      <c r="A1" s="410" t="s">
        <v>637</v>
      </c>
    </row>
    <row r="2" spans="1:12">
      <c r="A2" s="412" t="s">
        <v>1488</v>
      </c>
    </row>
    <row r="3" spans="1:12">
      <c r="A3" s="413" t="s">
        <v>1542</v>
      </c>
    </row>
    <row r="5" spans="1:12">
      <c r="A5" s="414"/>
      <c r="C5" s="415" t="s">
        <v>182</v>
      </c>
      <c r="D5" s="415" t="s">
        <v>184</v>
      </c>
      <c r="E5" s="25"/>
      <c r="F5" s="416"/>
      <c r="G5" s="8"/>
      <c r="H5" s="415" t="s">
        <v>1539</v>
      </c>
      <c r="I5" s="417" t="s">
        <v>1539</v>
      </c>
      <c r="L5" s="8"/>
    </row>
    <row r="6" spans="1:12" ht="14.4" thickBot="1">
      <c r="A6" s="418"/>
      <c r="B6" s="419" t="s">
        <v>1235</v>
      </c>
      <c r="C6" s="419" t="s">
        <v>183</v>
      </c>
      <c r="D6" s="419" t="s">
        <v>1234</v>
      </c>
      <c r="E6" s="420" t="s">
        <v>1069</v>
      </c>
      <c r="F6" s="419" t="s">
        <v>185</v>
      </c>
      <c r="G6" s="8"/>
      <c r="H6" s="419" t="s">
        <v>1540</v>
      </c>
      <c r="I6" s="419" t="s">
        <v>1541</v>
      </c>
      <c r="L6" s="8"/>
    </row>
    <row r="7" spans="1:12">
      <c r="A7" s="414"/>
      <c r="G7" s="8"/>
      <c r="L7" s="8"/>
    </row>
    <row r="8" spans="1:12">
      <c r="A8" s="421" t="s">
        <v>1422</v>
      </c>
      <c r="B8" s="2">
        <f>'Allocation ProForma'!G750</f>
        <v>392596289.96232134</v>
      </c>
      <c r="C8" s="2">
        <f>'Allocation ProForma'!G808</f>
        <v>359791950.20914841</v>
      </c>
      <c r="D8" s="2">
        <f t="shared" ref="D8:D23" si="0">B8-C8</f>
        <v>32804339.753172934</v>
      </c>
      <c r="E8" s="2">
        <f>'Allocation ProForma'!G821</f>
        <v>919864920.90748382</v>
      </c>
      <c r="F8" s="14">
        <f t="shared" ref="F8:F24" si="1">D8/E8</f>
        <v>3.5662127131459838E-2</v>
      </c>
      <c r="H8" s="4">
        <f>'Allocation ProForma'!$G867</f>
        <v>37745183.151543155</v>
      </c>
      <c r="I8" s="4">
        <f>'Allocation ProForma'!$G935</f>
        <v>67883431.935340583</v>
      </c>
      <c r="L8" s="8"/>
    </row>
    <row r="9" spans="1:12">
      <c r="A9" s="421" t="s">
        <v>643</v>
      </c>
      <c r="B9" s="4">
        <f>'Allocation ProForma'!H750</f>
        <v>143422627.46525034</v>
      </c>
      <c r="C9" s="4">
        <f>'Allocation ProForma'!H808</f>
        <v>118074304.51193875</v>
      </c>
      <c r="D9" s="4">
        <f t="shared" si="0"/>
        <v>25348322.953311592</v>
      </c>
      <c r="E9" s="4">
        <f>'Allocation ProForma'!H821</f>
        <v>246026164.86771092</v>
      </c>
      <c r="F9" s="14">
        <f t="shared" si="1"/>
        <v>0.10303100471830494</v>
      </c>
      <c r="H9" s="4">
        <f>'Allocation ProForma'!$H867</f>
        <v>-16367777.01932539</v>
      </c>
      <c r="I9" s="4">
        <f>'Allocation ProForma'!$H935</f>
        <v>-8307030.7123659849</v>
      </c>
      <c r="L9" s="8"/>
    </row>
    <row r="10" spans="1:12">
      <c r="A10" s="422" t="s">
        <v>1423</v>
      </c>
      <c r="B10" s="32">
        <f>'Allocation ProForma'!I750</f>
        <v>18472103.679363709</v>
      </c>
      <c r="C10" s="32">
        <f>'Allocation ProForma'!I808</f>
        <v>15344266.238856995</v>
      </c>
      <c r="D10" s="32">
        <f t="shared" si="0"/>
        <v>3127837.4405067135</v>
      </c>
      <c r="E10" s="32">
        <f>'Allocation ProForma'!I821</f>
        <v>25254598.316034239</v>
      </c>
      <c r="F10" s="33">
        <f t="shared" si="1"/>
        <v>0.12385219520679677</v>
      </c>
      <c r="H10" s="4">
        <f>'Allocation ProForma'!$I867</f>
        <v>-2519701.2404853818</v>
      </c>
      <c r="I10" s="4">
        <f>'Allocation ProForma'!$I935</f>
        <v>-1692265.2227789685</v>
      </c>
      <c r="L10" s="8"/>
    </row>
    <row r="11" spans="1:12">
      <c r="A11" s="422" t="s">
        <v>1424</v>
      </c>
      <c r="B11" s="4">
        <f>'Allocation ProForma'!J750</f>
        <v>191420558.2696141</v>
      </c>
      <c r="C11" s="4">
        <f>'Allocation ProForma'!J808</f>
        <v>160648084.04948542</v>
      </c>
      <c r="D11" s="32">
        <f t="shared" si="0"/>
        <v>30772474.220128685</v>
      </c>
      <c r="E11" s="4">
        <f>'Allocation ProForma'!J821</f>
        <v>291144488.1069302</v>
      </c>
      <c r="F11" s="14">
        <f t="shared" si="1"/>
        <v>0.10569485419496148</v>
      </c>
      <c r="H11" s="4">
        <f>'Allocation ProForma'!$J867</f>
        <v>-20607713.047606405</v>
      </c>
      <c r="I11" s="4">
        <f>'Allocation ProForma'!$J935</f>
        <v>-11068720.076832354</v>
      </c>
    </row>
    <row r="12" spans="1:12">
      <c r="A12" s="422" t="s">
        <v>1523</v>
      </c>
      <c r="B12" s="4">
        <f>'Allocation ProForma'!K750</f>
        <v>124878893.95462218</v>
      </c>
      <c r="C12" s="4">
        <f>'Allocation ProForma'!K808</f>
        <v>113965156.22983803</v>
      </c>
      <c r="D12" s="4">
        <f t="shared" si="0"/>
        <v>10913737.724784151</v>
      </c>
      <c r="E12" s="4">
        <f>'Allocation ProForma'!K821</f>
        <v>196251935.5148834</v>
      </c>
      <c r="F12" s="14">
        <f t="shared" si="1"/>
        <v>5.5610853957445285E-2</v>
      </c>
      <c r="H12" s="4">
        <f>'Allocation ProForma'!$K867</f>
        <v>1802183.2091602262</v>
      </c>
      <c r="I12" s="4">
        <f>'Allocation ProForma'!$K935</f>
        <v>8232137.7844626158</v>
      </c>
    </row>
    <row r="13" spans="1:12">
      <c r="A13" s="422" t="s">
        <v>1524</v>
      </c>
      <c r="B13" s="4">
        <f>'Allocation ProForma'!L750</f>
        <v>44367567.420331962</v>
      </c>
      <c r="C13" s="4">
        <f>'Allocation ProForma'!L808</f>
        <v>39198666.021787189</v>
      </c>
      <c r="D13" s="4">
        <f t="shared" si="0"/>
        <v>5168901.3985447735</v>
      </c>
      <c r="E13" s="4">
        <f>'Allocation ProForma'!L821</f>
        <v>72346854.719544739</v>
      </c>
      <c r="F13" s="14">
        <f t="shared" si="1"/>
        <v>7.1446110803050272E-2</v>
      </c>
      <c r="H13" s="4">
        <f>'Allocation ProForma'!$L867</f>
        <v>-1164767.1741494013</v>
      </c>
      <c r="I13" s="4">
        <f>'Allocation ProForma'!$L935</f>
        <v>1205589.0126174614</v>
      </c>
    </row>
    <row r="14" spans="1:12" hidden="1">
      <c r="A14" s="422"/>
      <c r="B14" s="4">
        <f>'Allocation ProForma'!M750</f>
        <v>0</v>
      </c>
      <c r="C14" s="4">
        <f>'Allocation ProForma'!M808</f>
        <v>0</v>
      </c>
      <c r="D14" s="4">
        <f t="shared" si="0"/>
        <v>0</v>
      </c>
      <c r="E14" s="4">
        <f>'Allocation ProForma'!M821</f>
        <v>0</v>
      </c>
      <c r="F14" s="14" t="e">
        <f t="shared" si="1"/>
        <v>#DIV/0!</v>
      </c>
      <c r="H14" s="4"/>
    </row>
    <row r="15" spans="1:12" hidden="1">
      <c r="A15" s="422"/>
      <c r="B15" s="4">
        <f>'Allocation ProForma'!N750</f>
        <v>0</v>
      </c>
      <c r="C15" s="4">
        <f>'Allocation ProForma'!N808</f>
        <v>0</v>
      </c>
      <c r="D15" s="4">
        <f t="shared" si="0"/>
        <v>0</v>
      </c>
      <c r="E15" s="4">
        <f>'Allocation ProForma'!N821</f>
        <v>0</v>
      </c>
      <c r="F15" s="14" t="e">
        <f t="shared" si="1"/>
        <v>#DIV/0!</v>
      </c>
      <c r="H15" s="4"/>
    </row>
    <row r="16" spans="1:12" hidden="1">
      <c r="A16" s="422" t="s">
        <v>1463</v>
      </c>
      <c r="B16" s="4">
        <f>'Allocation ProForma'!O750</f>
        <v>0</v>
      </c>
      <c r="C16" s="4">
        <f>'Allocation ProForma'!O808</f>
        <v>0</v>
      </c>
      <c r="D16" s="4">
        <f t="shared" si="0"/>
        <v>0</v>
      </c>
      <c r="E16" s="4">
        <f>'Allocation ProForma'!O821</f>
        <v>0</v>
      </c>
      <c r="F16" s="14" t="e">
        <f t="shared" si="1"/>
        <v>#DIV/0!</v>
      </c>
      <c r="H16" s="4"/>
    </row>
    <row r="17" spans="1:9">
      <c r="A17" s="422" t="s">
        <v>1428</v>
      </c>
      <c r="B17" s="4">
        <f>'Allocation ProForma'!P750</f>
        <v>32446128.112328146</v>
      </c>
      <c r="C17" s="4">
        <f>'Allocation ProForma'!P808</f>
        <v>29691491.030764826</v>
      </c>
      <c r="D17" s="4">
        <f t="shared" si="0"/>
        <v>2754637.08156332</v>
      </c>
      <c r="E17" s="4">
        <f>'Allocation ProForma'!P821</f>
        <v>51301441.16227708</v>
      </c>
      <c r="F17" s="14">
        <f t="shared" si="1"/>
        <v>5.369512082223641E-2</v>
      </c>
      <c r="H17" s="4">
        <f>'Allocation ProForma'!$P867</f>
        <v>628016.4572827426</v>
      </c>
      <c r="I17" s="4">
        <f>'Allocation ProForma'!$P935</f>
        <v>2308845.4155070968</v>
      </c>
    </row>
    <row r="18" spans="1:9">
      <c r="A18" s="421" t="s">
        <v>613</v>
      </c>
      <c r="B18" s="4">
        <f>'Allocation ProForma'!Q750</f>
        <v>13470459.835474478</v>
      </c>
      <c r="C18" s="4">
        <f>'Allocation ProForma'!Q808</f>
        <v>13317962.522754906</v>
      </c>
      <c r="D18" s="4">
        <f t="shared" si="0"/>
        <v>152497.31271957234</v>
      </c>
      <c r="E18" s="4">
        <f>'Allocation ProForma'!Q821</f>
        <v>27402587.590025134</v>
      </c>
      <c r="F18" s="14">
        <f t="shared" si="1"/>
        <v>5.5650698029365356E-3</v>
      </c>
      <c r="H18" s="4">
        <f>'Allocation ProForma'!$Q867</f>
        <v>2441207.1816919027</v>
      </c>
      <c r="I18" s="4">
        <f>'Allocation ProForma'!$Q935</f>
        <v>3339019.4401409198</v>
      </c>
    </row>
    <row r="19" spans="1:9">
      <c r="A19" s="421" t="s">
        <v>667</v>
      </c>
      <c r="B19" s="32">
        <f>'Allocation ProForma'!R750</f>
        <v>3454437.2506257729</v>
      </c>
      <c r="C19" s="32">
        <f>'Allocation ProForma'!R808</f>
        <v>3379991.3619847978</v>
      </c>
      <c r="D19" s="32">
        <f t="shared" si="0"/>
        <v>74445.888640975114</v>
      </c>
      <c r="E19" s="32">
        <f>'Allocation ProForma'!R821</f>
        <v>6115479.8705607615</v>
      </c>
      <c r="F19" s="33">
        <f t="shared" si="1"/>
        <v>1.2173351922773768E-2</v>
      </c>
      <c r="H19" s="4">
        <f>'Allocation ProForma'!$R867</f>
        <v>480284.54926395207</v>
      </c>
      <c r="I19" s="4">
        <f>'Allocation ProForma'!$R935</f>
        <v>680650.76563128177</v>
      </c>
    </row>
    <row r="20" spans="1:9">
      <c r="A20" s="422" t="s">
        <v>1525</v>
      </c>
      <c r="B20" s="29">
        <f>SUM(B21:B23)</f>
        <v>18737179.650067955</v>
      </c>
      <c r="C20" s="29">
        <f>SUM(C21:C23)</f>
        <v>13606737.118140424</v>
      </c>
      <c r="D20" s="29">
        <f>SUM(D21:D23)</f>
        <v>5130442.5319275316</v>
      </c>
      <c r="E20" s="29">
        <f>SUM(E21:E23)</f>
        <v>58735284.03995005</v>
      </c>
      <c r="F20" s="30">
        <f t="shared" si="1"/>
        <v>8.7348560848670653E-2</v>
      </c>
      <c r="H20" s="29">
        <f>SUM(H21:H23)</f>
        <v>-2436916.0673755901</v>
      </c>
      <c r="I20" s="29">
        <f>SUM(I21:I23)</f>
        <v>-512526.34172255563</v>
      </c>
    </row>
    <row r="21" spans="1:9" hidden="1">
      <c r="A21" s="422" t="s">
        <v>1490</v>
      </c>
      <c r="B21" s="4">
        <f>'Allocation ProForma'!S750</f>
        <v>18217095.846737977</v>
      </c>
      <c r="C21" s="4">
        <f>'Allocation ProForma'!S808</f>
        <v>13156170.051789608</v>
      </c>
      <c r="D21" s="32">
        <f t="shared" si="0"/>
        <v>5060925.7949483693</v>
      </c>
      <c r="E21" s="4">
        <f>'Allocation ProForma'!S821</f>
        <v>58029895.801223755</v>
      </c>
      <c r="F21" s="14">
        <f t="shared" si="1"/>
        <v>8.7212388116017309E-2</v>
      </c>
      <c r="H21" s="4">
        <f>'Allocation ProForma'!$S867</f>
        <v>-2395033.0640130257</v>
      </c>
      <c r="I21" s="4">
        <f>'Allocation ProForma'!$S935</f>
        <v>-493754.52103986219</v>
      </c>
    </row>
    <row r="22" spans="1:9" hidden="1">
      <c r="A22" s="422" t="s">
        <v>1491</v>
      </c>
      <c r="B22" s="4">
        <f>'Allocation ProForma'!T750</f>
        <v>239985.23563130843</v>
      </c>
      <c r="C22" s="4">
        <f>'Allocation ProForma'!T808</f>
        <v>208525.23652739031</v>
      </c>
      <c r="D22" s="32">
        <f t="shared" si="0"/>
        <v>31459.999103918119</v>
      </c>
      <c r="E22" s="4">
        <f>'Allocation ProForma'!T821</f>
        <v>253517.80058301476</v>
      </c>
      <c r="F22" s="14">
        <f t="shared" si="1"/>
        <v>0.12409384678933619</v>
      </c>
      <c r="H22" s="4">
        <f>'Allocation ProForma'!$T867</f>
        <v>-25391.785795627588</v>
      </c>
      <c r="I22" s="4">
        <f>'Allocation ProForma'!$T935</f>
        <v>-17085.58520961742</v>
      </c>
    </row>
    <row r="23" spans="1:9" hidden="1">
      <c r="A23" s="423" t="s">
        <v>1492</v>
      </c>
      <c r="B23" s="29">
        <f>'Allocation ProForma'!U750</f>
        <v>280098.56769866985</v>
      </c>
      <c r="C23" s="29">
        <f>'Allocation ProForma'!U808</f>
        <v>242041.82982342507</v>
      </c>
      <c r="D23" s="29">
        <f t="shared" si="0"/>
        <v>38056.737875244784</v>
      </c>
      <c r="E23" s="29">
        <f>'Allocation ProForma'!U821</f>
        <v>451870.43814328534</v>
      </c>
      <c r="F23" s="30">
        <f t="shared" si="1"/>
        <v>8.4220463794042716E-2</v>
      </c>
      <c r="H23" s="4">
        <f>'Allocation ProForma'!$U867</f>
        <v>-16491.217566936637</v>
      </c>
      <c r="I23" s="4">
        <f>'Allocation ProForma'!$U935</f>
        <v>-1686.2354730760562</v>
      </c>
    </row>
    <row r="24" spans="1:9">
      <c r="B24" s="4">
        <f>SUM(B8:B20)</f>
        <v>983266245.5999999</v>
      </c>
      <c r="C24" s="4">
        <f>SUM(C8:C20)</f>
        <v>867018609.29469979</v>
      </c>
      <c r="D24" s="4">
        <f>SUM(D8:D20)</f>
        <v>116247636.30530024</v>
      </c>
      <c r="E24" s="4">
        <f>SUM(E8:E20)</f>
        <v>1894443755.0954003</v>
      </c>
      <c r="F24" s="14">
        <f t="shared" si="1"/>
        <v>6.136241099406313E-2</v>
      </c>
      <c r="H24" s="424">
        <f>SUM(H8:H20)</f>
        <v>-1.8905848264694214E-7</v>
      </c>
      <c r="I24" s="424">
        <f>SUM(I8:I20)</f>
        <v>62069132.000000089</v>
      </c>
    </row>
  </sheetData>
  <pageMargins left="0.75" right="0.75" top="0.75" bottom="0.75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76"/>
  <sheetViews>
    <sheetView topLeftCell="A18" workbookViewId="0">
      <selection activeCell="G54" sqref="G54"/>
    </sheetView>
  </sheetViews>
  <sheetFormatPr defaultRowHeight="13.8"/>
  <cols>
    <col min="1" max="1" width="48.109375" bestFit="1" customWidth="1"/>
    <col min="3" max="3" width="19" style="3" bestFit="1" customWidth="1"/>
    <col min="4" max="4" width="19.6640625" style="3" customWidth="1"/>
    <col min="5" max="5" width="18" style="3" customWidth="1"/>
    <col min="6" max="6" width="18.88671875" style="8" customWidth="1"/>
    <col min="7" max="7" width="14.109375" customWidth="1"/>
    <col min="8" max="8" width="16.5546875" style="4" customWidth="1"/>
    <col min="10" max="12" width="15.6640625" style="4" customWidth="1"/>
    <col min="13" max="13" width="15.6640625" customWidth="1"/>
  </cols>
  <sheetData>
    <row r="1" spans="1:71" ht="17.399999999999999">
      <c r="A1" s="23" t="s">
        <v>637</v>
      </c>
    </row>
    <row r="2" spans="1:71">
      <c r="A2" s="5" t="s">
        <v>1431</v>
      </c>
      <c r="B2" s="16"/>
      <c r="C2" s="209"/>
      <c r="D2" s="209"/>
      <c r="E2" s="209"/>
      <c r="F2" s="209"/>
      <c r="H2" s="371"/>
      <c r="J2" s="431"/>
      <c r="K2" s="431"/>
      <c r="L2" s="431"/>
      <c r="M2" s="431"/>
    </row>
    <row r="3" spans="1:71">
      <c r="A3" s="16"/>
      <c r="B3" s="16"/>
      <c r="C3" s="13"/>
      <c r="D3" s="17"/>
      <c r="E3" s="17"/>
      <c r="F3" s="18"/>
      <c r="G3" s="16"/>
      <c r="H3" s="20"/>
      <c r="I3" s="16"/>
      <c r="J3" s="19"/>
      <c r="K3" s="19"/>
      <c r="L3" s="19"/>
      <c r="M3" s="20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5" spans="1:71">
      <c r="A5" s="11"/>
      <c r="B5" s="10"/>
      <c r="H5" s="8"/>
      <c r="M5" s="8"/>
    </row>
    <row r="6" spans="1:71">
      <c r="A6" s="11"/>
      <c r="B6" s="10"/>
      <c r="D6" s="12" t="s">
        <v>182</v>
      </c>
      <c r="E6" s="12" t="s">
        <v>184</v>
      </c>
      <c r="F6" s="25"/>
      <c r="G6" s="1"/>
      <c r="H6" s="8"/>
      <c r="M6" s="8"/>
    </row>
    <row r="7" spans="1:71" ht="14.4" thickBot="1">
      <c r="A7" s="21"/>
      <c r="B7" s="22"/>
      <c r="C7" s="24" t="s">
        <v>1235</v>
      </c>
      <c r="D7" s="24" t="s">
        <v>183</v>
      </c>
      <c r="E7" s="24" t="s">
        <v>1234</v>
      </c>
      <c r="F7" s="26" t="s">
        <v>1069</v>
      </c>
      <c r="G7" s="24" t="s">
        <v>185</v>
      </c>
      <c r="H7" s="8"/>
      <c r="M7" s="8"/>
    </row>
    <row r="8" spans="1:71">
      <c r="A8" s="11"/>
      <c r="B8" s="10"/>
      <c r="H8" s="8"/>
      <c r="M8" s="8"/>
    </row>
    <row r="9" spans="1:71">
      <c r="A9" s="27" t="s">
        <v>1422</v>
      </c>
      <c r="B9" s="10"/>
      <c r="C9" s="2">
        <f>'Allocation ProForma'!G682</f>
        <v>421074603.61256123</v>
      </c>
      <c r="D9" s="2">
        <f>'Allocation ProForma'!G698</f>
        <v>385279883.24160051</v>
      </c>
      <c r="E9" s="2">
        <f>C9-D9</f>
        <v>35794720.370960712</v>
      </c>
      <c r="F9" s="2">
        <f>'Allocation ProForma'!G702</f>
        <v>931649506.04860032</v>
      </c>
      <c r="G9" s="14">
        <f>E9/F9</f>
        <v>3.8420801104458967E-2</v>
      </c>
      <c r="H9" s="8"/>
      <c r="M9" s="8"/>
    </row>
    <row r="10" spans="1:71">
      <c r="A10" s="27" t="s">
        <v>643</v>
      </c>
      <c r="B10" s="10"/>
      <c r="C10" s="4">
        <f>'Allocation ProForma'!H682</f>
        <v>154335984.01694039</v>
      </c>
      <c r="D10" s="4">
        <f>'Allocation ProForma'!H698</f>
        <v>126785867.67566366</v>
      </c>
      <c r="E10" s="4">
        <f>C10-D10</f>
        <v>27550116.34127672</v>
      </c>
      <c r="F10" s="4">
        <f>'Allocation ProForma'!H702</f>
        <v>249679632.1040495</v>
      </c>
      <c r="G10" s="14">
        <f>E10/F10</f>
        <v>0.11034186533003103</v>
      </c>
      <c r="H10" s="8"/>
      <c r="M10" s="8"/>
    </row>
    <row r="11" spans="1:71">
      <c r="A11" s="28" t="s">
        <v>1423</v>
      </c>
      <c r="B11" s="10"/>
      <c r="C11" s="32">
        <f>'Allocation ProForma'!I682</f>
        <v>19935909.433672149</v>
      </c>
      <c r="D11" s="32">
        <f>'Allocation ProForma'!I698</f>
        <v>16521677.422569763</v>
      </c>
      <c r="E11" s="32">
        <f>C11-D11</f>
        <v>3414232.0111023858</v>
      </c>
      <c r="F11" s="32">
        <f>'Allocation ProForma'!I702</f>
        <v>25673930.589226916</v>
      </c>
      <c r="G11" s="33">
        <f>E11/F11</f>
        <v>0.13298439049823707</v>
      </c>
      <c r="H11" s="8"/>
      <c r="M11" s="8"/>
    </row>
    <row r="12" spans="1:71">
      <c r="A12" s="28" t="s">
        <v>1424</v>
      </c>
      <c r="C12" s="4">
        <f>'Allocation ProForma'!J682</f>
        <v>204279787.53711724</v>
      </c>
      <c r="D12" s="4">
        <f>'Allocation ProForma'!J698</f>
        <v>171771247.86379614</v>
      </c>
      <c r="E12" s="32">
        <f>C12-D12</f>
        <v>32508539.673321098</v>
      </c>
      <c r="F12" s="4">
        <f>'Allocation ProForma'!J702</f>
        <v>295829169.94481355</v>
      </c>
      <c r="G12" s="14">
        <f>E12/F12</f>
        <v>0.10988956795364539</v>
      </c>
    </row>
    <row r="13" spans="1:71">
      <c r="A13" s="28" t="s">
        <v>1523</v>
      </c>
      <c r="C13" s="4">
        <f>'Allocation ProForma'!K682</f>
        <v>132603459.90998712</v>
      </c>
      <c r="D13" s="4">
        <f>'Allocation ProForma'!K698</f>
        <v>121387128.51528923</v>
      </c>
      <c r="E13" s="4">
        <f>C13-D13</f>
        <v>11216331.39469789</v>
      </c>
      <c r="F13" s="4">
        <f>'Allocation ProForma'!K702</f>
        <v>199460877.01519188</v>
      </c>
      <c r="G13" s="14">
        <f>E13/F13</f>
        <v>5.6233240134824038E-2</v>
      </c>
    </row>
    <row r="14" spans="1:71">
      <c r="A14" s="28" t="s">
        <v>1524</v>
      </c>
      <c r="C14" s="4">
        <f>'Allocation ProForma'!L682</f>
        <v>44161102.150238767</v>
      </c>
      <c r="D14" s="4">
        <f>'Allocation ProForma'!L698</f>
        <v>40661128.72345566</v>
      </c>
      <c r="E14" s="4">
        <f t="shared" ref="E14:E24" si="0">C14-D14</f>
        <v>3499973.4267831072</v>
      </c>
      <c r="F14" s="4">
        <f>'Allocation ProForma'!L702</f>
        <v>73518291.243939444</v>
      </c>
      <c r="G14" s="14">
        <f t="shared" ref="G14:G25" si="1">E14/F14</f>
        <v>4.7606838618840061E-2</v>
      </c>
    </row>
    <row r="15" spans="1:71" hidden="1">
      <c r="A15" s="28"/>
      <c r="B15" s="10"/>
      <c r="C15" s="4">
        <f>'Allocation ProForma'!M682</f>
        <v>0</v>
      </c>
      <c r="D15" s="4">
        <f>'Allocation ProForma'!M698</f>
        <v>0</v>
      </c>
      <c r="E15" s="4">
        <f t="shared" si="0"/>
        <v>0</v>
      </c>
      <c r="F15" s="4">
        <f>'Allocation ProForma'!M702</f>
        <v>0</v>
      </c>
      <c r="G15" s="14" t="e">
        <f t="shared" si="1"/>
        <v>#DIV/0!</v>
      </c>
    </row>
    <row r="16" spans="1:71" hidden="1">
      <c r="A16" s="28"/>
      <c r="B16" s="10"/>
      <c r="C16" s="4">
        <f>'Allocation ProForma'!N682</f>
        <v>0</v>
      </c>
      <c r="D16" s="4">
        <f>'Allocation ProForma'!N698</f>
        <v>0</v>
      </c>
      <c r="E16" s="4">
        <f t="shared" si="0"/>
        <v>0</v>
      </c>
      <c r="F16" s="4">
        <f>'Allocation ProForma'!N702</f>
        <v>0</v>
      </c>
      <c r="G16" s="14" t="e">
        <f t="shared" si="1"/>
        <v>#DIV/0!</v>
      </c>
    </row>
    <row r="17" spans="1:13" hidden="1">
      <c r="A17" s="28" t="s">
        <v>1463</v>
      </c>
      <c r="B17" s="10"/>
      <c r="C17" s="4">
        <f>'Allocation ProForma'!N683</f>
        <v>0</v>
      </c>
      <c r="D17" s="4">
        <f>'Allocation ProForma'!N699</f>
        <v>0</v>
      </c>
      <c r="E17" s="4">
        <f>C17-D17</f>
        <v>0</v>
      </c>
      <c r="F17" s="4">
        <f>'Allocation ProForma'!O702</f>
        <v>0</v>
      </c>
      <c r="G17" s="14" t="e">
        <f>E17/F17</f>
        <v>#DIV/0!</v>
      </c>
    </row>
    <row r="18" spans="1:13">
      <c r="A18" s="28" t="s">
        <v>1428</v>
      </c>
      <c r="B18" s="10"/>
      <c r="C18" s="4">
        <f>'Allocation ProForma'!P682</f>
        <v>34609334.491641887</v>
      </c>
      <c r="D18" s="4">
        <f>'Allocation ProForma'!P698</f>
        <v>31693605.413913466</v>
      </c>
      <c r="E18" s="4">
        <f t="shared" si="0"/>
        <v>2915729.0777284205</v>
      </c>
      <c r="F18" s="4">
        <f>'Allocation ProForma'!P702</f>
        <v>52220129.381343223</v>
      </c>
      <c r="G18" s="14">
        <f t="shared" si="1"/>
        <v>5.583534763837885E-2</v>
      </c>
    </row>
    <row r="19" spans="1:13">
      <c r="A19" s="27" t="s">
        <v>613</v>
      </c>
      <c r="B19" s="10"/>
      <c r="C19" s="4">
        <f>'Allocation ProForma'!Q682</f>
        <v>14387271.823273527</v>
      </c>
      <c r="D19" s="4">
        <f>'Allocation ProForma'!Q698</f>
        <v>14158428.006084574</v>
      </c>
      <c r="E19" s="4">
        <f t="shared" si="0"/>
        <v>228843.81718895212</v>
      </c>
      <c r="F19" s="4">
        <f>'Allocation ProForma'!Q702</f>
        <v>27854540.21840094</v>
      </c>
      <c r="G19" s="14">
        <f t="shared" si="1"/>
        <v>8.2156738325113686E-3</v>
      </c>
    </row>
    <row r="20" spans="1:13">
      <c r="A20" s="27" t="s">
        <v>667</v>
      </c>
      <c r="B20" s="10"/>
      <c r="C20" s="32">
        <f>'Allocation ProForma'!R682</f>
        <v>3472238.3214531187</v>
      </c>
      <c r="D20" s="32">
        <f>'Allocation ProForma'!R698</f>
        <v>3519047.8016845067</v>
      </c>
      <c r="E20" s="32">
        <f t="shared" si="0"/>
        <v>-46809.480231388006</v>
      </c>
      <c r="F20" s="32">
        <f>'Allocation ProForma'!R702</f>
        <v>6215142.1370129138</v>
      </c>
      <c r="G20" s="33">
        <f t="shared" si="1"/>
        <v>-7.5315220793784315E-3</v>
      </c>
    </row>
    <row r="21" spans="1:13">
      <c r="A21" s="28" t="s">
        <v>1525</v>
      </c>
      <c r="B21" s="10"/>
      <c r="C21" s="29">
        <f>SUM(C22:C24)</f>
        <v>19044534.3031146</v>
      </c>
      <c r="D21" s="29">
        <f>SUM(D22:D24)</f>
        <v>13880721.630642347</v>
      </c>
      <c r="E21" s="29">
        <f>SUM(E22:E24)</f>
        <v>5163812.6724722544</v>
      </c>
      <c r="F21" s="29">
        <f>SUM(F22:F24)</f>
        <v>58896449.412821628</v>
      </c>
      <c r="G21" s="30">
        <f t="shared" si="1"/>
        <v>8.7676128594402228E-2</v>
      </c>
    </row>
    <row r="22" spans="1:13" hidden="1">
      <c r="A22" s="28" t="s">
        <v>1490</v>
      </c>
      <c r="B22" s="10"/>
      <c r="C22" s="4">
        <f>'Allocation ProForma'!S682</f>
        <v>18499438.103637893</v>
      </c>
      <c r="D22" s="4">
        <f>'Allocation ProForma'!S698</f>
        <v>13405712.886764038</v>
      </c>
      <c r="E22" s="32">
        <f t="shared" si="0"/>
        <v>5093725.2168738544</v>
      </c>
      <c r="F22" s="4">
        <f>'Allocation ProForma'!S702</f>
        <v>58181818.592106752</v>
      </c>
      <c r="G22" s="14">
        <f t="shared" si="1"/>
        <v>8.7548401547642513E-2</v>
      </c>
    </row>
    <row r="23" spans="1:13" hidden="1">
      <c r="A23" s="28" t="s">
        <v>1491</v>
      </c>
      <c r="B23" s="10"/>
      <c r="C23" s="4">
        <f>'Allocation ProForma'!T682</f>
        <v>254023.10803073616</v>
      </c>
      <c r="D23" s="4">
        <f>'Allocation ProForma'!T698</f>
        <v>222347.46651349906</v>
      </c>
      <c r="E23" s="32">
        <f t="shared" si="0"/>
        <v>31675.641517237091</v>
      </c>
      <c r="F23" s="4">
        <f>'Allocation ProForma'!T702</f>
        <v>256691.40437409433</v>
      </c>
      <c r="G23" s="14">
        <f t="shared" si="1"/>
        <v>0.12339969698040205</v>
      </c>
    </row>
    <row r="24" spans="1:13" hidden="1">
      <c r="A24" s="35" t="s">
        <v>1492</v>
      </c>
      <c r="B24" s="34"/>
      <c r="C24" s="29">
        <f>'Allocation ProForma'!U682</f>
        <v>291073.09144597244</v>
      </c>
      <c r="D24" s="29">
        <f>'Allocation ProForma'!U698</f>
        <v>252661.27736480895</v>
      </c>
      <c r="E24" s="29">
        <f t="shared" si="0"/>
        <v>38411.814081163495</v>
      </c>
      <c r="F24" s="29">
        <f>'Allocation ProForma'!U702</f>
        <v>457939.41634078015</v>
      </c>
      <c r="G24" s="30">
        <f t="shared" si="1"/>
        <v>8.3879685195255085E-2</v>
      </c>
    </row>
    <row r="25" spans="1:13">
      <c r="C25" s="4">
        <f>SUM(C9:C21)</f>
        <v>1047904225.6</v>
      </c>
      <c r="D25" s="4">
        <f>SUM(D9:D21)</f>
        <v>925658736.29469979</v>
      </c>
      <c r="E25" s="4">
        <f>SUM(E9:E21)</f>
        <v>122245489.30530015</v>
      </c>
      <c r="F25" s="4">
        <f>SUM(F9:F21)</f>
        <v>1920997668.0954001</v>
      </c>
      <c r="G25" s="14">
        <f t="shared" si="1"/>
        <v>6.3636458979412572E-2</v>
      </c>
    </row>
    <row r="26" spans="1:13">
      <c r="B26" s="10"/>
      <c r="C26" s="196"/>
      <c r="D26" s="196"/>
      <c r="E26" s="31"/>
      <c r="F26" s="32"/>
      <c r="G26" s="33"/>
    </row>
    <row r="27" spans="1:13" ht="17.399999999999999">
      <c r="A27" s="23" t="s">
        <v>637</v>
      </c>
      <c r="B27" s="10"/>
    </row>
    <row r="28" spans="1:13">
      <c r="A28" s="5" t="s">
        <v>1488</v>
      </c>
    </row>
    <row r="31" spans="1:13">
      <c r="A31" s="11"/>
      <c r="B31" s="10"/>
      <c r="D31" s="12" t="s">
        <v>182</v>
      </c>
      <c r="E31" s="12" t="s">
        <v>184</v>
      </c>
      <c r="F31" s="25"/>
      <c r="G31" s="1"/>
      <c r="H31" s="8"/>
      <c r="M31" s="8"/>
    </row>
    <row r="32" spans="1:13" ht="14.4" thickBot="1">
      <c r="A32" s="21"/>
      <c r="B32" s="22"/>
      <c r="C32" s="24" t="s">
        <v>1235</v>
      </c>
      <c r="D32" s="24" t="s">
        <v>183</v>
      </c>
      <c r="E32" s="24" t="s">
        <v>1234</v>
      </c>
      <c r="F32" s="26" t="s">
        <v>1069</v>
      </c>
      <c r="G32" s="24" t="s">
        <v>185</v>
      </c>
      <c r="H32" s="8"/>
      <c r="M32" s="8"/>
    </row>
    <row r="33" spans="1:13">
      <c r="A33" s="11"/>
      <c r="B33" s="10"/>
      <c r="H33" s="8"/>
      <c r="M33" s="8"/>
    </row>
    <row r="34" spans="1:13">
      <c r="A34" s="27" t="s">
        <v>1422</v>
      </c>
      <c r="B34" s="10"/>
      <c r="C34" s="2">
        <f>'Allocation ProForma'!G750</f>
        <v>392596289.96232134</v>
      </c>
      <c r="D34" s="2">
        <f>'Allocation ProForma'!G808</f>
        <v>359791950.20914841</v>
      </c>
      <c r="E34" s="2">
        <f t="shared" ref="E34:E42" si="2">C34-D34</f>
        <v>32804339.753172934</v>
      </c>
      <c r="F34" s="2">
        <f>'Allocation ProForma'!G821</f>
        <v>919864920.90748382</v>
      </c>
      <c r="G34" s="14">
        <f t="shared" ref="G34:G42" si="3">E34/F34</f>
        <v>3.5662127131459838E-2</v>
      </c>
      <c r="M34" s="8"/>
    </row>
    <row r="35" spans="1:13">
      <c r="A35" s="27" t="s">
        <v>643</v>
      </c>
      <c r="B35" s="10"/>
      <c r="C35" s="4">
        <f>'Allocation ProForma'!H750</f>
        <v>143422627.46525034</v>
      </c>
      <c r="D35" s="4">
        <f>'Allocation ProForma'!H808</f>
        <v>118074304.51193875</v>
      </c>
      <c r="E35" s="4">
        <f t="shared" si="2"/>
        <v>25348322.953311592</v>
      </c>
      <c r="F35" s="4">
        <f>'Allocation ProForma'!H821</f>
        <v>246026164.86771092</v>
      </c>
      <c r="G35" s="14">
        <f t="shared" si="3"/>
        <v>0.10303100471830494</v>
      </c>
      <c r="M35" s="8"/>
    </row>
    <row r="36" spans="1:13">
      <c r="A36" s="28" t="s">
        <v>1423</v>
      </c>
      <c r="B36" s="10"/>
      <c r="C36" s="32">
        <f>'Allocation ProForma'!I750</f>
        <v>18472103.679363709</v>
      </c>
      <c r="D36" s="32">
        <f>'Allocation ProForma'!I808</f>
        <v>15344266.238856995</v>
      </c>
      <c r="E36" s="32">
        <f t="shared" si="2"/>
        <v>3127837.4405067135</v>
      </c>
      <c r="F36" s="32">
        <f>'Allocation ProForma'!I821</f>
        <v>25254598.316034239</v>
      </c>
      <c r="G36" s="33">
        <f t="shared" si="3"/>
        <v>0.12385219520679677</v>
      </c>
      <c r="M36" s="8"/>
    </row>
    <row r="37" spans="1:13">
      <c r="A37" s="28" t="s">
        <v>1424</v>
      </c>
      <c r="C37" s="4">
        <f>'Allocation ProForma'!J750</f>
        <v>191420558.2696141</v>
      </c>
      <c r="D37" s="4">
        <f>'Allocation ProForma'!J808</f>
        <v>160648084.04948542</v>
      </c>
      <c r="E37" s="32">
        <f t="shared" si="2"/>
        <v>30772474.220128685</v>
      </c>
      <c r="F37" s="4">
        <f>'Allocation ProForma'!J821</f>
        <v>291144488.1069302</v>
      </c>
      <c r="G37" s="14">
        <f t="shared" si="3"/>
        <v>0.10569485419496148</v>
      </c>
    </row>
    <row r="38" spans="1:13">
      <c r="A38" s="28" t="s">
        <v>1523</v>
      </c>
      <c r="C38" s="4">
        <f>'Allocation ProForma'!K750</f>
        <v>124878893.95462218</v>
      </c>
      <c r="D38" s="4">
        <f>'Allocation ProForma'!K808</f>
        <v>113965156.22983803</v>
      </c>
      <c r="E38" s="4">
        <f t="shared" si="2"/>
        <v>10913737.724784151</v>
      </c>
      <c r="F38" s="4">
        <f>'Allocation ProForma'!K821</f>
        <v>196251935.5148834</v>
      </c>
      <c r="G38" s="14">
        <f t="shared" si="3"/>
        <v>5.5610853957445285E-2</v>
      </c>
    </row>
    <row r="39" spans="1:13">
      <c r="A39" s="28" t="s">
        <v>1524</v>
      </c>
      <c r="C39" s="4">
        <f>'Allocation ProForma'!L750</f>
        <v>44367567.420331962</v>
      </c>
      <c r="D39" s="4">
        <f>'Allocation ProForma'!L808</f>
        <v>39198666.021787189</v>
      </c>
      <c r="E39" s="4">
        <f t="shared" si="2"/>
        <v>5168901.3985447735</v>
      </c>
      <c r="F39" s="4">
        <f>'Allocation ProForma'!L821</f>
        <v>72346854.719544739</v>
      </c>
      <c r="G39" s="14">
        <f t="shared" si="3"/>
        <v>7.1446110803050272E-2</v>
      </c>
    </row>
    <row r="40" spans="1:13" hidden="1">
      <c r="A40" s="28"/>
      <c r="B40" s="10"/>
      <c r="C40" s="4">
        <f>'Allocation ProForma'!M750</f>
        <v>0</v>
      </c>
      <c r="D40" s="4">
        <f>'Allocation ProForma'!M808</f>
        <v>0</v>
      </c>
      <c r="E40" s="4">
        <f t="shared" si="2"/>
        <v>0</v>
      </c>
      <c r="F40" s="4">
        <f>'Allocation ProForma'!M821</f>
        <v>0</v>
      </c>
      <c r="G40" s="14" t="e">
        <f t="shared" si="3"/>
        <v>#DIV/0!</v>
      </c>
    </row>
    <row r="41" spans="1:13" hidden="1">
      <c r="A41" s="28"/>
      <c r="B41" s="10"/>
      <c r="C41" s="4">
        <f>'Allocation ProForma'!N750</f>
        <v>0</v>
      </c>
      <c r="D41" s="4">
        <f>'Allocation ProForma'!N808</f>
        <v>0</v>
      </c>
      <c r="E41" s="4">
        <f t="shared" si="2"/>
        <v>0</v>
      </c>
      <c r="F41" s="4">
        <f>'Allocation ProForma'!N821</f>
        <v>0</v>
      </c>
      <c r="G41" s="14" t="e">
        <f t="shared" si="3"/>
        <v>#DIV/0!</v>
      </c>
    </row>
    <row r="42" spans="1:13" hidden="1">
      <c r="A42" s="28" t="s">
        <v>1463</v>
      </c>
      <c r="B42" s="10"/>
      <c r="C42" s="4">
        <f>'Allocation ProForma'!O750</f>
        <v>0</v>
      </c>
      <c r="D42" s="4">
        <f>'Allocation ProForma'!O808</f>
        <v>0</v>
      </c>
      <c r="E42" s="4">
        <f t="shared" si="2"/>
        <v>0</v>
      </c>
      <c r="F42" s="4">
        <f>'Allocation ProForma'!O821</f>
        <v>0</v>
      </c>
      <c r="G42" s="14" t="e">
        <f t="shared" si="3"/>
        <v>#DIV/0!</v>
      </c>
    </row>
    <row r="43" spans="1:13">
      <c r="A43" s="28" t="s">
        <v>1428</v>
      </c>
      <c r="B43" s="10"/>
      <c r="C43" s="4">
        <f>'Allocation ProForma'!P750</f>
        <v>32446128.112328146</v>
      </c>
      <c r="D43" s="4">
        <f>'Allocation ProForma'!P808</f>
        <v>29691491.030764826</v>
      </c>
      <c r="E43" s="4">
        <f t="shared" ref="E43:E49" si="4">C43-D43</f>
        <v>2754637.08156332</v>
      </c>
      <c r="F43" s="4">
        <f>'Allocation ProForma'!P821</f>
        <v>51301441.16227708</v>
      </c>
      <c r="G43" s="14">
        <f t="shared" ref="G43:G50" si="5">E43/F43</f>
        <v>5.369512082223641E-2</v>
      </c>
    </row>
    <row r="44" spans="1:13">
      <c r="A44" s="27" t="s">
        <v>613</v>
      </c>
      <c r="B44" s="10"/>
      <c r="C44" s="4">
        <f>'Allocation ProForma'!Q750</f>
        <v>13470459.835474478</v>
      </c>
      <c r="D44" s="4">
        <f>'Allocation ProForma'!Q808</f>
        <v>13317962.522754906</v>
      </c>
      <c r="E44" s="4">
        <f t="shared" si="4"/>
        <v>152497.31271957234</v>
      </c>
      <c r="F44" s="4">
        <f>'Allocation ProForma'!Q821</f>
        <v>27402587.590025134</v>
      </c>
      <c r="G44" s="14">
        <f t="shared" si="5"/>
        <v>5.5650698029365356E-3</v>
      </c>
    </row>
    <row r="45" spans="1:13">
      <c r="A45" s="27" t="s">
        <v>667</v>
      </c>
      <c r="B45" s="10"/>
      <c r="C45" s="32">
        <f>'Allocation ProForma'!R750</f>
        <v>3454437.2506257729</v>
      </c>
      <c r="D45" s="32">
        <f>'Allocation ProForma'!R808</f>
        <v>3379991.3619847978</v>
      </c>
      <c r="E45" s="32">
        <f t="shared" si="4"/>
        <v>74445.888640975114</v>
      </c>
      <c r="F45" s="32">
        <f>'Allocation ProForma'!R821</f>
        <v>6115479.8705607615</v>
      </c>
      <c r="G45" s="33">
        <f t="shared" si="5"/>
        <v>1.2173351922773768E-2</v>
      </c>
    </row>
    <row r="46" spans="1:13">
      <c r="A46" s="28" t="s">
        <v>1525</v>
      </c>
      <c r="B46" s="10"/>
      <c r="C46" s="29">
        <f>SUM(C47:C49)</f>
        <v>18737179.650067955</v>
      </c>
      <c r="D46" s="29">
        <f>SUM(D47:D49)</f>
        <v>13606737.118140424</v>
      </c>
      <c r="E46" s="29">
        <f>SUM(E47:E49)</f>
        <v>5130442.5319275316</v>
      </c>
      <c r="F46" s="29">
        <f>SUM(F47:F49)</f>
        <v>58735284.03995005</v>
      </c>
      <c r="G46" s="30">
        <f t="shared" si="5"/>
        <v>8.7348560848670653E-2</v>
      </c>
    </row>
    <row r="47" spans="1:13">
      <c r="A47" s="28" t="s">
        <v>1490</v>
      </c>
      <c r="B47" s="10"/>
      <c r="C47" s="4">
        <f>'Allocation ProForma'!S750</f>
        <v>18217095.846737977</v>
      </c>
      <c r="D47" s="4">
        <f>'Allocation ProForma'!S808</f>
        <v>13156170.051789608</v>
      </c>
      <c r="E47" s="32">
        <f t="shared" si="4"/>
        <v>5060925.7949483693</v>
      </c>
      <c r="F47" s="4">
        <f>'Allocation ProForma'!S821</f>
        <v>58029895.801223755</v>
      </c>
      <c r="G47" s="14">
        <f t="shared" si="5"/>
        <v>8.7212388116017309E-2</v>
      </c>
    </row>
    <row r="48" spans="1:13">
      <c r="A48" s="28" t="s">
        <v>1491</v>
      </c>
      <c r="B48" s="10"/>
      <c r="C48" s="4">
        <f>'Allocation ProForma'!T750</f>
        <v>239985.23563130843</v>
      </c>
      <c r="D48" s="4">
        <f>'Allocation ProForma'!T808</f>
        <v>208525.23652739031</v>
      </c>
      <c r="E48" s="32">
        <f t="shared" si="4"/>
        <v>31459.999103918119</v>
      </c>
      <c r="F48" s="4">
        <f>'Allocation ProForma'!T821</f>
        <v>253517.80058301476</v>
      </c>
      <c r="G48" s="14">
        <f t="shared" si="5"/>
        <v>0.12409384678933619</v>
      </c>
    </row>
    <row r="49" spans="1:13">
      <c r="A49" s="35" t="s">
        <v>1492</v>
      </c>
      <c r="B49" s="34"/>
      <c r="C49" s="29">
        <f>'Allocation ProForma'!U750</f>
        <v>280098.56769866985</v>
      </c>
      <c r="D49" s="29">
        <f>'Allocation ProForma'!U808</f>
        <v>242041.82982342507</v>
      </c>
      <c r="E49" s="29">
        <f t="shared" si="4"/>
        <v>38056.737875244784</v>
      </c>
      <c r="F49" s="29">
        <f>'Allocation ProForma'!U821</f>
        <v>451870.43814328534</v>
      </c>
      <c r="G49" s="30">
        <f t="shared" si="5"/>
        <v>8.4220463794042716E-2</v>
      </c>
    </row>
    <row r="50" spans="1:13">
      <c r="C50" s="4">
        <f>SUM(C34:C46)</f>
        <v>983266245.5999999</v>
      </c>
      <c r="D50" s="4">
        <f>SUM(D34:D46)</f>
        <v>867018609.29469979</v>
      </c>
      <c r="E50" s="4">
        <f>SUM(E34:E46)</f>
        <v>116247636.30530024</v>
      </c>
      <c r="F50" s="4">
        <f>SUM(F34:F46)</f>
        <v>1894443755.0954003</v>
      </c>
      <c r="G50" s="14">
        <f t="shared" si="5"/>
        <v>6.136241099406313E-2</v>
      </c>
    </row>
    <row r="52" spans="1:13" ht="17.399999999999999">
      <c r="A52" s="23" t="s">
        <v>637</v>
      </c>
      <c r="B52" s="10"/>
    </row>
    <row r="53" spans="1:13">
      <c r="A53" s="5" t="s">
        <v>1489</v>
      </c>
    </row>
    <row r="54" spans="1:13">
      <c r="A54" s="165" t="s">
        <v>1496</v>
      </c>
    </row>
    <row r="57" spans="1:13">
      <c r="A57" s="11"/>
      <c r="B57" s="10"/>
      <c r="D57" s="12" t="s">
        <v>182</v>
      </c>
      <c r="E57" s="12" t="s">
        <v>184</v>
      </c>
      <c r="F57" s="25"/>
      <c r="G57" s="1"/>
      <c r="H57" s="8"/>
      <c r="M57" s="8"/>
    </row>
    <row r="58" spans="1:13" ht="14.4" thickBot="1">
      <c r="A58" s="21"/>
      <c r="B58" s="22"/>
      <c r="C58" s="24" t="s">
        <v>1235</v>
      </c>
      <c r="D58" s="24" t="s">
        <v>183</v>
      </c>
      <c r="E58" s="24" t="s">
        <v>1234</v>
      </c>
      <c r="F58" s="26" t="s">
        <v>1069</v>
      </c>
      <c r="G58" s="24" t="s">
        <v>185</v>
      </c>
      <c r="H58" s="8"/>
      <c r="M58" s="8"/>
    </row>
    <row r="59" spans="1:13">
      <c r="A59" s="11"/>
      <c r="B59" s="10"/>
      <c r="H59" s="8"/>
      <c r="M59" s="8"/>
    </row>
    <row r="60" spans="1:13">
      <c r="A60" s="27" t="s">
        <v>1422</v>
      </c>
      <c r="B60" s="10"/>
      <c r="C60" s="2">
        <f>'Allocation ProForma'!G1020</f>
        <v>423044407.873546</v>
      </c>
      <c r="D60" s="2">
        <f>'Allocation ProForma'!G1031</f>
        <v>371169620.22150749</v>
      </c>
      <c r="E60" s="2">
        <f t="shared" ref="E60:E68" si="6">C60-D60</f>
        <v>51874787.652038515</v>
      </c>
      <c r="F60" s="2">
        <f>'Allocation ProForma'!G1036</f>
        <v>919864920.90748382</v>
      </c>
      <c r="G60" s="14">
        <f t="shared" ref="G60:G67" si="7">E60/F60</f>
        <v>5.6393918795013889E-2</v>
      </c>
      <c r="H60" s="8"/>
      <c r="M60" s="8"/>
    </row>
    <row r="61" spans="1:13">
      <c r="A61" s="27" t="s">
        <v>643</v>
      </c>
      <c r="B61" s="10"/>
      <c r="C61" s="4">
        <f>'Allocation ProForma'!H1020</f>
        <v>150202215.66386929</v>
      </c>
      <c r="D61" s="4">
        <f>'Allocation ProForma'!H1031</f>
        <v>120607660.35246944</v>
      </c>
      <c r="E61" s="4">
        <f t="shared" si="6"/>
        <v>29594555.311399847</v>
      </c>
      <c r="F61" s="4">
        <f>'Allocation ProForma'!H1036</f>
        <v>246026164.86771092</v>
      </c>
      <c r="G61" s="14">
        <f t="shared" si="7"/>
        <v>0.12029027614730708</v>
      </c>
      <c r="H61" s="8"/>
      <c r="M61" s="8"/>
    </row>
    <row r="62" spans="1:13">
      <c r="A62" s="28" t="s">
        <v>1423</v>
      </c>
      <c r="B62" s="10"/>
      <c r="C62" s="32">
        <f>'Allocation ProForma'!I1020</f>
        <v>18502079.582013234</v>
      </c>
      <c r="D62" s="32">
        <f>'Allocation ProForma'!I1031</f>
        <v>15355467.454303659</v>
      </c>
      <c r="E62" s="32">
        <f t="shared" si="6"/>
        <v>3146612.127709575</v>
      </c>
      <c r="F62" s="32">
        <f>'Allocation ProForma'!I1036</f>
        <v>25254598.316034239</v>
      </c>
      <c r="G62" s="33">
        <f t="shared" si="7"/>
        <v>0.12459561179049833</v>
      </c>
      <c r="H62" s="8"/>
      <c r="M62" s="8"/>
    </row>
    <row r="63" spans="1:13">
      <c r="A63" s="28" t="s">
        <v>1424</v>
      </c>
      <c r="C63" s="4">
        <f>'Allocation ProForma'!J1020</f>
        <v>200196766.51597077</v>
      </c>
      <c r="D63" s="4">
        <f>'Allocation ProForma'!J1031</f>
        <v>163927524.88973463</v>
      </c>
      <c r="E63" s="32">
        <f t="shared" si="6"/>
        <v>36269241.626236141</v>
      </c>
      <c r="F63" s="4">
        <f>'Allocation ProForma'!J1036</f>
        <v>291144488.1069302</v>
      </c>
      <c r="G63" s="14">
        <f t="shared" si="7"/>
        <v>0.12457471498795931</v>
      </c>
    </row>
    <row r="64" spans="1:13">
      <c r="A64" s="28" t="s">
        <v>1523</v>
      </c>
      <c r="C64" s="4">
        <f>'Allocation ProForma'!K1020</f>
        <v>133096941.74682465</v>
      </c>
      <c r="D64" s="4">
        <f>'Allocation ProForma'!K1031</f>
        <v>117036027.02054146</v>
      </c>
      <c r="E64" s="4">
        <f t="shared" si="6"/>
        <v>16060914.726283193</v>
      </c>
      <c r="F64" s="4">
        <f>'Allocation ProForma'!K1036</f>
        <v>196251935.5148834</v>
      </c>
      <c r="G64" s="14">
        <f t="shared" si="7"/>
        <v>8.1838248800685895E-2</v>
      </c>
    </row>
    <row r="65" spans="1:7">
      <c r="A65" s="28" t="s">
        <v>1524</v>
      </c>
      <c r="C65" s="4">
        <f>'Allocation ProForma'!L1020</f>
        <v>47004427.188939586</v>
      </c>
      <c r="D65" s="4">
        <f>'Allocation ProForma'!L1031</f>
        <v>40183991.958961867</v>
      </c>
      <c r="E65" s="4">
        <f t="shared" si="6"/>
        <v>6820435.2299777195</v>
      </c>
      <c r="F65" s="4">
        <f>'Allocation ProForma'!L1036</f>
        <v>72346854.719544739</v>
      </c>
      <c r="G65" s="14">
        <f t="shared" si="7"/>
        <v>9.4274108479454832E-2</v>
      </c>
    </row>
    <row r="66" spans="1:7" hidden="1">
      <c r="A66" s="28"/>
      <c r="B66" s="10"/>
      <c r="C66" s="4">
        <f>'Allocation ProForma'!M1020</f>
        <v>0</v>
      </c>
      <c r="D66" s="4">
        <f>'Allocation ProForma'!M1031</f>
        <v>0</v>
      </c>
      <c r="E66" s="4">
        <f t="shared" si="6"/>
        <v>0</v>
      </c>
      <c r="F66" s="4">
        <f>'Allocation ProForma'!M1036</f>
        <v>0</v>
      </c>
      <c r="G66" s="14" t="e">
        <f t="shared" si="7"/>
        <v>#DIV/0!</v>
      </c>
    </row>
    <row r="67" spans="1:7" hidden="1">
      <c r="A67" s="28"/>
      <c r="B67" s="10"/>
      <c r="C67" s="4">
        <f>'Allocation ProForma'!N1020</f>
        <v>0</v>
      </c>
      <c r="D67" s="4">
        <f>'Allocation ProForma'!N1031</f>
        <v>0</v>
      </c>
      <c r="E67" s="4">
        <f t="shared" si="6"/>
        <v>0</v>
      </c>
      <c r="F67" s="4">
        <f>'Allocation ProForma'!N1036</f>
        <v>0</v>
      </c>
      <c r="G67" s="14" t="e">
        <f t="shared" si="7"/>
        <v>#DIV/0!</v>
      </c>
    </row>
    <row r="68" spans="1:7" hidden="1">
      <c r="A68" s="28" t="s">
        <v>1463</v>
      </c>
      <c r="B68" s="10"/>
      <c r="C68" s="210">
        <f>'Allocation ProForma'!O975</f>
        <v>0</v>
      </c>
      <c r="D68" s="4">
        <f>'Allocation ProForma'!O986</f>
        <v>0</v>
      </c>
      <c r="E68" s="4">
        <f t="shared" si="6"/>
        <v>0</v>
      </c>
      <c r="F68" s="4">
        <f>'Allocation ProForma'!O991</f>
        <v>0</v>
      </c>
      <c r="G68" s="14"/>
    </row>
    <row r="69" spans="1:7">
      <c r="A69" s="28" t="s">
        <v>1428</v>
      </c>
      <c r="B69" s="10"/>
      <c r="C69" s="4">
        <f>'Allocation ProForma'!P1020</f>
        <v>35297503.112328142</v>
      </c>
      <c r="D69" s="4">
        <f>'Allocation ProForma'!P1031</f>
        <v>30756975.732514832</v>
      </c>
      <c r="E69" s="4">
        <f t="shared" ref="E69:E75" si="8">C69-D69</f>
        <v>4540527.3798133098</v>
      </c>
      <c r="F69" s="4">
        <f>'Allocation ProForma'!P1036</f>
        <v>51301441.16227708</v>
      </c>
      <c r="G69" s="14">
        <f t="shared" ref="G69:G76" si="9">E69/F69</f>
        <v>8.850681924218623E-2</v>
      </c>
    </row>
    <row r="70" spans="1:7">
      <c r="A70" s="27" t="s">
        <v>613</v>
      </c>
      <c r="B70" s="10"/>
      <c r="C70" s="4">
        <f>'Allocation ProForma'!Q1020</f>
        <v>14667940.53769918</v>
      </c>
      <c r="D70" s="4">
        <f>'Allocation ProForma'!Q1031</f>
        <v>13765429.926678022</v>
      </c>
      <c r="E70" s="4">
        <f t="shared" si="8"/>
        <v>902510.61102115735</v>
      </c>
      <c r="F70" s="4">
        <f>'Allocation ProForma'!Q1036</f>
        <v>27402587.590025134</v>
      </c>
      <c r="G70" s="14">
        <f t="shared" si="9"/>
        <v>3.293523314381018E-2</v>
      </c>
    </row>
    <row r="71" spans="1:7">
      <c r="A71" s="27" t="s">
        <v>667</v>
      </c>
      <c r="B71" s="10"/>
      <c r="C71" s="32">
        <f>'Allocation ProForma'!R1020</f>
        <v>3674796.2594655147</v>
      </c>
      <c r="D71" s="32">
        <f>'Allocation ProForma'!R1031</f>
        <v>3462333.7942539803</v>
      </c>
      <c r="E71" s="32">
        <f t="shared" si="8"/>
        <v>212462.46521153441</v>
      </c>
      <c r="F71" s="32">
        <f>'Allocation ProForma'!R1036</f>
        <v>6115479.8705607615</v>
      </c>
      <c r="G71" s="33">
        <f t="shared" si="9"/>
        <v>3.4741748760273916E-2</v>
      </c>
    </row>
    <row r="72" spans="1:7">
      <c r="A72" s="28" t="s">
        <v>1525</v>
      </c>
      <c r="B72" s="10"/>
      <c r="C72" s="29">
        <f>SUM(C73:C75)</f>
        <v>19637048.945152171</v>
      </c>
      <c r="D72" s="29">
        <f>SUM(D73:D75)</f>
        <v>13942994.87711172</v>
      </c>
      <c r="E72" s="29">
        <f>SUM(E73:E75)</f>
        <v>5694054.0680404529</v>
      </c>
      <c r="F72" s="29">
        <f>SUM(F73:F75)</f>
        <v>58735284.03995005</v>
      </c>
      <c r="G72" s="30">
        <f t="shared" si="9"/>
        <v>9.6944352293717034E-2</v>
      </c>
    </row>
    <row r="73" spans="1:7" hidden="1">
      <c r="A73" s="28" t="s">
        <v>1490</v>
      </c>
      <c r="B73" s="10"/>
      <c r="C73" s="4">
        <f>'Allocation ProForma'!S1020</f>
        <v>19092439.190601978</v>
      </c>
      <c r="D73" s="4">
        <f>'Allocation ProForma'!S1031</f>
        <v>13483263.100464642</v>
      </c>
      <c r="E73" s="32">
        <f t="shared" si="8"/>
        <v>5609176.0901373364</v>
      </c>
      <c r="F73" s="4">
        <f>'Allocation ProForma'!S1036</f>
        <v>58029895.801223755</v>
      </c>
      <c r="G73" s="14">
        <f t="shared" si="9"/>
        <v>9.666010963299107E-2</v>
      </c>
    </row>
    <row r="74" spans="1:7" hidden="1">
      <c r="A74" s="28" t="s">
        <v>1491</v>
      </c>
      <c r="B74" s="10"/>
      <c r="C74" s="4">
        <f>'Allocation ProForma'!T1020</f>
        <v>251429.69837929067</v>
      </c>
      <c r="D74" s="4">
        <f>'Allocation ProForma'!T1031</f>
        <v>212801.73470027981</v>
      </c>
      <c r="E74" s="32">
        <f t="shared" si="8"/>
        <v>38627.963679010863</v>
      </c>
      <c r="F74" s="4">
        <f>'Allocation ProForma'!T1036</f>
        <v>253517.80058301476</v>
      </c>
      <c r="G74" s="14">
        <f t="shared" si="9"/>
        <v>0.15236785578834366</v>
      </c>
    </row>
    <row r="75" spans="1:7" hidden="1">
      <c r="A75" s="35" t="s">
        <v>1492</v>
      </c>
      <c r="B75" s="34"/>
      <c r="C75" s="29">
        <f>'Allocation ProForma'!U1020</f>
        <v>293180.05617090483</v>
      </c>
      <c r="D75" s="29">
        <f>'Allocation ProForma'!U1031</f>
        <v>246930.041946799</v>
      </c>
      <c r="E75" s="29">
        <f t="shared" si="8"/>
        <v>46250.014224105835</v>
      </c>
      <c r="F75" s="29">
        <f>'Allocation ProForma'!U1036</f>
        <v>451870.43814328534</v>
      </c>
      <c r="G75" s="30">
        <f t="shared" si="9"/>
        <v>0.10235237873525208</v>
      </c>
    </row>
    <row r="76" spans="1:7">
      <c r="C76" s="4">
        <f>SUM(C60:C72)</f>
        <v>1045324127.4258085</v>
      </c>
      <c r="D76" s="4">
        <f>SUM(D60:D72)</f>
        <v>890208026.22807705</v>
      </c>
      <c r="E76" s="4">
        <f>SUM(E60:E72)</f>
        <v>155116101.19773147</v>
      </c>
      <c r="F76" s="4">
        <f>SUM(F60:F72)</f>
        <v>1894443755.0954003</v>
      </c>
      <c r="G76" s="14">
        <f t="shared" si="9"/>
        <v>8.1879496702144172E-2</v>
      </c>
    </row>
  </sheetData>
  <mergeCells count="1">
    <mergeCell ref="J2:M2"/>
  </mergeCells>
  <phoneticPr fontId="0" type="noConversion"/>
  <pageMargins left="0.75" right="0.75" top="0.75" bottom="0.75" header="0.5" footer="0.5"/>
  <pageSetup scale="58" orientation="landscape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zoomScaleNormal="100" workbookViewId="0">
      <selection sqref="A1:K1"/>
    </sheetView>
  </sheetViews>
  <sheetFormatPr defaultRowHeight="13.8"/>
  <cols>
    <col min="1" max="1" width="4.5546875" customWidth="1"/>
    <col min="2" max="2" width="41.109375" bestFit="1" customWidth="1"/>
    <col min="3" max="3" width="30.6640625" hidden="1" customWidth="1"/>
    <col min="4" max="4" width="28.33203125" hidden="1" customWidth="1"/>
    <col min="5" max="5" width="22.5546875" bestFit="1" customWidth="1"/>
    <col min="6" max="6" width="20.5546875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/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180"/>
      <c r="M1" s="180"/>
      <c r="N1" s="180"/>
    </row>
    <row r="2" spans="1:14" ht="15.6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29"/>
      <c r="M2" s="129"/>
      <c r="N2" s="129"/>
    </row>
    <row r="3" spans="1:14" ht="15.6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180"/>
      <c r="M3" s="180"/>
      <c r="N3" s="180"/>
    </row>
    <row r="4" spans="1:14" ht="15.6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180"/>
      <c r="M4" s="180"/>
      <c r="N4" s="180"/>
    </row>
    <row r="5" spans="1:14" ht="15.6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6"/>
      <c r="M5" s="16"/>
      <c r="N5" s="16"/>
    </row>
    <row r="6" spans="1:14" ht="15.6">
      <c r="A6" s="433"/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180"/>
      <c r="M6" s="180"/>
      <c r="N6" s="180"/>
    </row>
    <row r="8" spans="1:14" ht="14.4" thickBot="1"/>
    <row r="9" spans="1:14" ht="14.4" thickBot="1">
      <c r="A9" s="131"/>
      <c r="B9" s="132"/>
      <c r="C9" s="133"/>
      <c r="D9" s="13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138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138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30" t="s">
        <v>1388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144"/>
      <c r="C13" s="145"/>
      <c r="D13" s="146"/>
      <c r="E13" s="147"/>
      <c r="F13" s="147"/>
      <c r="G13" s="147"/>
      <c r="H13" s="147"/>
      <c r="I13" s="147"/>
      <c r="J13" s="147"/>
      <c r="K13" s="135"/>
      <c r="L13" s="139"/>
    </row>
    <row r="14" spans="1:14">
      <c r="A14" s="148" t="s">
        <v>1311</v>
      </c>
      <c r="B14" s="149" t="s">
        <v>1069</v>
      </c>
      <c r="C14" s="150"/>
      <c r="D14" s="243">
        <f>'Allocation ProForma'!G170</f>
        <v>931649506.04860032</v>
      </c>
      <c r="E14" s="244">
        <f>'Allocation ProForma'!G119+'Allocation ProForma'!G120+'Allocation ProForma'!G121</f>
        <v>496624666.72452444</v>
      </c>
      <c r="F14" s="244">
        <f>'Allocation ProForma'!G122</f>
        <v>20450212.014819715</v>
      </c>
      <c r="G14" s="244">
        <f>'Allocation ProForma'!G131</f>
        <v>50943660.377087429</v>
      </c>
      <c r="H14" s="244">
        <f>'Allocation ProForma'!G141+'Allocation ProForma'!G143+'Allocation ProForma'!G148+'Allocation ProForma'!G137</f>
        <v>125919939.57714701</v>
      </c>
      <c r="I14" s="244">
        <f>'Allocation ProForma'!G142+'Allocation ProForma'!G144+'Allocation ProForma'!G149+'Allocation ProForma'!G153+'Allocation ProForma'!G156+'Allocation ProForma'!G159</f>
        <v>234789446.71545428</v>
      </c>
      <c r="J14" s="244">
        <f>'Allocation ProForma'!G162+'Allocation ProForma'!G165</f>
        <v>2921580.6395673994</v>
      </c>
      <c r="K14" s="293">
        <f>SUM(E14:J14)</f>
        <v>931649506.0486002</v>
      </c>
      <c r="L14" s="151" t="str">
        <f>IF(ABS(K14-D14)&lt;0.01,"ok","err")</f>
        <v>ok</v>
      </c>
    </row>
    <row r="15" spans="1:14">
      <c r="A15" s="152" t="s">
        <v>1312</v>
      </c>
      <c r="B15" s="157" t="s">
        <v>1313</v>
      </c>
      <c r="C15" s="150"/>
      <c r="D15" s="245">
        <f>'Allocation ProForma'!G818+'Allocation ProForma'!G819+'Allocation ProForma'!G820</f>
        <v>-11784585.141116511</v>
      </c>
      <c r="E15" s="185">
        <f t="shared" ref="E15:J15" si="0">(E14/$D$14)*$D$15</f>
        <v>-6281885.6557075968</v>
      </c>
      <c r="F15" s="185">
        <f t="shared" si="0"/>
        <v>-258678.03619052735</v>
      </c>
      <c r="G15" s="185">
        <f t="shared" si="0"/>
        <v>-644394.59176034026</v>
      </c>
      <c r="H15" s="185">
        <f t="shared" si="0"/>
        <v>-1592781.6622850499</v>
      </c>
      <c r="I15" s="185">
        <f t="shared" si="0"/>
        <v>-2969889.6495841341</v>
      </c>
      <c r="J15" s="185">
        <f t="shared" si="0"/>
        <v>-36955.545588861823</v>
      </c>
      <c r="K15" s="293">
        <f>SUM(E15:J15)</f>
        <v>-11784585.141116511</v>
      </c>
      <c r="L15" s="151" t="str">
        <f>IF(ABS(K15-D15)&lt;0.01,"ok","err")</f>
        <v>ok</v>
      </c>
    </row>
    <row r="16" spans="1:14">
      <c r="A16" s="152" t="s">
        <v>1314</v>
      </c>
      <c r="B16" s="184" t="s">
        <v>1315</v>
      </c>
      <c r="C16" s="150"/>
      <c r="D16" s="182">
        <f>D14+D15</f>
        <v>919864920.90748382</v>
      </c>
      <c r="E16" s="183">
        <f t="shared" ref="E16:K16" si="1">E14+E15</f>
        <v>490342781.06881684</v>
      </c>
      <c r="F16" s="183">
        <f t="shared" si="1"/>
        <v>20191533.978629187</v>
      </c>
      <c r="G16" s="183">
        <f t="shared" si="1"/>
        <v>50299265.785327092</v>
      </c>
      <c r="H16" s="183">
        <f t="shared" si="1"/>
        <v>124327157.91486196</v>
      </c>
      <c r="I16" s="183">
        <f t="shared" si="1"/>
        <v>231819557.06587014</v>
      </c>
      <c r="J16" s="183">
        <f t="shared" si="1"/>
        <v>2884625.0939785377</v>
      </c>
      <c r="K16" s="293">
        <f t="shared" si="1"/>
        <v>919864920.9074837</v>
      </c>
      <c r="L16" s="151" t="str">
        <f>IF(ABS(K16-D16)&lt;0.01,"ok","err")</f>
        <v>ok</v>
      </c>
    </row>
    <row r="17" spans="1:12">
      <c r="A17" s="152"/>
      <c r="B17" s="153"/>
      <c r="C17" s="154"/>
      <c r="D17" s="246"/>
      <c r="E17" s="186"/>
      <c r="F17" s="186"/>
      <c r="G17" s="186"/>
      <c r="H17" s="186"/>
      <c r="I17" s="186"/>
      <c r="J17" s="186"/>
      <c r="K17" s="292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ProForma'!G1038</f>
        <v>5.6393918795013889E-2</v>
      </c>
      <c r="E18" s="248">
        <f t="shared" ref="E18:J18" si="2">D18</f>
        <v>5.6393918795013889E-2</v>
      </c>
      <c r="F18" s="248">
        <f t="shared" si="2"/>
        <v>5.6393918795013889E-2</v>
      </c>
      <c r="G18" s="248">
        <f t="shared" si="2"/>
        <v>5.6393918795013889E-2</v>
      </c>
      <c r="H18" s="248">
        <f t="shared" si="2"/>
        <v>5.6393918795013889E-2</v>
      </c>
      <c r="I18" s="248">
        <f t="shared" si="2"/>
        <v>5.6393918795013889E-2</v>
      </c>
      <c r="J18" s="248">
        <f t="shared" si="2"/>
        <v>5.6393918795013889E-2</v>
      </c>
      <c r="K18" s="292"/>
      <c r="L18" s="151"/>
    </row>
    <row r="19" spans="1:12">
      <c r="A19" s="156"/>
      <c r="B19" s="149"/>
      <c r="C19" s="154"/>
      <c r="D19" s="246"/>
      <c r="E19" s="186"/>
      <c r="F19" s="186"/>
      <c r="G19" s="186"/>
      <c r="H19" s="186"/>
      <c r="I19" s="186"/>
      <c r="J19" s="186"/>
      <c r="K19" s="292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51874787.652038515</v>
      </c>
      <c r="E20" s="183">
        <f t="shared" ref="E20:J20" si="3">E18*E16</f>
        <v>27652350.97731613</v>
      </c>
      <c r="F20" s="183">
        <f t="shared" si="3"/>
        <v>1138679.727537578</v>
      </c>
      <c r="G20" s="183">
        <f t="shared" si="3"/>
        <v>2836572.7101465566</v>
      </c>
      <c r="H20" s="183">
        <f t="shared" si="3"/>
        <v>7011295.6474655941</v>
      </c>
      <c r="I20" s="183">
        <f t="shared" si="3"/>
        <v>13073213.276268769</v>
      </c>
      <c r="J20" s="183">
        <f t="shared" si="3"/>
        <v>162675.31330388496</v>
      </c>
      <c r="K20" s="293">
        <f>SUM(E20:J20)</f>
        <v>51874787.652038515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186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ProForma'!G715</f>
        <v>16773109.076710684</v>
      </c>
      <c r="E22" s="183">
        <f t="shared" ref="E22:J22" si="4">(E14/$D$14)*$D$22</f>
        <v>8941065.9814389478</v>
      </c>
      <c r="F22" s="183">
        <f t="shared" si="4"/>
        <v>368178.84251476952</v>
      </c>
      <c r="G22" s="183">
        <f t="shared" si="4"/>
        <v>917172.78517745144</v>
      </c>
      <c r="H22" s="183">
        <f t="shared" si="4"/>
        <v>2267020.8782895305</v>
      </c>
      <c r="I22" s="183">
        <f t="shared" si="4"/>
        <v>4227071.4192955615</v>
      </c>
      <c r="J22" s="183">
        <f t="shared" si="4"/>
        <v>52599.169994422577</v>
      </c>
      <c r="K22" s="293">
        <f>SUM(E22:J22)</f>
        <v>16773109.076710684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186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35101678.575327829</v>
      </c>
      <c r="E24" s="183">
        <f t="shared" ref="E24:J24" si="5">E20-E22</f>
        <v>18711284.995877184</v>
      </c>
      <c r="F24" s="183">
        <f t="shared" si="5"/>
        <v>770500.88502280845</v>
      </c>
      <c r="G24" s="183">
        <f t="shared" si="5"/>
        <v>1919399.924969105</v>
      </c>
      <c r="H24" s="183">
        <f t="shared" si="5"/>
        <v>4744274.7691760641</v>
      </c>
      <c r="I24" s="183">
        <f t="shared" si="5"/>
        <v>8846141.8569732085</v>
      </c>
      <c r="J24" s="183">
        <f t="shared" si="5"/>
        <v>110076.14330946238</v>
      </c>
      <c r="K24" s="293">
        <f>SUM(E24:J24)</f>
        <v>35101678.575327829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186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ProForma'!G766+'Allocation ProForma'!G1029</f>
        <v>22666785.944083475</v>
      </c>
      <c r="E26" s="183">
        <f t="shared" ref="E26:J26" si="6">$D$26*(E24/$K$24)</f>
        <v>12082746.721930176</v>
      </c>
      <c r="F26" s="183">
        <f t="shared" si="6"/>
        <v>497548.24667599995</v>
      </c>
      <c r="G26" s="183">
        <f t="shared" si="6"/>
        <v>1239445.775990451</v>
      </c>
      <c r="H26" s="183">
        <f t="shared" si="6"/>
        <v>3063598.8083035867</v>
      </c>
      <c r="I26" s="183">
        <f t="shared" si="6"/>
        <v>5712365.107346897</v>
      </c>
      <c r="J26" s="183">
        <f t="shared" si="6"/>
        <v>71081.283836368151</v>
      </c>
      <c r="K26" s="293">
        <f>SUM(E26:J26)</f>
        <v>22666785.944083478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186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ProForma'!G685</f>
        <v>305307217.92472637</v>
      </c>
      <c r="E28" s="183">
        <f>'Allocation ProForma'!G174+'Allocation ProForma'!G175+'Allocation ProForma'!G176</f>
        <v>50820965.437687255</v>
      </c>
      <c r="F28" s="183">
        <f>'Allocation ProForma'!G177</f>
        <v>181316008.0341672</v>
      </c>
      <c r="G28" s="183">
        <f>'Allocation ProForma'!G186</f>
        <v>9182526.6508071162</v>
      </c>
      <c r="H28" s="183">
        <f>'Allocation ProForma'!G192+'Allocation ProForma'!G196+'Allocation ProForma'!G198+'Allocation ProForma'!G203</f>
        <v>13010273.584951917</v>
      </c>
      <c r="I28" s="183">
        <f>'Allocation ProForma'!G197+'Allocation ProForma'!G199+'Allocation ProForma'!G204+'Allocation ProForma'!G208+'Allocation ProForma'!G211</f>
        <v>29047343.086429372</v>
      </c>
      <c r="J28" s="183">
        <f>'Allocation ProForma'!G217+'Allocation ProForma'!G220</f>
        <v>21930101.130683564</v>
      </c>
      <c r="K28" s="293">
        <f t="shared" ref="K28:K33" si="7">SUM(E28:J28)</f>
        <v>305307217.92472637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5">
        <f>'Allocation ProForma'!G686</f>
        <v>57061244.857888818</v>
      </c>
      <c r="E29" s="183">
        <f>'Allocation ProForma'!G290</f>
        <v>37605716.470108449</v>
      </c>
      <c r="F29" s="183">
        <v>0</v>
      </c>
      <c r="G29" s="183">
        <f>'Allocation ProForma'!G296</f>
        <v>2629766.6968921926</v>
      </c>
      <c r="H29" s="183">
        <f>'Allocation ProForma'!G302+'Allocation ProForma'!G306+'Allocation ProForma'!G308+'Allocation ProForma'!G313</f>
        <v>5886029.8233251534</v>
      </c>
      <c r="I29" s="183">
        <f>'Allocation ProForma'!G307+'Allocation ProForma'!G309+'Allocation ProForma'!G314+'Allocation ProForma'!G318+'Allocation ProForma'!G321</f>
        <v>10939731.867563015</v>
      </c>
      <c r="J29" s="183">
        <v>0</v>
      </c>
      <c r="K29" s="293">
        <f t="shared" si="7"/>
        <v>57061244.85788881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5">
        <f>'Allocation ProForma'!G687+'Allocation ProForma'!G688+'Allocation ProForma'!G691+'Allocation ProForma'!G692+'Allocation ProForma'!G693</f>
        <v>8324301.7075190842</v>
      </c>
      <c r="E30" s="183">
        <f>'Allocation ProForma'!G401+'Allocation ProForma'!G456+'Allocation ProForma'!G345+'Allocation ProForma'!G511+'Allocation ProForma'!G566</f>
        <v>4427265.6304136869</v>
      </c>
      <c r="F30" s="183">
        <f>'Allocation ProForma'!G342+'Allocation ProForma'!G343+'Allocation ProForma'!G344+'Allocation ProForma'!G398+'Allocation ProForma'!G399+'Allocation ProForma'!G400+'Allocation ProForma'!G453+'Allocation ProForma'!G454+'Allocation ProForma'!G455+'Allocation ProForma'!G508+'Allocation ProForma'!G509+'Allocation ProForma'!G510+'Allocation ProForma'!G563+'Allocation ProForma'!G564+'Allocation ProForma'!G565</f>
        <v>0</v>
      </c>
      <c r="G30" s="183">
        <f>'Allocation ProForma'!G351+'Allocation ProForma'!G407+'Allocation ProForma'!G462+'Allocation ProForma'!G517+'Allocation ProForma'!G572</f>
        <v>572817.37933120469</v>
      </c>
      <c r="H30" s="183">
        <f>'Allocation ProForma'!G357+'Allocation ProForma'!G361+'Allocation ProForma'!G363+'Allocation ProForma'!G368+'Allocation ProForma'!G413+'Allocation ProForma'!G417+'Allocation ProForma'!G419+'Allocation ProForma'!G424+'Allocation ProForma'!G468+'Allocation ProForma'!G472+'Allocation ProForma'!G474+'Allocation ProForma'!G479+'Allocation ProForma'!G523+'Allocation ProForma'!G527+'Allocation ProForma'!G529+'Allocation ProForma'!G534+'Allocation ProForma'!G578+'Allocation ProForma'!G582+'Allocation ProForma'!G584+'Allocation ProForma'!G589</f>
        <v>1162886.4567213033</v>
      </c>
      <c r="I30" s="183">
        <f>'Allocation ProForma'!G362+'Allocation ProForma'!G364+'Allocation ProForma'!G369+'Allocation ProForma'!G373+'Allocation ProForma'!G377+'Allocation ProForma'!G418+'Allocation ProForma'!G420+'Allocation ProForma'!G425+'Allocation ProForma'!G429+'Allocation ProForma'!G432+'Allocation ProForma'!G473+'Allocation ProForma'!G475+'Allocation ProForma'!G480+'Allocation ProForma'!G484+'Allocation ProForma'!G487+'Allocation ProForma'!G528+'Allocation ProForma'!G530+'Allocation ProForma'!G535+'Allocation ProForma'!G539+'Allocation ProForma'!G542+'Allocation ProForma'!G583+'Allocation ProForma'!G585+'Allocation ProForma'!G590+'Allocation ProForma'!G594+'Allocation ProForma'!G597</f>
        <v>2161332.2410528874</v>
      </c>
      <c r="J30" s="183">
        <v>0</v>
      </c>
      <c r="K30" s="293">
        <f t="shared" si="7"/>
        <v>8324301.7075190824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5">
        <f>'Allocation ProForma'!G689+'Allocation ProForma'!G690</f>
        <v>2771910.9637774178</v>
      </c>
      <c r="E31" s="183">
        <f t="shared" ref="E31:J31" si="8">$D$31*(E14/$K$14)</f>
        <v>1477593.6118021235</v>
      </c>
      <c r="F31" s="183">
        <f t="shared" si="8"/>
        <v>60844.9492297529</v>
      </c>
      <c r="G31" s="183">
        <f t="shared" si="8"/>
        <v>151571.2613138395</v>
      </c>
      <c r="H31" s="183">
        <f t="shared" si="8"/>
        <v>374646.10758230346</v>
      </c>
      <c r="I31" s="183">
        <f t="shared" si="8"/>
        <v>698562.53591557348</v>
      </c>
      <c r="J31" s="183">
        <f t="shared" si="8"/>
        <v>8692.4979338251887</v>
      </c>
      <c r="K31" s="293">
        <f t="shared" si="7"/>
        <v>2771910.9637774178</v>
      </c>
      <c r="L31" s="151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245">
        <f>'Allocation ProForma'!G696</f>
        <v>526091.85596441664</v>
      </c>
      <c r="E32" s="183">
        <f>D32</f>
        <v>526091.85596441664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293">
        <f t="shared" si="7"/>
        <v>526091.85596441664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245">
        <f>'Allocation ProForma'!G772</f>
        <v>-320084.69225455879</v>
      </c>
      <c r="E33" s="183">
        <f>D33</f>
        <v>-320084.69225455879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-320084.69225455879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245">
        <f>'Allocation ProForma'!G771+'Allocation ProForma'!G774+'Allocation ProForma'!G775</f>
        <v>-15412943.618148699</v>
      </c>
      <c r="E34" s="183">
        <v>0</v>
      </c>
      <c r="F34" s="183">
        <f>D34</f>
        <v>-15412943.618148699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-15412943.618148699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245">
        <f>'Allocation ProForma'!G782+'Allocation ProForma'!G787</f>
        <v>-1066885.8778057536</v>
      </c>
      <c r="E35" s="183">
        <v>0</v>
      </c>
      <c r="F35" s="183">
        <v>0</v>
      </c>
      <c r="G35" s="183">
        <f>D35</f>
        <v>-1066885.8778057536</v>
      </c>
      <c r="H35" s="183">
        <v>0</v>
      </c>
      <c r="I35" s="183">
        <v>0</v>
      </c>
      <c r="J35" s="183">
        <v>0</v>
      </c>
      <c r="K35" s="293">
        <f t="shared" si="10"/>
        <v>-1066885.8778057536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245">
        <f>'Allocation ProForma'!G776+'Allocation ProForma'!G784</f>
        <v>-8639213.7209363393</v>
      </c>
      <c r="E36" s="183">
        <v>0</v>
      </c>
      <c r="F36" s="183">
        <v>0</v>
      </c>
      <c r="G36" s="183">
        <v>0</v>
      </c>
      <c r="H36" s="183">
        <f>(H14/($I$14+$H$14)*$D$36)</f>
        <v>-3015860.7207740317</v>
      </c>
      <c r="I36" s="183">
        <f>(I14/($I$14+$H$14)*$D$36)</f>
        <v>-5623353.0001623072</v>
      </c>
      <c r="J36" s="183">
        <v>0</v>
      </c>
      <c r="K36" s="293">
        <f t="shared" si="10"/>
        <v>-8639213.7209363393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245">
        <f>'Allocation ProForma'!G777+'Allocation ProForma'!G778+'Allocation ProForma'!G779+'Allocation ProForma'!G780+'Allocation ProForma'!G781+'Allocation ProForma'!G785+'Allocation ProForma'!G786+'Allocation ProForma'!G792+'Allocation ProForma'!G793+'Allocation ProForma'!G796+'Allocation ProForma'!G797+'Allocation ProForma'!G798+'Allocation ProForma'!G799+'Allocation ProForma'!G800+'Allocation ProForma'!G801+'Allocation ProForma'!G802+'Allocation ProForma'!G804+'Allocation ProForma'!G805</f>
        <v>-48805.123306672467</v>
      </c>
      <c r="E37" s="183">
        <f t="shared" ref="E37:J37" si="11">(E14/($D$14)*$D$37)</f>
        <v>-26016.037081826293</v>
      </c>
      <c r="F37" s="183">
        <f t="shared" si="11"/>
        <v>-1071.2989300708173</v>
      </c>
      <c r="G37" s="183">
        <f t="shared" si="11"/>
        <v>-2668.7199534320321</v>
      </c>
      <c r="H37" s="183">
        <f t="shared" si="11"/>
        <v>-6596.4057705525347</v>
      </c>
      <c r="I37" s="183">
        <f t="shared" si="11"/>
        <v>-12299.612486946766</v>
      </c>
      <c r="J37" s="183">
        <f t="shared" si="11"/>
        <v>-153.04908384402202</v>
      </c>
      <c r="K37" s="293">
        <f t="shared" si="10"/>
        <v>-48805.123306672467</v>
      </c>
      <c r="L37" s="151" t="str">
        <f t="shared" si="9"/>
        <v>ok</v>
      </c>
    </row>
    <row r="38" spans="1:12">
      <c r="A38" s="152"/>
      <c r="B38" s="149"/>
      <c r="D38" s="249"/>
      <c r="E38" s="183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ProForma'!G806</f>
        <v>-25487933.032452017</v>
      </c>
      <c r="E39" s="183">
        <f>SUM(E33:E37)</f>
        <v>-346100.72933638509</v>
      </c>
      <c r="F39" s="183">
        <f>SUM(F34:F37)</f>
        <v>-15414014.917078771</v>
      </c>
      <c r="G39" s="183">
        <f>SUM(G33:G37)</f>
        <v>-1069554.5977591856</v>
      </c>
      <c r="H39" s="183">
        <f>SUM(H33:H37)</f>
        <v>-3022457.1265445841</v>
      </c>
      <c r="I39" s="183">
        <f>SUM(I33:I37)</f>
        <v>-5635652.6126492536</v>
      </c>
      <c r="J39" s="183">
        <f>SUM(J33:J37)</f>
        <v>-153.04908384402202</v>
      </c>
      <c r="K39" s="293">
        <f t="shared" si="10"/>
        <v>-25487933.032452025</v>
      </c>
      <c r="L39" s="151" t="str">
        <f t="shared" si="9"/>
        <v>ok</v>
      </c>
    </row>
    <row r="40" spans="1:12">
      <c r="A40" s="156"/>
      <c r="B40" s="149"/>
      <c r="C40" s="154"/>
      <c r="D40" s="182"/>
      <c r="E40" s="186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ProForma'!G1020</f>
        <v>423044407.873546</v>
      </c>
      <c r="D41" s="249">
        <f t="shared" ref="D41:I41" si="12">SUM(D28:D32)+D22+D26+D39+D24</f>
        <v>423044407.87354606</v>
      </c>
      <c r="E41" s="183">
        <f t="shared" si="12"/>
        <v>134246629.97588587</v>
      </c>
      <c r="F41" s="183">
        <f t="shared" si="12"/>
        <v>167599066.04053178</v>
      </c>
      <c r="G41" s="183">
        <f t="shared" si="12"/>
        <v>15543145.876722174</v>
      </c>
      <c r="H41" s="183">
        <f t="shared" si="12"/>
        <v>27486273.30180528</v>
      </c>
      <c r="I41" s="183">
        <f t="shared" si="12"/>
        <v>55996895.501927271</v>
      </c>
      <c r="J41" s="183">
        <f>SUM(J28:J32)+J22+J26+J39+J24</f>
        <v>22172397.176673796</v>
      </c>
      <c r="K41" s="293">
        <f>SUM(E41:J41)</f>
        <v>423044407.87354606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186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ProForma'!G673+'Allocation ProForma'!G674+'Allocation ProForma'!G675)</f>
        <v>1005273.9422714044</v>
      </c>
      <c r="E43" s="183">
        <v>0</v>
      </c>
      <c r="F43" s="183">
        <f>D43</f>
        <v>1005273.9422714044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1005273.9422714044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5">
        <f>-('Allocation ProForma'!G671+'Allocation ProForma'!G672+'Allocation ProForma'!G676+'Allocation ProForma'!G677+'Allocation ProForma'!G678+'Allocation ProForma'!G679)</f>
        <v>-57228304.685009293</v>
      </c>
      <c r="E44" s="183">
        <f>-('Allocation ProForma'!G671+'Allocation ProForma'!G672)-(E14/($D$14)*('Allocation ProForma'!G676+'Allocation ProForma'!G677+'Allocation ProForma'!G678+'Allocation ProForma'!G679))</f>
        <v>-52447385.794964179</v>
      </c>
      <c r="F44" s="183">
        <f>(F14/($D$14)*-('Allocation ProForma'!G676+'Allocation ProForma'!G677+'Allocation ProForma'!G678+'Allocation ProForma'!G679))</f>
        <v>-224747.6375808593</v>
      </c>
      <c r="G44" s="183">
        <f>(G14/($D$14)*-('Allocation ProForma'!G676+'Allocation ProForma'!G677+'Allocation ProForma'!G678+'Allocation ProForma'!G679))</f>
        <v>-559870.34810078784</v>
      </c>
      <c r="H44" s="183">
        <f>(H14/($D$14)*-('Allocation ProForma'!G676+'Allocation ProForma'!G677+'Allocation ProForma'!G678+'Allocation ProForma'!G679))</f>
        <v>-1383858.9508891127</v>
      </c>
      <c r="I44" s="183">
        <f>(I14/($D$14)*-('Allocation ProForma'!G676+'Allocation ProForma'!G677+'Allocation ProForma'!G678+'Allocation ProForma'!G679))</f>
        <v>-2580333.8097412186</v>
      </c>
      <c r="J44" s="183">
        <f>(J14/($D$14)*-('Allocation ProForma'!G676+'Allocation ProForma'!G677+'Allocation ProForma'!G678+'Allocation ProForma'!G679))</f>
        <v>-32108.14373312685</v>
      </c>
      <c r="K44" s="293">
        <f>SUM(E44:J44)</f>
        <v>-57228304.685009286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5">
        <f t="shared" ref="D45:J45" si="13">SUM(D43:D44)</f>
        <v>-56223030.742737889</v>
      </c>
      <c r="E45" s="183">
        <f t="shared" si="13"/>
        <v>-52447385.794964179</v>
      </c>
      <c r="F45" s="183">
        <f t="shared" si="13"/>
        <v>780526.30469054519</v>
      </c>
      <c r="G45" s="183">
        <f t="shared" si="13"/>
        <v>-559870.34810078784</v>
      </c>
      <c r="H45" s="183">
        <f t="shared" si="13"/>
        <v>-1383858.9508891127</v>
      </c>
      <c r="I45" s="183">
        <f t="shared" si="13"/>
        <v>-2580333.8097412186</v>
      </c>
      <c r="J45" s="183">
        <f t="shared" si="13"/>
        <v>-32108.14373312685</v>
      </c>
      <c r="K45" s="293">
        <f>SUM(E45:J45)</f>
        <v>-56223030.742737882</v>
      </c>
      <c r="L45" s="151" t="str">
        <f>IF(ABS(K45-D45)&lt;0.01,"ok","err")</f>
        <v>ok</v>
      </c>
    </row>
    <row r="46" spans="1:12">
      <c r="A46" s="156"/>
      <c r="B46" s="149"/>
      <c r="D46" s="251"/>
      <c r="E46" s="186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ProForma'!G1020-SUM('Allocation ProForma'!G671:G679)</f>
        <v>366821377.13080812</v>
      </c>
      <c r="D47" s="249">
        <f t="shared" ref="D47:I47" si="14">D41+D45</f>
        <v>366821377.13080817</v>
      </c>
      <c r="E47" s="183">
        <f t="shared" si="14"/>
        <v>81799244.180921689</v>
      </c>
      <c r="F47" s="183">
        <f t="shared" si="14"/>
        <v>168379592.34522232</v>
      </c>
      <c r="G47" s="183">
        <f t="shared" si="14"/>
        <v>14983275.528621387</v>
      </c>
      <c r="H47" s="183">
        <f t="shared" si="14"/>
        <v>26102414.350916166</v>
      </c>
      <c r="I47" s="183">
        <f t="shared" si="14"/>
        <v>53416561.69218605</v>
      </c>
      <c r="J47" s="183">
        <f>J41+J45</f>
        <v>22140289.032940671</v>
      </c>
      <c r="K47" s="293">
        <f>SUM(E47:J47)</f>
        <v>366821377.13080829</v>
      </c>
      <c r="L47" s="151" t="str">
        <f>IF(ABS(K47-D47)&lt;0.01,"ok","err")</f>
        <v>ok</v>
      </c>
    </row>
    <row r="48" spans="1:12">
      <c r="A48" s="156"/>
      <c r="B48" s="149"/>
      <c r="C48" s="154"/>
      <c r="D48" s="252"/>
      <c r="E48" s="186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3"/>
      <c r="E49" s="254">
        <f>'Allocation ProForma'!$G$1060</f>
        <v>4216187376</v>
      </c>
      <c r="F49" s="254">
        <f>'Allocation ProForma'!$G$1060</f>
        <v>4216187376</v>
      </c>
      <c r="G49" s="254">
        <f>'Allocation ProForma'!$G$1060</f>
        <v>4216187376</v>
      </c>
      <c r="H49" s="254">
        <f>'Allocation ProForma'!$G$1060</f>
        <v>4216187376</v>
      </c>
      <c r="I49" s="254">
        <f>4173222</f>
        <v>4173222</v>
      </c>
      <c r="J49" s="254">
        <f>I49</f>
        <v>4173222</v>
      </c>
      <c r="K49" s="228"/>
      <c r="L49" s="155"/>
    </row>
    <row r="50" spans="1:12" ht="14.4" thickBot="1">
      <c r="A50" s="156"/>
      <c r="B50" s="149"/>
      <c r="C50" s="154"/>
      <c r="D50" s="251"/>
      <c r="E50" s="186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55"/>
      <c r="E51" s="256">
        <f t="shared" ref="E51:J51" si="15">E47/E49</f>
        <v>1.9401235496921066E-2</v>
      </c>
      <c r="F51" s="256">
        <f t="shared" si="15"/>
        <v>3.9936458541595499E-2</v>
      </c>
      <c r="G51" s="256">
        <f t="shared" si="15"/>
        <v>3.5537499148902596E-3</v>
      </c>
      <c r="H51" s="256">
        <f t="shared" si="15"/>
        <v>6.1909995982389575E-3</v>
      </c>
      <c r="I51" s="257">
        <f t="shared" si="15"/>
        <v>12.799837078445874</v>
      </c>
      <c r="J51" s="257">
        <f t="shared" si="15"/>
        <v>5.3053226099499788</v>
      </c>
      <c r="K51" s="224">
        <f>I51+J51</f>
        <v>18.105159688395851</v>
      </c>
      <c r="L51" s="164"/>
    </row>
    <row r="53" spans="1:12">
      <c r="D53" s="208"/>
      <c r="J53" s="165" t="s">
        <v>1357</v>
      </c>
      <c r="K53" s="166">
        <f>I51+J51</f>
        <v>18.105159688395851</v>
      </c>
    </row>
    <row r="54" spans="1:12">
      <c r="I54" s="15"/>
      <c r="J54" s="165" t="s">
        <v>1358</v>
      </c>
      <c r="K54">
        <f>E51+F51+G51+H51</f>
        <v>6.9082443551645778E-2</v>
      </c>
    </row>
    <row r="56" spans="1:12">
      <c r="I56" s="7"/>
      <c r="J56" s="165" t="s">
        <v>170</v>
      </c>
      <c r="K56" s="15">
        <f>(I47+J47)/J49</f>
        <v>18.105159688395851</v>
      </c>
    </row>
    <row r="57" spans="1:12" ht="14.4" thickBot="1">
      <c r="J57" s="165" t="s">
        <v>1387</v>
      </c>
      <c r="K57" s="233">
        <f>((J47+I47)*E18)/J49</f>
        <v>1.0210209052381545</v>
      </c>
    </row>
    <row r="58" spans="1:12" ht="14.4" thickBot="1">
      <c r="K58" s="181">
        <f>SUM(K56:K57)</f>
        <v>19.126180593634004</v>
      </c>
    </row>
  </sheetData>
  <mergeCells count="6">
    <mergeCell ref="E9:F9"/>
    <mergeCell ref="H9:I9"/>
    <mergeCell ref="A1:K1"/>
    <mergeCell ref="A3:K3"/>
    <mergeCell ref="A4:K4"/>
    <mergeCell ref="A6:K6"/>
  </mergeCells>
  <pageMargins left="0.7" right="0.7" top="1.19" bottom="0.75" header="0.74" footer="0.3"/>
  <pageSetup scale="57" orientation="landscape" r:id="rId1"/>
  <headerFooter>
    <oddHeader>&amp;C&amp;"Times New Roman,Bold"&amp;12Louisville Gas and Electric Company
Calculation of Residential Electric Unit Cost
Twelve Months Ended March 31, 2012</oddHeader>
    <oddFooter>&amp;R&amp;"Times New Roman,Bold"&amp;12 Conroy Exhibit R2
Page 1 of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30.6640625" hidden="1" customWidth="1"/>
    <col min="4" max="4" width="22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>
      <c r="A2" s="129"/>
      <c r="B2" s="129"/>
      <c r="C2" s="129"/>
      <c r="D2" s="220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609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276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276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77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144"/>
      <c r="C13" s="145"/>
      <c r="D13" s="223"/>
      <c r="E13" s="143"/>
      <c r="F13" s="147"/>
      <c r="G13" s="147"/>
      <c r="H13" s="147"/>
      <c r="I13" s="147"/>
      <c r="J13" s="147"/>
      <c r="K13" s="135"/>
      <c r="L13" s="139"/>
    </row>
    <row r="14" spans="1:14">
      <c r="A14" s="148" t="s">
        <v>1311</v>
      </c>
      <c r="B14" s="149" t="s">
        <v>1069</v>
      </c>
      <c r="C14" s="150"/>
      <c r="D14" s="243">
        <f>'Allocation ProForma'!H170</f>
        <v>249679632.1040495</v>
      </c>
      <c r="E14" s="278">
        <f>'Allocation ProForma'!H119+'Allocation ProForma'!H120+'Allocation ProForma'!H121</f>
        <v>161886222.90662244</v>
      </c>
      <c r="F14" s="244">
        <f>'Allocation ProForma'!H122</f>
        <v>6828473.8656259235</v>
      </c>
      <c r="G14" s="244">
        <f>'Allocation ProForma'!H131</f>
        <v>16606256.821429819</v>
      </c>
      <c r="H14" s="244">
        <f>'Allocation ProForma'!H141+'Allocation ProForma'!H143+'Allocation ProForma'!H148+'Allocation ProForma'!H137</f>
        <v>31025896.802479625</v>
      </c>
      <c r="I14" s="244">
        <f>'Allocation ProForma'!H142+'Allocation ProForma'!H144+'Allocation ProForma'!H149+'Allocation ProForma'!H153+'Allocation ProForma'!H156+'Allocation ProForma'!H159</f>
        <v>32766178.30073116</v>
      </c>
      <c r="J14" s="244">
        <f>'Allocation ProForma'!H162+'Allocation ProForma'!H165</f>
        <v>566603.40716052125</v>
      </c>
      <c r="K14" s="292">
        <f>SUM(E14:J14)</f>
        <v>249679632.10404947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245">
        <f>'Allocation ProForma'!H818+'Allocation ProForma'!H819+'Allocation ProForma'!H820</f>
        <v>-3653467.2363385786</v>
      </c>
      <c r="E15" s="279">
        <f t="shared" ref="E15:J15" si="0">(E14/$D$14)*$D$15</f>
        <v>-2368819.6206468074</v>
      </c>
      <c r="F15" s="103">
        <f t="shared" si="0"/>
        <v>-99918.464842426896</v>
      </c>
      <c r="G15" s="103">
        <f t="shared" si="0"/>
        <v>-242993.04954933035</v>
      </c>
      <c r="H15" s="103">
        <f t="shared" si="0"/>
        <v>-453990.16527965612</v>
      </c>
      <c r="I15" s="103">
        <f t="shared" si="0"/>
        <v>-479455.04354100581</v>
      </c>
      <c r="J15" s="103">
        <f t="shared" si="0"/>
        <v>-8290.8924793517344</v>
      </c>
      <c r="K15" s="292">
        <f>SUM(E15:J15)</f>
        <v>-3653467.2363385786</v>
      </c>
      <c r="L15" s="151" t="str">
        <f>IF(ABS(K15-D15)&lt;0.01,"ok","err")</f>
        <v>ok</v>
      </c>
    </row>
    <row r="16" spans="1:14">
      <c r="A16" s="152" t="s">
        <v>1314</v>
      </c>
      <c r="B16" s="149" t="s">
        <v>1315</v>
      </c>
      <c r="C16" s="150"/>
      <c r="D16" s="249">
        <f>D14+D15</f>
        <v>246026164.86771092</v>
      </c>
      <c r="E16" s="280">
        <f t="shared" ref="E16:K16" si="1">E14+E15</f>
        <v>159517403.28597564</v>
      </c>
      <c r="F16" s="258">
        <f t="shared" si="1"/>
        <v>6728555.4007834969</v>
      </c>
      <c r="G16" s="258">
        <f t="shared" si="1"/>
        <v>16363263.771880489</v>
      </c>
      <c r="H16" s="258">
        <f t="shared" si="1"/>
        <v>30571906.637199968</v>
      </c>
      <c r="I16" s="258">
        <f t="shared" si="1"/>
        <v>32286723.257190153</v>
      </c>
      <c r="J16" s="258">
        <f t="shared" si="1"/>
        <v>558312.51468116953</v>
      </c>
      <c r="K16" s="292">
        <f t="shared" si="1"/>
        <v>246026164.86771089</v>
      </c>
      <c r="L16" s="151" t="str">
        <f>IF(ABS(K16-D16)&lt;0.01,"ok","err")</f>
        <v>ok</v>
      </c>
    </row>
    <row r="17" spans="1:12">
      <c r="A17" s="152"/>
      <c r="B17" s="149"/>
      <c r="C17" s="154"/>
      <c r="D17" s="246"/>
      <c r="E17" s="281"/>
      <c r="F17" s="186"/>
      <c r="G17" s="186"/>
      <c r="H17" s="186"/>
      <c r="I17" s="186"/>
      <c r="J17" s="186"/>
      <c r="K17" s="292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ProForma'!H993</f>
        <v>0.11988986104052925</v>
      </c>
      <c r="E18" s="282">
        <f t="shared" ref="E18:J18" si="2">D18</f>
        <v>0.11988986104052925</v>
      </c>
      <c r="F18" s="248">
        <f t="shared" si="2"/>
        <v>0.11988986104052925</v>
      </c>
      <c r="G18" s="248">
        <f t="shared" si="2"/>
        <v>0.11988986104052925</v>
      </c>
      <c r="H18" s="248">
        <f t="shared" si="2"/>
        <v>0.11988986104052925</v>
      </c>
      <c r="I18" s="248">
        <f t="shared" si="2"/>
        <v>0.11988986104052925</v>
      </c>
      <c r="J18" s="248">
        <f t="shared" si="2"/>
        <v>0.11988986104052925</v>
      </c>
      <c r="K18" s="292"/>
      <c r="L18" s="151"/>
    </row>
    <row r="19" spans="1:12">
      <c r="A19" s="156"/>
      <c r="B19" s="149"/>
      <c r="C19" s="154"/>
      <c r="D19" s="246"/>
      <c r="E19" s="281"/>
      <c r="F19" s="186"/>
      <c r="G19" s="186"/>
      <c r="H19" s="186"/>
      <c r="I19" s="186"/>
      <c r="J19" s="186"/>
      <c r="K19" s="292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29496042.718324199</v>
      </c>
      <c r="E20" s="280">
        <f t="shared" ref="E20:J20" si="3">E18*E16</f>
        <v>19124519.313501682</v>
      </c>
      <c r="F20" s="258">
        <f t="shared" si="3"/>
        <v>806685.57200343604</v>
      </c>
      <c r="G20" s="258">
        <f t="shared" si="3"/>
        <v>1961789.4197802783</v>
      </c>
      <c r="H20" s="258">
        <f t="shared" si="3"/>
        <v>3665261.6384779378</v>
      </c>
      <c r="I20" s="258">
        <f t="shared" si="3"/>
        <v>3870850.7647585515</v>
      </c>
      <c r="J20" s="258">
        <f t="shared" si="3"/>
        <v>66936.009802313856</v>
      </c>
      <c r="K20" s="292">
        <f>SUM(E20:J20)</f>
        <v>29496042.718324196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281"/>
      <c r="F21" s="186"/>
      <c r="G21" s="186"/>
      <c r="H21" s="186"/>
      <c r="I21" s="186"/>
      <c r="J21" s="186"/>
      <c r="K21" s="292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ProForma'!H715</f>
        <v>4561055.1221019588</v>
      </c>
      <c r="E22" s="280">
        <f t="shared" ref="E22:J22" si="4">(E14/$D$14)*$D$22</f>
        <v>2957277.611969111</v>
      </c>
      <c r="F22" s="258">
        <f t="shared" si="4"/>
        <v>124740.03361224652</v>
      </c>
      <c r="G22" s="258">
        <f t="shared" si="4"/>
        <v>303356.95425391739</v>
      </c>
      <c r="H22" s="258">
        <f t="shared" si="4"/>
        <v>566769.6012535952</v>
      </c>
      <c r="I22" s="258">
        <f t="shared" si="4"/>
        <v>598560.41964999365</v>
      </c>
      <c r="J22" s="258">
        <f t="shared" si="4"/>
        <v>10350.501363094578</v>
      </c>
      <c r="K22" s="292">
        <f>SUM(E22:J22)</f>
        <v>4561055.1221019588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281"/>
      <c r="F23" s="186"/>
      <c r="G23" s="186"/>
      <c r="H23" s="186"/>
      <c r="I23" s="186"/>
      <c r="J23" s="186"/>
      <c r="K23" s="292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24934987.59622224</v>
      </c>
      <c r="E24" s="280">
        <f t="shared" ref="E24:J24" si="5">E20-E22</f>
        <v>16167241.701532571</v>
      </c>
      <c r="F24" s="258">
        <f t="shared" si="5"/>
        <v>681945.53839118953</v>
      </c>
      <c r="G24" s="258">
        <f t="shared" si="5"/>
        <v>1658432.465526361</v>
      </c>
      <c r="H24" s="258">
        <f t="shared" si="5"/>
        <v>3098492.0372243426</v>
      </c>
      <c r="I24" s="258">
        <f t="shared" si="5"/>
        <v>3272290.345108558</v>
      </c>
      <c r="J24" s="258">
        <f t="shared" si="5"/>
        <v>56585.50843921928</v>
      </c>
      <c r="K24" s="292">
        <f>SUM(E24:J24)</f>
        <v>24934987.59622224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281"/>
      <c r="F25" s="186"/>
      <c r="G25" s="186"/>
      <c r="H25" s="186"/>
      <c r="I25" s="186"/>
      <c r="J25" s="186"/>
      <c r="K25" s="292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ProForma'!H766+'Allocation ProForma'!H984</f>
        <v>16118335.567375651</v>
      </c>
      <c r="E26" s="280">
        <f t="shared" ref="E26:J26" si="6">$D$26*(E24/$K$24)</f>
        <v>10450738.182185888</v>
      </c>
      <c r="F26" s="258">
        <f t="shared" si="6"/>
        <v>440819.43029035861</v>
      </c>
      <c r="G26" s="258">
        <f t="shared" si="6"/>
        <v>1072034.6618192794</v>
      </c>
      <c r="H26" s="258">
        <f t="shared" si="6"/>
        <v>2002909.9359323471</v>
      </c>
      <c r="I26" s="258">
        <f t="shared" si="6"/>
        <v>2115255.6684782207</v>
      </c>
      <c r="J26" s="258">
        <f t="shared" si="6"/>
        <v>36577.688669557829</v>
      </c>
      <c r="K26" s="292">
        <f>SUM(E26:J26)</f>
        <v>16118335.567375652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281"/>
      <c r="F27" s="186"/>
      <c r="G27" s="186"/>
      <c r="H27" s="186"/>
      <c r="I27" s="186"/>
      <c r="J27" s="186"/>
      <c r="K27" s="292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ProForma'!H685</f>
        <v>93902408.21785973</v>
      </c>
      <c r="E28" s="280">
        <f>'Allocation ProForma'!H174+'Allocation ProForma'!H175+'Allocation ProForma'!H176</f>
        <v>16566261.586315431</v>
      </c>
      <c r="F28" s="258">
        <f>'Allocation ProForma'!H177</f>
        <v>60542727.93767149</v>
      </c>
      <c r="G28" s="258">
        <f>'Allocation ProForma'!H186</f>
        <v>2993255.5828185049</v>
      </c>
      <c r="H28" s="258">
        <f>'Allocation ProForma'!H192+'Allocation ProForma'!H196+'Allocation ProForma'!H198+'Allocation ProForma'!H203</f>
        <v>3354106.8479628498</v>
      </c>
      <c r="I28" s="258">
        <f>'Allocation ProForma'!H197+'Allocation ProForma'!H199+'Allocation ProForma'!H204+'Allocation ProForma'!H208+'Allocation ProForma'!H211</f>
        <v>4987383.1948291995</v>
      </c>
      <c r="J28" s="258">
        <f>'Allocation ProForma'!H217+'Allocation ProForma'!H220</f>
        <v>5458673.0682622427</v>
      </c>
      <c r="K28" s="292">
        <f t="shared" ref="K28:K33" si="7">SUM(E28:J28)</f>
        <v>93902408.21785973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ProForma'!H686</f>
        <v>16073908.150163444</v>
      </c>
      <c r="E29" s="280">
        <f>'Allocation ProForma'!H290</f>
        <v>12258447.489520533</v>
      </c>
      <c r="F29" s="258">
        <v>0</v>
      </c>
      <c r="G29" s="258">
        <f>'Allocation ProForma'!H296</f>
        <v>857232.88875952736</v>
      </c>
      <c r="H29" s="258">
        <f>'Allocation ProForma'!H302+'Allocation ProForma'!H306+'Allocation ProForma'!H308+'Allocation ProForma'!H313</f>
        <v>1449475.4182544472</v>
      </c>
      <c r="I29" s="258">
        <f>'Allocation ProForma'!H307+'Allocation ProForma'!H309+'Allocation ProForma'!H314+'Allocation ProForma'!H318+'Allocation ProForma'!H321</f>
        <v>1508752.3536289358</v>
      </c>
      <c r="J29" s="258">
        <v>0</v>
      </c>
      <c r="K29" s="292">
        <f t="shared" si="7"/>
        <v>16073908.150163444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ProForma'!H687+'Allocation ProForma'!H688+'Allocation ProForma'!H691+'Allocation ProForma'!H692+'Allocation ProForma'!H693</f>
        <v>2214340.7531113229</v>
      </c>
      <c r="E30" s="280">
        <f>'Allocation ProForma'!H401+'Allocation ProForma'!H456+'Allocation ProForma'!H345+'Allocation ProForma'!H511+'Allocation ProForma'!H566</f>
        <v>1443168.973943729</v>
      </c>
      <c r="F30" s="258">
        <f>'Allocation ProForma'!H342+'Allocation ProForma'!H343+'Allocation ProForma'!H344+'Allocation ProForma'!H398+'Allocation ProForma'!H399+'Allocation ProForma'!H400+'Allocation ProForma'!H453+'Allocation ProForma'!H454+'Allocation ProForma'!H455+'Allocation ProForma'!H508+'Allocation ProForma'!H509+'Allocation ProForma'!H510+'Allocation ProForma'!H563+'Allocation ProForma'!H564+'Allocation ProForma'!H565</f>
        <v>0</v>
      </c>
      <c r="G30" s="258">
        <f>'Allocation ProForma'!H351+'Allocation ProForma'!H407+'Allocation ProForma'!H462+'Allocation ProForma'!H517+'Allocation ProForma'!H572</f>
        <v>186722.98854345124</v>
      </c>
      <c r="H30" s="258">
        <f>'Allocation ProForma'!H357+'Allocation ProForma'!H361+'Allocation ProForma'!H363+'Allocation ProForma'!H368+'Allocation ProForma'!H413+'Allocation ProForma'!H417+'Allocation ProForma'!H419+'Allocation ProForma'!H424+'Allocation ProForma'!H468+'Allocation ProForma'!H472+'Allocation ProForma'!H474+'Allocation ProForma'!H479+'Allocation ProForma'!H523+'Allocation ProForma'!H527+'Allocation ProForma'!H529+'Allocation ProForma'!H534+'Allocation ProForma'!H578+'Allocation ProForma'!H582+'Allocation ProForma'!H584+'Allocation ProForma'!H589</f>
        <v>286368.80611086066</v>
      </c>
      <c r="I30" s="258">
        <f>'Allocation ProForma'!H362+'Allocation ProForma'!H364+'Allocation ProForma'!H369+'Allocation ProForma'!H373+'Allocation ProForma'!H377+'Allocation ProForma'!H418+'Allocation ProForma'!H420+'Allocation ProForma'!H425+'Allocation ProForma'!H429+'Allocation ProForma'!H432+'Allocation ProForma'!H473+'Allocation ProForma'!H475+'Allocation ProForma'!H480+'Allocation ProForma'!H484+'Allocation ProForma'!H487+'Allocation ProForma'!H528+'Allocation ProForma'!H530+'Allocation ProForma'!H535+'Allocation ProForma'!H539+'Allocation ProForma'!H542+'Allocation ProForma'!H583+'Allocation ProForma'!H585+'Allocation ProForma'!H590+'Allocation ProForma'!H594+'Allocation ProForma'!H597</f>
        <v>298079.98451328248</v>
      </c>
      <c r="J30" s="258">
        <v>0</v>
      </c>
      <c r="K30" s="292">
        <f t="shared" si="7"/>
        <v>2214340.7531113233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ProForma'!H689+'Allocation ProForma'!H690</f>
        <v>780835.43994097377</v>
      </c>
      <c r="E31" s="280">
        <f t="shared" ref="E31:J31" si="8">$D$31*(E14/$K$14)</f>
        <v>506274.7770751178</v>
      </c>
      <c r="F31" s="258">
        <f t="shared" si="8"/>
        <v>21355.023435670078</v>
      </c>
      <c r="G31" s="258">
        <f t="shared" si="8"/>
        <v>51933.566793827573</v>
      </c>
      <c r="H31" s="258">
        <f t="shared" si="8"/>
        <v>97028.818791400772</v>
      </c>
      <c r="I31" s="258">
        <f t="shared" si="8"/>
        <v>102471.28703703682</v>
      </c>
      <c r="J31" s="258">
        <f t="shared" si="8"/>
        <v>1771.9668079207522</v>
      </c>
      <c r="K31" s="292">
        <f t="shared" si="7"/>
        <v>780835.43994097377</v>
      </c>
      <c r="L31" s="151" t="str">
        <f>IF(ABS(K31-D31)&lt;0.01,"ok","err")</f>
        <v>ok</v>
      </c>
    </row>
    <row r="32" spans="1:12">
      <c r="A32" s="152" t="s">
        <v>1330</v>
      </c>
      <c r="B32" s="149" t="s">
        <v>1329</v>
      </c>
      <c r="C32" s="150"/>
      <c r="D32" s="249">
        <f>'Allocation ProForma'!H696</f>
        <v>170621.5308301771</v>
      </c>
      <c r="E32" s="280">
        <f>D32</f>
        <v>170621.5308301771</v>
      </c>
      <c r="F32" s="258"/>
      <c r="G32" s="258"/>
      <c r="H32" s="258"/>
      <c r="I32" s="258"/>
      <c r="J32" s="258"/>
      <c r="K32" s="292">
        <f t="shared" si="7"/>
        <v>170621.5308301771</v>
      </c>
      <c r="L32" s="151" t="str">
        <f>IF(ABS(K32-D32)&lt;0.01,"ok","err")</f>
        <v>ok</v>
      </c>
    </row>
    <row r="33" spans="1:12">
      <c r="A33" s="152" t="s">
        <v>1332</v>
      </c>
      <c r="B33" s="149" t="s">
        <v>1331</v>
      </c>
      <c r="C33" s="150"/>
      <c r="D33" s="245">
        <f>'Allocation ProForma'!H772</f>
        <v>-120754.51256620948</v>
      </c>
      <c r="E33" s="280">
        <f>D33</f>
        <v>-120754.51256620948</v>
      </c>
      <c r="F33" s="258">
        <v>0</v>
      </c>
      <c r="G33" s="258">
        <v>0</v>
      </c>
      <c r="H33" s="258">
        <v>0</v>
      </c>
      <c r="I33" s="258">
        <v>0</v>
      </c>
      <c r="J33" s="258">
        <v>0</v>
      </c>
      <c r="K33" s="292">
        <f t="shared" si="7"/>
        <v>-120754.51256620948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49" t="s">
        <v>1333</v>
      </c>
      <c r="C34" s="150"/>
      <c r="D34" s="245">
        <f>'Allocation ProForma'!H771+'Allocation ProForma'!H774+'Allocation ProForma'!H775</f>
        <v>-5131422.0373877669</v>
      </c>
      <c r="E34" s="280">
        <v>0</v>
      </c>
      <c r="F34" s="258">
        <f>D34</f>
        <v>-5131422.0373877669</v>
      </c>
      <c r="G34" s="258">
        <v>0</v>
      </c>
      <c r="H34" s="258">
        <v>0</v>
      </c>
      <c r="I34" s="258">
        <v>0</v>
      </c>
      <c r="J34" s="258">
        <v>0</v>
      </c>
      <c r="K34" s="292">
        <f t="shared" ref="K34:K39" si="10">SUM(E34:J34)</f>
        <v>-5131422.0373877669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245">
        <f>'Allocation ProForma'!H782+'Allocation ProForma'!H787</f>
        <v>-347775.96966643131</v>
      </c>
      <c r="E35" s="280">
        <v>0</v>
      </c>
      <c r="F35" s="258">
        <v>0</v>
      </c>
      <c r="G35" s="258">
        <f>D35</f>
        <v>-347775.96966643131</v>
      </c>
      <c r="H35" s="258">
        <v>0</v>
      </c>
      <c r="I35" s="258">
        <v>0</v>
      </c>
      <c r="J35" s="258">
        <v>0</v>
      </c>
      <c r="K35" s="292">
        <f t="shared" si="10"/>
        <v>-347775.96966643131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245">
        <f>'Allocation ProForma'!H776+'Allocation ProForma'!H784</f>
        <v>-1968612.2155893964</v>
      </c>
      <c r="E36" s="280">
        <v>0</v>
      </c>
      <c r="F36" s="258">
        <v>0</v>
      </c>
      <c r="G36" s="258">
        <v>0</v>
      </c>
      <c r="H36" s="258">
        <f>(H14/($I$14+$H$14)*$D$36)</f>
        <v>-957453.71734902554</v>
      </c>
      <c r="I36" s="258">
        <f>(I14/($I$14+$H$14)*$D$36)</f>
        <v>-1011158.4982403709</v>
      </c>
      <c r="J36" s="258">
        <v>0</v>
      </c>
      <c r="K36" s="292">
        <f t="shared" si="10"/>
        <v>-1968612.2155893964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245">
        <f>'Allocation ProForma'!H777+'Allocation ProForma'!H778+'Allocation ProForma'!H779+'Allocation ProForma'!H780+'Allocation ProForma'!H781+'Allocation ProForma'!H785+'Allocation ProForma'!H786+'Allocation ProForma'!H792+'Allocation ProForma'!H793+'Allocation ProForma'!H796+'Allocation ProForma'!H797+'Allocation ProForma'!H798+'Allocation ProForma'!H799+'Allocation ProForma'!H800+'Allocation ProForma'!H801+'Allocation ProForma'!H802+'Allocation ProForma'!H804+'Allocation ProForma'!H805</f>
        <v>-1142998.4285151486</v>
      </c>
      <c r="E37" s="280">
        <f t="shared" ref="E37:J37" si="11">(E14/($D$14)*$D$37)</f>
        <v>-741092.48247935658</v>
      </c>
      <c r="F37" s="258">
        <f t="shared" si="11"/>
        <v>-31259.79813329197</v>
      </c>
      <c r="G37" s="258">
        <f t="shared" si="11"/>
        <v>-76021.120707608585</v>
      </c>
      <c r="H37" s="258">
        <f t="shared" si="11"/>
        <v>-142032.21540205172</v>
      </c>
      <c r="I37" s="258">
        <f t="shared" si="11"/>
        <v>-149998.98065604147</v>
      </c>
      <c r="J37" s="258">
        <f t="shared" si="11"/>
        <v>-2593.8311367982064</v>
      </c>
      <c r="K37" s="292">
        <f t="shared" si="10"/>
        <v>-1142998.4285151486</v>
      </c>
      <c r="L37" s="151" t="str">
        <f t="shared" si="9"/>
        <v>ok</v>
      </c>
    </row>
    <row r="38" spans="1:12">
      <c r="A38" s="152"/>
      <c r="B38" s="149"/>
      <c r="D38" s="249"/>
      <c r="E38" s="280"/>
      <c r="F38" s="258"/>
      <c r="G38" s="258"/>
      <c r="H38" s="258"/>
      <c r="I38" s="258"/>
      <c r="J38" s="258"/>
      <c r="K38" s="292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ProForma'!H806</f>
        <v>-8711563.1637249533</v>
      </c>
      <c r="E39" s="280">
        <f>SUM(E33:E37)</f>
        <v>-861846.995045566</v>
      </c>
      <c r="F39" s="258">
        <f>SUM(F34:F37)</f>
        <v>-5162681.8355210591</v>
      </c>
      <c r="G39" s="258">
        <f>SUM(G33:G37)</f>
        <v>-423797.09037403989</v>
      </c>
      <c r="H39" s="258">
        <f>SUM(H33:H37)</f>
        <v>-1099485.9327510772</v>
      </c>
      <c r="I39" s="258">
        <f>SUM(I33:I37)</f>
        <v>-1161157.4788964123</v>
      </c>
      <c r="J39" s="258">
        <f>SUM(J33:J37)</f>
        <v>-2593.8311367982064</v>
      </c>
      <c r="K39" s="292">
        <f t="shared" si="10"/>
        <v>-8711563.1637249533</v>
      </c>
      <c r="L39" s="151" t="str">
        <f t="shared" si="9"/>
        <v>ok</v>
      </c>
    </row>
    <row r="40" spans="1:12">
      <c r="A40" s="156"/>
      <c r="B40" s="149"/>
      <c r="C40" s="154"/>
      <c r="D40" s="182"/>
      <c r="E40" s="281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ProForma'!H975</f>
        <v>150044929.21388054</v>
      </c>
      <c r="D41" s="249">
        <f>SUM(D28:D32)+D22+D26+D39+D24</f>
        <v>150044929.21388054</v>
      </c>
      <c r="E41" s="280">
        <f t="shared" ref="E41:J41" si="12">SUM(E28:E32)+E22+E26+E39+E24</f>
        <v>59658184.858327001</v>
      </c>
      <c r="F41" s="258">
        <f t="shared" si="12"/>
        <v>56648906.127879888</v>
      </c>
      <c r="G41" s="258">
        <f t="shared" si="12"/>
        <v>6699172.0181408292</v>
      </c>
      <c r="H41" s="258">
        <f t="shared" si="12"/>
        <v>9755665.532778766</v>
      </c>
      <c r="I41" s="258">
        <f>SUM(I28:I32)+I22+I26+I39+I24</f>
        <v>11721635.774348814</v>
      </c>
      <c r="J41" s="258">
        <f t="shared" si="12"/>
        <v>5561364.9024052368</v>
      </c>
      <c r="K41" s="292">
        <f>SUM(E41:J41)</f>
        <v>150044929.21388054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281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ProForma'!H673+'Allocation ProForma'!H674+'Allocation ProForma'!H675)</f>
        <v>335668.24821280694</v>
      </c>
      <c r="E43" s="280">
        <v>0</v>
      </c>
      <c r="F43" s="258">
        <f>D43</f>
        <v>335668.24821280694</v>
      </c>
      <c r="G43" s="258">
        <v>0</v>
      </c>
      <c r="H43" s="258">
        <v>0</v>
      </c>
      <c r="I43" s="258">
        <v>0</v>
      </c>
      <c r="J43" s="258">
        <v>0</v>
      </c>
      <c r="K43" s="292">
        <f>SUM(E43:J43)</f>
        <v>335668.24821280694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ProForma'!H671+'Allocation ProForma'!H672+'Allocation ProForma'!H676+'Allocation ProForma'!H677+'Allocation ProForma'!H678+'Allocation ProForma'!H679)</f>
        <v>-18078296.886237632</v>
      </c>
      <c r="E44" s="280">
        <f>-('Allocation ProForma'!H671+'Allocation ProForma'!H672)-(E14/($D$14)*('Allocation ProForma'!H676+'Allocation ProForma'!H677+'Allocation ProForma'!H678+'Allocation ProForma'!H679))</f>
        <v>-17217275.13250915</v>
      </c>
      <c r="F44" s="258">
        <f>(F14/($D$14)*-('Allocation ProForma'!H676+'Allocation ProForma'!H677+'Allocation ProForma'!H678+'Allocation ProForma'!H679))</f>
        <v>-66969.315770034373</v>
      </c>
      <c r="G44" s="258">
        <f>(G14/($D$14)*-('Allocation ProForma'!H676+'Allocation ProForma'!H677+'Allocation ProForma'!H678+'Allocation ProForma'!H679))</f>
        <v>-162863.57372339166</v>
      </c>
      <c r="H44" s="258">
        <f>(H14/($D$14)*-('Allocation ProForma'!H676+'Allocation ProForma'!H677+'Allocation ProForma'!H678+'Allocation ProForma'!H679))</f>
        <v>-304282.20432579779</v>
      </c>
      <c r="I44" s="258">
        <f>(I14/($D$14)*-('Allocation ProForma'!H676+'Allocation ProForma'!H677+'Allocation ProForma'!H678+'Allocation ProForma'!H679))</f>
        <v>-321349.7751298449</v>
      </c>
      <c r="J44" s="258">
        <f>(J14/($D$14)*-('Allocation ProForma'!H676+'Allocation ProForma'!H677+'Allocation ProForma'!H678+'Allocation ProForma'!H679))</f>
        <v>-5556.8847794121439</v>
      </c>
      <c r="K44" s="292">
        <f>SUM(E44:J44)</f>
        <v>-18078296.886237629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9">
        <f t="shared" ref="D45:J45" si="13">SUM(D43:D44)</f>
        <v>-17742628.638024826</v>
      </c>
      <c r="E45" s="280">
        <f t="shared" si="13"/>
        <v>-17217275.13250915</v>
      </c>
      <c r="F45" s="258">
        <f t="shared" si="13"/>
        <v>268698.93244277255</v>
      </c>
      <c r="G45" s="258">
        <f t="shared" si="13"/>
        <v>-162863.57372339166</v>
      </c>
      <c r="H45" s="258">
        <f t="shared" si="13"/>
        <v>-304282.20432579779</v>
      </c>
      <c r="I45" s="258">
        <f t="shared" si="13"/>
        <v>-321349.7751298449</v>
      </c>
      <c r="J45" s="258">
        <f t="shared" si="13"/>
        <v>-5556.8847794121439</v>
      </c>
      <c r="K45" s="292">
        <f>SUM(E45:J45)</f>
        <v>-17742628.638024822</v>
      </c>
      <c r="L45" s="151" t="str">
        <f>IF(ABS(K45-D45)&lt;0.01,"ok","err")</f>
        <v>ok</v>
      </c>
    </row>
    <row r="46" spans="1:12">
      <c r="A46" s="156"/>
      <c r="B46" s="149"/>
      <c r="D46" s="246"/>
      <c r="E46" s="281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ProForma'!H975-SUM('Allocation ProForma'!H671:H679)</f>
        <v>132302300.57585572</v>
      </c>
      <c r="D47" s="249">
        <f t="shared" ref="D47:J47" si="14">D41+D45</f>
        <v>132302300.57585572</v>
      </c>
      <c r="E47" s="280">
        <f t="shared" si="14"/>
        <v>42440909.725817852</v>
      </c>
      <c r="F47" s="258">
        <f t="shared" si="14"/>
        <v>56917605.060322657</v>
      </c>
      <c r="G47" s="258">
        <f t="shared" si="14"/>
        <v>6536308.4444174375</v>
      </c>
      <c r="H47" s="258">
        <f t="shared" si="14"/>
        <v>9451383.328452969</v>
      </c>
      <c r="I47" s="258">
        <f>I41+I45</f>
        <v>11400285.999218969</v>
      </c>
      <c r="J47" s="258">
        <f t="shared" si="14"/>
        <v>5555808.0176258245</v>
      </c>
      <c r="K47" s="292">
        <f>SUM(E47:J47)</f>
        <v>132302300.5758557</v>
      </c>
      <c r="L47" s="151" t="str">
        <f>IF(ABS(K47-D47)&lt;0.01,"ok","err")</f>
        <v>ok</v>
      </c>
    </row>
    <row r="48" spans="1:12">
      <c r="A48" s="156"/>
      <c r="B48" s="149"/>
      <c r="C48" s="154"/>
      <c r="D48" s="182"/>
      <c r="E48" s="281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83">
        <f>'Allocation ProForma'!$H$1060</f>
        <v>1407815493</v>
      </c>
      <c r="F49" s="254">
        <f>'Allocation ProForma'!$H$1060</f>
        <v>1407815493</v>
      </c>
      <c r="G49" s="254">
        <f>'Allocation ProForma'!$H$1060</f>
        <v>1407815493</v>
      </c>
      <c r="H49" s="254">
        <f>'Allocation ProForma'!$H$1060</f>
        <v>1407815493</v>
      </c>
      <c r="I49" s="254">
        <f>'Allocation ProForma'!$H$1075*12</f>
        <v>531912</v>
      </c>
      <c r="J49" s="254">
        <f>'Allocation ProForma'!$H$1075*12</f>
        <v>531912</v>
      </c>
      <c r="K49" s="228"/>
      <c r="L49" s="155"/>
    </row>
    <row r="50" spans="1:12" ht="14.4" thickBot="1">
      <c r="A50" s="156"/>
      <c r="B50" s="149"/>
      <c r="C50" s="154"/>
      <c r="D50" s="246"/>
      <c r="E50" s="281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84">
        <f t="shared" ref="E51:J51" si="15">E47/E49</f>
        <v>3.0146642039986311E-2</v>
      </c>
      <c r="F51" s="261">
        <f t="shared" si="15"/>
        <v>4.0429733401380216E-2</v>
      </c>
      <c r="G51" s="261">
        <f t="shared" si="15"/>
        <v>4.6428729310890159E-3</v>
      </c>
      <c r="H51" s="261">
        <f t="shared" si="15"/>
        <v>6.713509955990354E-3</v>
      </c>
      <c r="I51" s="262">
        <f>I47/I49</f>
        <v>21.4326542721709</v>
      </c>
      <c r="J51" s="262">
        <f t="shared" si="15"/>
        <v>10.444975893805413</v>
      </c>
      <c r="K51" s="224">
        <f>I51+J51</f>
        <v>31.877630165976313</v>
      </c>
      <c r="L51" s="164"/>
    </row>
    <row r="53" spans="1:12">
      <c r="J53" s="165" t="s">
        <v>1357</v>
      </c>
      <c r="K53" s="225">
        <f>I51+J51</f>
        <v>31.877630165976313</v>
      </c>
    </row>
    <row r="54" spans="1:12">
      <c r="J54" s="165" t="s">
        <v>1358</v>
      </c>
      <c r="K54">
        <f>E51+F51+G51+H51</f>
        <v>8.193275832844589E-2</v>
      </c>
    </row>
    <row r="56" spans="1:12">
      <c r="J56" s="165" t="s">
        <v>170</v>
      </c>
      <c r="K56" s="15">
        <f>(I47+J47)/J49</f>
        <v>31.877630165976317</v>
      </c>
    </row>
    <row r="57" spans="1:12" ht="14.4" thickBot="1">
      <c r="J57" s="165" t="s">
        <v>1387</v>
      </c>
      <c r="K57" s="234">
        <f>((J47+I47)*E18)/J49</f>
        <v>3.8218046509002837</v>
      </c>
    </row>
    <row r="58" spans="1:12" ht="14.4" thickBot="1">
      <c r="K58" s="181">
        <f>SUM(K56:K57)</f>
        <v>35.699434816876604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30.6640625" hidden="1" customWidth="1"/>
    <col min="4" max="4" width="22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1361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276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276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77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144"/>
      <c r="C13" s="145"/>
      <c r="D13" s="223"/>
      <c r="E13" s="285"/>
      <c r="F13" s="275"/>
      <c r="G13" s="275"/>
      <c r="H13" s="275"/>
      <c r="I13" s="275"/>
      <c r="J13" s="275"/>
      <c r="K13" s="227"/>
      <c r="L13" s="139"/>
    </row>
    <row r="14" spans="1:14">
      <c r="A14" s="148" t="s">
        <v>1311</v>
      </c>
      <c r="B14" s="149" t="s">
        <v>1069</v>
      </c>
      <c r="C14" s="150"/>
      <c r="D14" s="243">
        <f>'Allocation ProForma'!I170</f>
        <v>25673930.589226916</v>
      </c>
      <c r="E14" s="278">
        <f>'Allocation ProForma'!I119+'Allocation ProForma'!I120+'Allocation ProForma'!I121</f>
        <v>20058263.164920047</v>
      </c>
      <c r="F14" s="244">
        <f>'Allocation ProForma'!I122</f>
        <v>1113807.534617377</v>
      </c>
      <c r="G14" s="244">
        <f>'Allocation ProForma'!I131</f>
        <v>2057572.6799223623</v>
      </c>
      <c r="H14" s="244">
        <f>'Allocation ProForma'!I141+'Allocation ProForma'!I143+'Allocation ProForma'!I148+'Allocation ProForma'!I137</f>
        <v>2195732.5617772434</v>
      </c>
      <c r="I14" s="244">
        <f>'Allocation ProForma'!I142+'Allocation ProForma'!I144+'Allocation ProForma'!I149+'Allocation ProForma'!I153+'Allocation ProForma'!I156+'Allocation ProForma'!I159</f>
        <v>246321.52392820592</v>
      </c>
      <c r="J14" s="244">
        <f>'Allocation ProForma'!I162+'Allocation ProForma'!I165</f>
        <v>2233.1240616850396</v>
      </c>
      <c r="K14" s="293">
        <f>SUM(E14:J14)</f>
        <v>25673930.589226916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245">
        <f>'Allocation ProForma'!I818+'Allocation ProForma'!I819+'Allocation ProForma'!I820</f>
        <v>-419332.27319267823</v>
      </c>
      <c r="E15" s="245">
        <f t="shared" ref="E15:J15" si="0">(E14/$D$14)*$D$15</f>
        <v>-327611.58483353828</v>
      </c>
      <c r="F15" s="185">
        <f t="shared" si="0"/>
        <v>-18191.816939250406</v>
      </c>
      <c r="G15" s="185">
        <f t="shared" si="0"/>
        <v>-33606.331766474395</v>
      </c>
      <c r="H15" s="185">
        <f t="shared" si="0"/>
        <v>-35862.896927811598</v>
      </c>
      <c r="I15" s="185">
        <f t="shared" si="0"/>
        <v>-4023.1691133589493</v>
      </c>
      <c r="J15" s="185">
        <f t="shared" si="0"/>
        <v>-36.473612244655186</v>
      </c>
      <c r="K15" s="293">
        <f>SUM(E15:J15)</f>
        <v>-419332.27319267829</v>
      </c>
      <c r="L15" s="151" t="str">
        <f>IF(ABS(K15-D15)&lt;0.01,"ok","err")</f>
        <v>ok</v>
      </c>
    </row>
    <row r="16" spans="1:14">
      <c r="A16" s="152" t="s">
        <v>1314</v>
      </c>
      <c r="B16" s="149" t="s">
        <v>1315</v>
      </c>
      <c r="C16" s="150"/>
      <c r="D16" s="249">
        <f>D14+D15</f>
        <v>25254598.316034239</v>
      </c>
      <c r="E16" s="252">
        <f t="shared" ref="E16:K16" si="1">E14+E15</f>
        <v>19730651.580086507</v>
      </c>
      <c r="F16" s="183">
        <f t="shared" si="1"/>
        <v>1095615.7176781266</v>
      </c>
      <c r="G16" s="183">
        <f t="shared" si="1"/>
        <v>2023966.348155888</v>
      </c>
      <c r="H16" s="183">
        <f t="shared" si="1"/>
        <v>2159869.6648494317</v>
      </c>
      <c r="I16" s="183">
        <f t="shared" si="1"/>
        <v>242298.35481484697</v>
      </c>
      <c r="J16" s="183">
        <f t="shared" si="1"/>
        <v>2196.6504494403844</v>
      </c>
      <c r="K16" s="293">
        <f t="shared" si="1"/>
        <v>25254598.316034239</v>
      </c>
      <c r="L16" s="151" t="str">
        <f>IF(ABS(K16-D16)&lt;0.01,"ok","err")</f>
        <v>ok</v>
      </c>
    </row>
    <row r="17" spans="1:12">
      <c r="A17" s="152"/>
      <c r="B17" s="153"/>
      <c r="C17" s="154"/>
      <c r="D17" s="246"/>
      <c r="E17" s="281"/>
      <c r="F17" s="186"/>
      <c r="G17" s="186"/>
      <c r="H17" s="186"/>
      <c r="I17" s="186"/>
      <c r="J17" s="186"/>
      <c r="K17" s="293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ProForma'!I993</f>
        <v>0.14320748821483761</v>
      </c>
      <c r="E18" s="282">
        <f t="shared" ref="E18:J18" si="2">D18</f>
        <v>0.14320748821483761</v>
      </c>
      <c r="F18" s="248">
        <f t="shared" si="2"/>
        <v>0.14320748821483761</v>
      </c>
      <c r="G18" s="248">
        <f t="shared" si="2"/>
        <v>0.14320748821483761</v>
      </c>
      <c r="H18" s="248">
        <f t="shared" si="2"/>
        <v>0.14320748821483761</v>
      </c>
      <c r="I18" s="248">
        <f t="shared" si="2"/>
        <v>0.14320748821483761</v>
      </c>
      <c r="J18" s="248">
        <f t="shared" si="2"/>
        <v>0.14320748821483761</v>
      </c>
      <c r="K18" s="293"/>
      <c r="L18" s="151"/>
    </row>
    <row r="19" spans="1:12">
      <c r="A19" s="156"/>
      <c r="B19" s="149"/>
      <c r="C19" s="154"/>
      <c r="D19" s="246"/>
      <c r="E19" s="281"/>
      <c r="F19" s="186"/>
      <c r="G19" s="186"/>
      <c r="H19" s="186"/>
      <c r="I19" s="186"/>
      <c r="J19" s="186"/>
      <c r="K19" s="293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3616647.5907139312</v>
      </c>
      <c r="E20" s="252">
        <f t="shared" ref="E20:J20" si="3">E18*E16</f>
        <v>2825577.0536263054</v>
      </c>
      <c r="F20" s="183">
        <f t="shared" si="3"/>
        <v>156900.37497738117</v>
      </c>
      <c r="G20" s="183">
        <f t="shared" si="3"/>
        <v>289847.13695076224</v>
      </c>
      <c r="H20" s="183">
        <f t="shared" si="3"/>
        <v>309309.50957451027</v>
      </c>
      <c r="I20" s="183">
        <f t="shared" si="3"/>
        <v>34698.938791621738</v>
      </c>
      <c r="J20" s="183">
        <f t="shared" si="3"/>
        <v>314.57679335035158</v>
      </c>
      <c r="K20" s="293">
        <f>SUM(E20:J20)</f>
        <v>3616647.5907139308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281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ProForma'!I715</f>
        <v>474301.43491385673</v>
      </c>
      <c r="E22" s="252">
        <f t="shared" ref="E22:J22" si="4">(E14/$D$14)*$D$22</f>
        <v>370557.32342726598</v>
      </c>
      <c r="F22" s="183">
        <f t="shared" si="4"/>
        <v>20576.534241646652</v>
      </c>
      <c r="G22" s="183">
        <f t="shared" si="4"/>
        <v>38011.697162421609</v>
      </c>
      <c r="H22" s="183">
        <f t="shared" si="4"/>
        <v>40564.069499160571</v>
      </c>
      <c r="I22" s="183">
        <f t="shared" si="4"/>
        <v>4550.5557414858586</v>
      </c>
      <c r="J22" s="183">
        <f t="shared" si="4"/>
        <v>41.254841876152618</v>
      </c>
      <c r="K22" s="293">
        <f>SUM(E22:J22)</f>
        <v>474301.43491385679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281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3142346.1558000743</v>
      </c>
      <c r="E24" s="252">
        <f t="shared" ref="E24:J24" si="5">E20-E22</f>
        <v>2455019.7301990394</v>
      </c>
      <c r="F24" s="183">
        <f t="shared" si="5"/>
        <v>136323.84073573453</v>
      </c>
      <c r="G24" s="183">
        <f t="shared" si="5"/>
        <v>251835.43978834065</v>
      </c>
      <c r="H24" s="183">
        <f t="shared" si="5"/>
        <v>268745.4400753497</v>
      </c>
      <c r="I24" s="183">
        <f t="shared" si="5"/>
        <v>30148.383050135879</v>
      </c>
      <c r="J24" s="183">
        <f t="shared" si="5"/>
        <v>273.32195147419895</v>
      </c>
      <c r="K24" s="293">
        <f>SUM(E24:J24)</f>
        <v>3142346.1558000739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281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ProForma'!I766+'Allocation ProForma'!I984</f>
        <v>2036446.590160544</v>
      </c>
      <c r="E26" s="252">
        <f t="shared" ref="E26:J26" si="6">$D$26*(E24/$K$24)</f>
        <v>1591013.9464147494</v>
      </c>
      <c r="F26" s="183">
        <f t="shared" si="6"/>
        <v>88346.797857218146</v>
      </c>
      <c r="G26" s="183">
        <f t="shared" si="6"/>
        <v>163205.89687165467</v>
      </c>
      <c r="H26" s="183">
        <f t="shared" si="6"/>
        <v>174164.68712476906</v>
      </c>
      <c r="I26" s="183">
        <f t="shared" si="6"/>
        <v>19538.131325213981</v>
      </c>
      <c r="J26" s="183">
        <f t="shared" si="6"/>
        <v>177.13056693906486</v>
      </c>
      <c r="K26" s="293">
        <f>SUM(E26:J26)</f>
        <v>2036446.5901605443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281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ProForma'!I685</f>
        <v>12711406.609503428</v>
      </c>
      <c r="E28" s="252">
        <f>'Allocation ProForma'!I174+'Allocation ProForma'!I175+'Allocation ProForma'!I176</f>
        <v>2052617.1319031217</v>
      </c>
      <c r="F28" s="183">
        <f>'Allocation ProForma'!I177</f>
        <v>9875258.7869921252</v>
      </c>
      <c r="G28" s="183">
        <f>'Allocation ProForma'!I186</f>
        <v>370874.72375380015</v>
      </c>
      <c r="H28" s="183">
        <f>'Allocation ProForma'!I192+'Allocation ProForma'!I196+'Allocation ProForma'!I198+'Allocation ProForma'!I203</f>
        <v>275129.04880124878</v>
      </c>
      <c r="I28" s="183">
        <f>'Allocation ProForma'!I197+'Allocation ProForma'!I199+'Allocation ProForma'!I204+'Allocation ProForma'!I208+'Allocation ProForma'!I211</f>
        <v>110726.67714453916</v>
      </c>
      <c r="J28" s="183">
        <f>'Allocation ProForma'!I217+'Allocation ProForma'!I220</f>
        <v>26800.240908593103</v>
      </c>
      <c r="K28" s="293">
        <f t="shared" ref="K28:K33" si="7">SUM(E28:J28)</f>
        <v>12711406.609503428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ProForma'!I686</f>
        <v>1738469.1876829516</v>
      </c>
      <c r="E29" s="252">
        <f>'Allocation ProForma'!I290</f>
        <v>1518864.0597290616</v>
      </c>
      <c r="F29" s="183">
        <v>0</v>
      </c>
      <c r="G29" s="183">
        <f>'Allocation ProForma'!I296</f>
        <v>106214.12105143283</v>
      </c>
      <c r="H29" s="183">
        <f>'Allocation ProForma'!I302+'Allocation ProForma'!I306+'Allocation ProForma'!I308+'Allocation ProForma'!I313</f>
        <v>102375.77460441983</v>
      </c>
      <c r="I29" s="183">
        <f>'Allocation ProForma'!I307+'Allocation ProForma'!I309+'Allocation ProForma'!I314+'Allocation ProForma'!I318+'Allocation ProForma'!I321</f>
        <v>11015.232298037423</v>
      </c>
      <c r="J29" s="183">
        <v>0</v>
      </c>
      <c r="K29" s="293">
        <f t="shared" si="7"/>
        <v>1738469.1876829518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ProForma'!I687+'Allocation ProForma'!I688+'Allocation ProForma'!I691+'Allocation ProForma'!I692+'Allocation ProForma'!I693</f>
        <v>224351.5980127455</v>
      </c>
      <c r="E30" s="252">
        <f>'Allocation ProForma'!I401+'Allocation ProForma'!I456+'Allocation ProForma'!I345+'Allocation ProForma'!I511+'Allocation ProForma'!I566</f>
        <v>178813.62941865751</v>
      </c>
      <c r="F30" s="183">
        <f>'Allocation ProForma'!I342+'Allocation ProForma'!I343+'Allocation ProForma'!I344+'Allocation ProForma'!I398+'Allocation ProForma'!I399+'Allocation ProForma'!I400+'Allocation ProForma'!I453+'Allocation ProForma'!I454+'Allocation ProForma'!I455+'Allocation ProForma'!I508+'Allocation ProForma'!I509+'Allocation ProForma'!I510+'Allocation ProForma'!I563+'Allocation ProForma'!I564+'Allocation ProForma'!I565</f>
        <v>0</v>
      </c>
      <c r="G30" s="183">
        <f>'Allocation ProForma'!I351+'Allocation ProForma'!I407+'Allocation ProForma'!I462+'Allocation ProForma'!I517+'Allocation ProForma'!I572</f>
        <v>23135.624365670974</v>
      </c>
      <c r="H30" s="183">
        <f>'Allocation ProForma'!I357+'Allocation ProForma'!I361+'Allocation ProForma'!I363+'Allocation ProForma'!I368+'Allocation ProForma'!I413+'Allocation ProForma'!I417+'Allocation ProForma'!I419+'Allocation ProForma'!I424+'Allocation ProForma'!I468+'Allocation ProForma'!I472+'Allocation ProForma'!I474+'Allocation ProForma'!I479+'Allocation ProForma'!I523+'Allocation ProForma'!I527+'Allocation ProForma'!I529+'Allocation ProForma'!I534+'Allocation ProForma'!I578+'Allocation ProForma'!I582+'Allocation ProForma'!I584+'Allocation ProForma'!I589</f>
        <v>20226.095578390683</v>
      </c>
      <c r="I30" s="183">
        <f>'Allocation ProForma'!I362+'Allocation ProForma'!I364+'Allocation ProForma'!I369+'Allocation ProForma'!I373+'Allocation ProForma'!I377+'Allocation ProForma'!I418+'Allocation ProForma'!I420+'Allocation ProForma'!I425+'Allocation ProForma'!I429+'Allocation ProForma'!I432+'Allocation ProForma'!I473+'Allocation ProForma'!I475+'Allocation ProForma'!I480+'Allocation ProForma'!I484+'Allocation ProForma'!I487+'Allocation ProForma'!I528+'Allocation ProForma'!I530+'Allocation ProForma'!I535+'Allocation ProForma'!I539+'Allocation ProForma'!I542+'Allocation ProForma'!I583+'Allocation ProForma'!I585+'Allocation ProForma'!I590+'Allocation ProForma'!I594+'Allocation ProForma'!I597</f>
        <v>2176.2486500264522</v>
      </c>
      <c r="J30" s="183">
        <v>0</v>
      </c>
      <c r="K30" s="293">
        <f t="shared" si="7"/>
        <v>224351.59801274561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ProForma'!I689+'Allocation ProForma'!I690</f>
        <v>84451.045775973398</v>
      </c>
      <c r="E31" s="252">
        <f t="shared" ref="E31:J31" si="8">$D$31*(E14/$K$14)</f>
        <v>65979.040289139899</v>
      </c>
      <c r="F31" s="183">
        <f t="shared" si="8"/>
        <v>3663.7246005123106</v>
      </c>
      <c r="G31" s="183">
        <f t="shared" si="8"/>
        <v>6768.1169416430994</v>
      </c>
      <c r="H31" s="183">
        <f t="shared" si="8"/>
        <v>7222.5758514847239</v>
      </c>
      <c r="I31" s="183">
        <f t="shared" si="8"/>
        <v>810.24252288028129</v>
      </c>
      <c r="J31" s="183">
        <f t="shared" si="8"/>
        <v>7.3455703130990537</v>
      </c>
      <c r="K31" s="293">
        <f t="shared" si="7"/>
        <v>84451.045775973413</v>
      </c>
      <c r="L31" s="151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249">
        <f>'Allocation ProForma'!I696</f>
        <v>18182.699083067888</v>
      </c>
      <c r="E32" s="252">
        <f>D32</f>
        <v>18182.699083067888</v>
      </c>
      <c r="F32" s="183"/>
      <c r="G32" s="183"/>
      <c r="H32" s="183"/>
      <c r="I32" s="183"/>
      <c r="J32" s="183"/>
      <c r="K32" s="293">
        <f t="shared" si="7"/>
        <v>18182.699083067888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245">
        <f>'Allocation ProForma'!I772</f>
        <v>-16024.841139095488</v>
      </c>
      <c r="E33" s="252">
        <f>D33</f>
        <v>-16024.841139095488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-16024.841139095488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245">
        <f>'Allocation ProForma'!I771+'Allocation ProForma'!I774+'Allocation ProForma'!I775</f>
        <v>-842491.58591967542</v>
      </c>
      <c r="E34" s="252">
        <v>0</v>
      </c>
      <c r="F34" s="183">
        <f>D34</f>
        <v>-842491.58591967542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-842491.58591967542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245">
        <f>'Allocation ProForma'!I782+'Allocation ProForma'!I787</f>
        <v>-43090.645990475867</v>
      </c>
      <c r="E35" s="252">
        <v>0</v>
      </c>
      <c r="F35" s="183">
        <v>0</v>
      </c>
      <c r="G35" s="183">
        <f>D35</f>
        <v>-43090.645990475867</v>
      </c>
      <c r="H35" s="183">
        <v>0</v>
      </c>
      <c r="I35" s="183">
        <v>0</v>
      </c>
      <c r="J35" s="183">
        <v>0</v>
      </c>
      <c r="K35" s="293">
        <f t="shared" si="10"/>
        <v>-43090.645990475867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245">
        <f>'Allocation ProForma'!I776+'Allocation ProForma'!I784</f>
        <v>-107227.70622137505</v>
      </c>
      <c r="E36" s="252">
        <v>0</v>
      </c>
      <c r="F36" s="183">
        <v>0</v>
      </c>
      <c r="G36" s="183">
        <v>0</v>
      </c>
      <c r="H36" s="183">
        <f>(H14/($I$14+$H$14)*$D$36)</f>
        <v>-96412.019477014866</v>
      </c>
      <c r="I36" s="183">
        <f>(I14/($I$14+$H$14)*$D$36)</f>
        <v>-10815.686744360188</v>
      </c>
      <c r="J36" s="183">
        <v>0</v>
      </c>
      <c r="K36" s="293">
        <f t="shared" si="10"/>
        <v>-107227.70622137506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245">
        <f>'Allocation ProForma'!I777+'Allocation ProForma'!I778+'Allocation ProForma'!I779+'Allocation ProForma'!I780+'Allocation ProForma'!I781+'Allocation ProForma'!I785+'Allocation ProForma'!I786+'Allocation ProForma'!I792+'Allocation ProForma'!I793+'Allocation ProForma'!I796+'Allocation ProForma'!I797+'Allocation ProForma'!I798+'Allocation ProForma'!I799+'Allocation ProForma'!I800+'Allocation ProForma'!I801+'Allocation ProForma'!I802+'Allocation ProForma'!I804+'Allocation ProForma'!I805</f>
        <v>-168576.40444214101</v>
      </c>
      <c r="E37" s="252">
        <f t="shared" ref="E37:J37" si="11">(E14/($D$14)*$D$37)</f>
        <v>-131703.63111892634</v>
      </c>
      <c r="F37" s="183">
        <f t="shared" si="11"/>
        <v>-7313.3199754442712</v>
      </c>
      <c r="G37" s="183">
        <f t="shared" si="11"/>
        <v>-13510.132507923734</v>
      </c>
      <c r="H37" s="183">
        <f t="shared" si="11"/>
        <v>-14417.297697932458</v>
      </c>
      <c r="I37" s="183">
        <f t="shared" si="11"/>
        <v>-1617.3603296236108</v>
      </c>
      <c r="J37" s="183">
        <f t="shared" si="11"/>
        <v>-14.662812290614262</v>
      </c>
      <c r="K37" s="293">
        <f t="shared" si="10"/>
        <v>-168576.40444214104</v>
      </c>
      <c r="L37" s="151" t="str">
        <f t="shared" si="9"/>
        <v>ok</v>
      </c>
    </row>
    <row r="38" spans="1:12">
      <c r="A38" s="152"/>
      <c r="B38" s="149"/>
      <c r="D38" s="249"/>
      <c r="E38" s="252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ProForma'!I806</f>
        <v>-1177411.1837127625</v>
      </c>
      <c r="E39" s="252">
        <f>SUM(E33:E37)</f>
        <v>-147728.47225802182</v>
      </c>
      <c r="F39" s="183">
        <f>SUM(F34:F37)</f>
        <v>-849804.90589511965</v>
      </c>
      <c r="G39" s="183">
        <f>SUM(G33:G37)</f>
        <v>-56600.778498399603</v>
      </c>
      <c r="H39" s="183">
        <f>SUM(H33:H37)</f>
        <v>-110829.31717494733</v>
      </c>
      <c r="I39" s="183">
        <f>SUM(I33:I37)</f>
        <v>-12433.047073983798</v>
      </c>
      <c r="J39" s="183">
        <f>SUM(J33:J37)</f>
        <v>-14.662812290614262</v>
      </c>
      <c r="K39" s="293">
        <f t="shared" si="10"/>
        <v>-1177411.183712763</v>
      </c>
      <c r="L39" s="151" t="str">
        <f t="shared" si="9"/>
        <v>ok</v>
      </c>
    </row>
    <row r="40" spans="1:12">
      <c r="A40" s="156"/>
      <c r="B40" s="149"/>
      <c r="C40" s="154"/>
      <c r="D40" s="182"/>
      <c r="E40" s="281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ProForma'!I975</f>
        <v>19252544.13721988</v>
      </c>
      <c r="D41" s="249">
        <f>SUM(D28:D32)+D22+D26+D39+D24</f>
        <v>19252544.13721988</v>
      </c>
      <c r="E41" s="252">
        <f t="shared" ref="E41:J41" si="12">SUM(E28:E32)+E22+E26+E39+E24</f>
        <v>8103319.0882060807</v>
      </c>
      <c r="F41" s="183">
        <f t="shared" si="12"/>
        <v>9274364.7785321176</v>
      </c>
      <c r="G41" s="183">
        <f t="shared" si="12"/>
        <v>903444.84143656422</v>
      </c>
      <c r="H41" s="183">
        <f t="shared" si="12"/>
        <v>777598.37435987592</v>
      </c>
      <c r="I41" s="183">
        <f t="shared" si="12"/>
        <v>166532.42365833523</v>
      </c>
      <c r="J41" s="183">
        <f t="shared" si="12"/>
        <v>27284.631026905005</v>
      </c>
      <c r="K41" s="293">
        <f>SUM(E41:J41)</f>
        <v>19252544.13721988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281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ProForma'!I673+'Allocation ProForma'!I674+'Allocation ProForma'!I675)</f>
        <v>54751.593305976552</v>
      </c>
      <c r="E43" s="252">
        <v>0</v>
      </c>
      <c r="F43" s="183">
        <f>D43</f>
        <v>54751.593305976552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54751.593305976552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ProForma'!I671+'Allocation ProForma'!I672+'Allocation ProForma'!I676+'Allocation ProForma'!I677+'Allocation ProForma'!I678+'Allocation ProForma'!I679)</f>
        <v>-2591437.4325632364</v>
      </c>
      <c r="E44" s="252">
        <f t="shared" ref="E44:J44" si="13">(E14/($D$14)*$D$44)</f>
        <v>-2024611.4562446254</v>
      </c>
      <c r="F44" s="183">
        <f t="shared" si="13"/>
        <v>-112423.86621897292</v>
      </c>
      <c r="G44" s="183">
        <f t="shared" si="13"/>
        <v>-207684.24392358778</v>
      </c>
      <c r="H44" s="183">
        <f t="shared" si="13"/>
        <v>-221629.622807937</v>
      </c>
      <c r="I44" s="183">
        <f t="shared" si="13"/>
        <v>-24862.839577100949</v>
      </c>
      <c r="J44" s="183">
        <f t="shared" si="13"/>
        <v>-225.40379101268425</v>
      </c>
      <c r="K44" s="293">
        <f>SUM(E44:J44)</f>
        <v>-2591437.4325632369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-2536685.8392572599</v>
      </c>
      <c r="E45" s="252">
        <f t="shared" si="14"/>
        <v>-2024611.4562446254</v>
      </c>
      <c r="F45" s="183">
        <f t="shared" si="14"/>
        <v>-57672.27291299637</v>
      </c>
      <c r="G45" s="183">
        <f t="shared" si="14"/>
        <v>-207684.24392358778</v>
      </c>
      <c r="H45" s="183">
        <f t="shared" si="14"/>
        <v>-221629.622807937</v>
      </c>
      <c r="I45" s="183">
        <f t="shared" si="14"/>
        <v>-24862.839577100949</v>
      </c>
      <c r="J45" s="183">
        <f t="shared" si="14"/>
        <v>-225.40379101268425</v>
      </c>
      <c r="K45" s="293">
        <f>SUM(E45:J45)</f>
        <v>-2536685.8392572608</v>
      </c>
      <c r="L45" s="151" t="str">
        <f>IF(ABS(K45-D45)&lt;0.01,"ok","err")</f>
        <v>ok</v>
      </c>
    </row>
    <row r="46" spans="1:12">
      <c r="A46" s="156"/>
      <c r="B46" s="149"/>
      <c r="D46" s="246"/>
      <c r="E46" s="281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ProForma'!I975-SUM('Allocation ProForma'!I671:I679)</f>
        <v>16715858.297962621</v>
      </c>
      <c r="D47" s="249">
        <f t="shared" ref="D47:J47" si="15">D41+D45</f>
        <v>16715858.297962621</v>
      </c>
      <c r="E47" s="252">
        <f t="shared" si="15"/>
        <v>6078707.6319614556</v>
      </c>
      <c r="F47" s="183">
        <f t="shared" si="15"/>
        <v>9216692.5056191217</v>
      </c>
      <c r="G47" s="183">
        <f t="shared" si="15"/>
        <v>695760.5975129765</v>
      </c>
      <c r="H47" s="183">
        <f t="shared" si="15"/>
        <v>555968.75155193894</v>
      </c>
      <c r="I47" s="183">
        <f t="shared" si="15"/>
        <v>141669.58408123429</v>
      </c>
      <c r="J47" s="183">
        <f t="shared" si="15"/>
        <v>27059.227235892322</v>
      </c>
      <c r="K47" s="293">
        <f>SUM(E47:J47)</f>
        <v>16715858.297962621</v>
      </c>
      <c r="L47" s="151" t="str">
        <f>IF(ABS(K47-D47)&lt;0.01,"ok","err")</f>
        <v>ok</v>
      </c>
    </row>
    <row r="48" spans="1:12">
      <c r="A48" s="156"/>
      <c r="B48" s="149"/>
      <c r="C48" s="154"/>
      <c r="D48" s="182"/>
      <c r="E48" s="281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83">
        <v>652713</v>
      </c>
      <c r="F49" s="254">
        <f>'Allocation ProForma'!$I$1060</f>
        <v>234484420</v>
      </c>
      <c r="G49" s="254">
        <f>$E$49</f>
        <v>652713</v>
      </c>
      <c r="H49" s="254">
        <f>$E$49</f>
        <v>652713</v>
      </c>
      <c r="I49" s="254">
        <f>'Allocation ProForma'!$I$1075*12</f>
        <v>1020</v>
      </c>
      <c r="J49" s="254">
        <f>'Allocation ProForma'!$I$1075*12</f>
        <v>1020</v>
      </c>
      <c r="K49" s="228"/>
      <c r="L49" s="155"/>
    </row>
    <row r="50" spans="1:12" ht="14.4" thickBot="1">
      <c r="A50" s="156"/>
      <c r="B50" s="149"/>
      <c r="C50" s="154"/>
      <c r="D50" s="246"/>
      <c r="E50" s="281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84">
        <f t="shared" ref="E51:J51" si="16">E47/E49</f>
        <v>9.312986920685594</v>
      </c>
      <c r="F51" s="261">
        <f t="shared" si="16"/>
        <v>3.9306204248534385E-2</v>
      </c>
      <c r="G51" s="261">
        <f t="shared" si="16"/>
        <v>1.0659518004283299</v>
      </c>
      <c r="H51" s="261">
        <f t="shared" si="16"/>
        <v>0.85178133659347821</v>
      </c>
      <c r="I51" s="262">
        <f>I47/I49</f>
        <v>138.8917490992493</v>
      </c>
      <c r="J51" s="262">
        <f t="shared" si="16"/>
        <v>26.52865415283561</v>
      </c>
      <c r="K51" s="224">
        <f>I51+J51</f>
        <v>165.4204032520849</v>
      </c>
      <c r="L51" s="164"/>
    </row>
    <row r="53" spans="1:12">
      <c r="J53" s="165" t="s">
        <v>1357</v>
      </c>
      <c r="K53" s="225">
        <f>I51+J51</f>
        <v>165.4204032520849</v>
      </c>
    </row>
    <row r="54" spans="1:12">
      <c r="J54" s="165" t="s">
        <v>1358</v>
      </c>
      <c r="K54" s="242">
        <f>F51</f>
        <v>3.9306204248534385E-2</v>
      </c>
    </row>
    <row r="55" spans="1:12">
      <c r="J55" s="165" t="s">
        <v>1498</v>
      </c>
      <c r="K55" s="3">
        <f>E51+G51+H51</f>
        <v>11.230720057707401</v>
      </c>
    </row>
    <row r="57" spans="1:12">
      <c r="J57" s="165" t="s">
        <v>170</v>
      </c>
      <c r="K57" s="15">
        <f>(I47+J47)/J49</f>
        <v>165.42040325208492</v>
      </c>
    </row>
    <row r="58" spans="1:12" ht="14.4" thickBot="1">
      <c r="J58" s="165" t="s">
        <v>1387</v>
      </c>
      <c r="K58" s="234">
        <f>((J47+I47)*E18)/J49</f>
        <v>23.689440449216637</v>
      </c>
    </row>
    <row r="59" spans="1:12" ht="14.4" thickBot="1">
      <c r="K59" s="181">
        <f>SUM(K57:K58)</f>
        <v>189.10984370130157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N1"/>
    </sheetView>
  </sheetViews>
  <sheetFormatPr defaultRowHeight="13.8"/>
  <cols>
    <col min="1" max="1" width="4.5546875" customWidth="1"/>
    <col min="2" max="2" width="41.109375" bestFit="1" customWidth="1"/>
    <col min="3" max="3" width="30.6640625" hidden="1" customWidth="1"/>
    <col min="4" max="4" width="28.33203125" style="198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15.6">
      <c r="A2" s="187"/>
      <c r="B2" s="187"/>
      <c r="C2" s="187"/>
      <c r="D2" s="232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ht="15.6">
      <c r="A4" s="433" t="s">
        <v>1497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</row>
    <row r="5" spans="1:14" ht="15.6">
      <c r="A5" s="188"/>
      <c r="B5" s="189"/>
      <c r="C5" s="189"/>
      <c r="D5" s="226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5.6">
      <c r="A6" s="433" t="s">
        <v>1360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</row>
    <row r="8" spans="1:14" ht="14.4" thickBot="1"/>
    <row r="9" spans="1:14" ht="14.4" thickBot="1">
      <c r="A9" s="131"/>
      <c r="B9" s="132"/>
      <c r="C9" s="133"/>
      <c r="D9" s="221"/>
      <c r="E9" s="427" t="s">
        <v>782</v>
      </c>
      <c r="F9" s="432"/>
      <c r="G9" s="134" t="s">
        <v>1236</v>
      </c>
      <c r="H9" s="427" t="s">
        <v>1042</v>
      </c>
      <c r="I9" s="432"/>
      <c r="J9" s="219" t="s">
        <v>1304</v>
      </c>
      <c r="K9" s="133"/>
      <c r="L9" s="227"/>
    </row>
    <row r="10" spans="1:14">
      <c r="A10" s="136"/>
      <c r="B10" s="137"/>
      <c r="C10" s="138"/>
      <c r="D10" s="276"/>
      <c r="E10" s="133"/>
      <c r="F10" s="133"/>
      <c r="G10" s="133"/>
      <c r="H10" s="133"/>
      <c r="I10" s="133"/>
      <c r="J10" s="131"/>
      <c r="K10" s="138"/>
      <c r="L10" s="228"/>
    </row>
    <row r="11" spans="1:14">
      <c r="A11" s="136"/>
      <c r="B11" s="137"/>
      <c r="C11" s="138"/>
      <c r="D11" s="276"/>
      <c r="E11" s="138"/>
      <c r="F11" s="138"/>
      <c r="G11" s="138"/>
      <c r="H11" s="138"/>
      <c r="I11" s="138"/>
      <c r="J11" s="136"/>
      <c r="K11" s="138"/>
      <c r="L11" s="228"/>
    </row>
    <row r="12" spans="1:14" ht="14.4" thickBot="1">
      <c r="A12" s="140"/>
      <c r="B12" s="229" t="s">
        <v>1029</v>
      </c>
      <c r="C12" s="230" t="s">
        <v>1305</v>
      </c>
      <c r="D12" s="277" t="s">
        <v>1306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294" t="s">
        <v>1309</v>
      </c>
      <c r="K12" s="142" t="s">
        <v>1026</v>
      </c>
      <c r="L12" s="142" t="s">
        <v>1310</v>
      </c>
    </row>
    <row r="13" spans="1:14">
      <c r="A13" s="143"/>
      <c r="B13" s="149"/>
      <c r="C13" s="145"/>
      <c r="D13" s="223"/>
      <c r="E13" s="285"/>
      <c r="F13" s="275"/>
      <c r="G13" s="275"/>
      <c r="H13" s="275"/>
      <c r="I13" s="275"/>
      <c r="J13" s="275"/>
      <c r="K13" s="227"/>
      <c r="L13" s="139"/>
    </row>
    <row r="14" spans="1:14">
      <c r="A14" s="148" t="s">
        <v>1311</v>
      </c>
      <c r="B14" s="149" t="s">
        <v>1069</v>
      </c>
      <c r="C14" s="150"/>
      <c r="D14" s="243">
        <f>'Allocation ProForma'!J170</f>
        <v>295829169.94481355</v>
      </c>
      <c r="E14" s="278">
        <f>'Allocation ProForma'!J119+'Allocation ProForma'!J120+'Allocation ProForma'!J121</f>
        <v>222680346.61450636</v>
      </c>
      <c r="F14" s="244">
        <f>'Allocation ProForma'!J122</f>
        <v>11225828.909734106</v>
      </c>
      <c r="G14" s="244">
        <f>'Allocation ProForma'!J131</f>
        <v>22842506.042645026</v>
      </c>
      <c r="H14" s="244">
        <f>'Allocation ProForma'!J141+'Allocation ProForma'!J143+'Allocation ProForma'!J148+'Allocation ProForma'!J137</f>
        <v>35614403.057112515</v>
      </c>
      <c r="I14" s="244">
        <f>'Allocation ProForma'!J142+'Allocation ProForma'!J144+'Allocation ProForma'!J149+'Allocation ProForma'!J153+'Allocation ProForma'!J156+'Allocation ProForma'!J159</f>
        <v>3389922.6542881243</v>
      </c>
      <c r="J14" s="244">
        <f>'Allocation ProForma'!J162+'Allocation ProForma'!J165</f>
        <v>76162.666527352107</v>
      </c>
      <c r="K14" s="293">
        <f>SUM(E14:J14)</f>
        <v>295829169.94481349</v>
      </c>
      <c r="L14" s="151" t="str">
        <f>IF(ABS(K14-D14)&lt;0.01,"ok","err")</f>
        <v>ok</v>
      </c>
    </row>
    <row r="15" spans="1:14">
      <c r="A15" s="152" t="s">
        <v>1312</v>
      </c>
      <c r="B15" s="149" t="s">
        <v>1313</v>
      </c>
      <c r="C15" s="150"/>
      <c r="D15" s="245">
        <f>'Allocation ProForma'!J818+'Allocation ProForma'!J819+'Allocation ProForma'!J820</f>
        <v>-4684681.8378833756</v>
      </c>
      <c r="E15" s="245">
        <f t="shared" ref="E15:J15" si="0">(E14/$D$14)*$D$15</f>
        <v>-3526314.1076762564</v>
      </c>
      <c r="F15" s="185">
        <f t="shared" si="0"/>
        <v>-177769.61216646747</v>
      </c>
      <c r="G15" s="185">
        <f t="shared" si="0"/>
        <v>-361728.60576826456</v>
      </c>
      <c r="H15" s="185">
        <f t="shared" si="0"/>
        <v>-563981.39236856636</v>
      </c>
      <c r="I15" s="185">
        <f t="shared" si="0"/>
        <v>-53682.025654655699</v>
      </c>
      <c r="J15" s="185">
        <f t="shared" si="0"/>
        <v>-1206.0942491641867</v>
      </c>
      <c r="K15" s="293">
        <f>SUM(E15:J15)</f>
        <v>-4684681.8378833747</v>
      </c>
      <c r="L15" s="151" t="str">
        <f>IF(ABS(K15-D15)&lt;0.01,"ok","err")</f>
        <v>ok</v>
      </c>
    </row>
    <row r="16" spans="1:14">
      <c r="A16" s="152" t="s">
        <v>1314</v>
      </c>
      <c r="B16" s="149" t="s">
        <v>1315</v>
      </c>
      <c r="C16" s="150"/>
      <c r="D16" s="249">
        <f>D14+D15</f>
        <v>291144488.1069302</v>
      </c>
      <c r="E16" s="252">
        <f t="shared" ref="E16:K16" si="1">E14+E15</f>
        <v>219154032.5068301</v>
      </c>
      <c r="F16" s="183">
        <f t="shared" si="1"/>
        <v>11048059.297567638</v>
      </c>
      <c r="G16" s="183">
        <f t="shared" si="1"/>
        <v>22480777.436876763</v>
      </c>
      <c r="H16" s="183">
        <f t="shared" si="1"/>
        <v>35050421.664743945</v>
      </c>
      <c r="I16" s="183">
        <f t="shared" si="1"/>
        <v>3336240.6286334684</v>
      </c>
      <c r="J16" s="183">
        <f t="shared" si="1"/>
        <v>74956.572278187916</v>
      </c>
      <c r="K16" s="293">
        <f t="shared" si="1"/>
        <v>291144488.10693014</v>
      </c>
      <c r="L16" s="151" t="str">
        <f>IF(ABS(K16-D16)&lt;0.01,"ok","err")</f>
        <v>ok</v>
      </c>
    </row>
    <row r="17" spans="1:12">
      <c r="A17" s="152"/>
      <c r="B17" s="149"/>
      <c r="C17" s="154"/>
      <c r="D17" s="246"/>
      <c r="E17" s="281"/>
      <c r="F17" s="186"/>
      <c r="G17" s="186"/>
      <c r="H17" s="186"/>
      <c r="I17" s="186"/>
      <c r="J17" s="186"/>
      <c r="K17" s="293"/>
      <c r="L17" s="155"/>
    </row>
    <row r="18" spans="1:12">
      <c r="A18" s="152" t="s">
        <v>1316</v>
      </c>
      <c r="B18" s="149" t="s">
        <v>1226</v>
      </c>
      <c r="C18" s="150"/>
      <c r="D18" s="247">
        <f>'Allocation ProForma'!J993</f>
        <v>0.12465261165159489</v>
      </c>
      <c r="E18" s="282">
        <f t="shared" ref="E18:J18" si="2">D18</f>
        <v>0.12465261165159489</v>
      </c>
      <c r="F18" s="248">
        <f t="shared" si="2"/>
        <v>0.12465261165159489</v>
      </c>
      <c r="G18" s="248">
        <f t="shared" si="2"/>
        <v>0.12465261165159489</v>
      </c>
      <c r="H18" s="248">
        <f t="shared" si="2"/>
        <v>0.12465261165159489</v>
      </c>
      <c r="I18" s="248">
        <f t="shared" si="2"/>
        <v>0.12465261165159489</v>
      </c>
      <c r="J18" s="248">
        <f t="shared" si="2"/>
        <v>0.12465261165159489</v>
      </c>
      <c r="K18" s="293"/>
      <c r="L18" s="151"/>
    </row>
    <row r="19" spans="1:12">
      <c r="A19" s="156"/>
      <c r="B19" s="149"/>
      <c r="C19" s="154"/>
      <c r="D19" s="246"/>
      <c r="E19" s="281"/>
      <c r="F19" s="186"/>
      <c r="G19" s="186"/>
      <c r="H19" s="186"/>
      <c r="I19" s="186"/>
      <c r="J19" s="186"/>
      <c r="K19" s="293"/>
      <c r="L19" s="155"/>
    </row>
    <row r="20" spans="1:12">
      <c r="A20" s="152" t="s">
        <v>1317</v>
      </c>
      <c r="B20" s="149" t="s">
        <v>1318</v>
      </c>
      <c r="C20" s="150"/>
      <c r="D20" s="249">
        <f>D18*D16</f>
        <v>36291920.810495555</v>
      </c>
      <c r="E20" s="252">
        <f t="shared" ref="E20:J20" si="3">E18*E16</f>
        <v>27318122.505954895</v>
      </c>
      <c r="F20" s="183">
        <f t="shared" si="3"/>
        <v>1377169.4451234909</v>
      </c>
      <c r="G20" s="183">
        <f t="shared" si="3"/>
        <v>2802287.6194649357</v>
      </c>
      <c r="H20" s="183">
        <f t="shared" si="3"/>
        <v>4369126.5999999745</v>
      </c>
      <c r="I20" s="183">
        <f t="shared" si="3"/>
        <v>415871.10745732056</v>
      </c>
      <c r="J20" s="183">
        <f t="shared" si="3"/>
        <v>9343.5324949276619</v>
      </c>
      <c r="K20" s="293">
        <f>SUM(E20:J20)</f>
        <v>36291920.810495533</v>
      </c>
      <c r="L20" s="151" t="str">
        <f>IF(ABS(K20-D20)&lt;0.01,"ok","err")</f>
        <v>ok</v>
      </c>
    </row>
    <row r="21" spans="1:12">
      <c r="A21" s="156"/>
      <c r="B21" s="149"/>
      <c r="C21" s="154"/>
      <c r="D21" s="246"/>
      <c r="E21" s="281"/>
      <c r="F21" s="186"/>
      <c r="G21" s="186"/>
      <c r="H21" s="186"/>
      <c r="I21" s="186"/>
      <c r="J21" s="186"/>
      <c r="K21" s="293"/>
      <c r="L21" s="155"/>
    </row>
    <row r="22" spans="1:12">
      <c r="A22" s="152" t="s">
        <v>1319</v>
      </c>
      <c r="B22" s="149" t="s">
        <v>870</v>
      </c>
      <c r="C22" s="150"/>
      <c r="D22" s="249">
        <f>'Allocation ProForma'!J715</f>
        <v>5467061.1647117203</v>
      </c>
      <c r="E22" s="252">
        <f t="shared" ref="E22:J22" si="4">(E14/$D$14)*$D$22</f>
        <v>4115236.760958421</v>
      </c>
      <c r="F22" s="183">
        <f t="shared" si="4"/>
        <v>207458.55888908569</v>
      </c>
      <c r="G22" s="183">
        <f t="shared" si="4"/>
        <v>422140.17540506175</v>
      </c>
      <c r="H22" s="183">
        <f t="shared" si="4"/>
        <v>658170.79463209223</v>
      </c>
      <c r="I22" s="183">
        <f t="shared" si="4"/>
        <v>62647.353194048999</v>
      </c>
      <c r="J22" s="183">
        <f t="shared" si="4"/>
        <v>1407.5216330095238</v>
      </c>
      <c r="K22" s="293">
        <f>SUM(E22:J22)</f>
        <v>5467061.1647117184</v>
      </c>
      <c r="L22" s="151" t="str">
        <f>IF(ABS(K22-D22)&lt;0.01,"ok","err")</f>
        <v>ok</v>
      </c>
    </row>
    <row r="23" spans="1:12">
      <c r="A23" s="156"/>
      <c r="B23" s="149"/>
      <c r="C23" s="154"/>
      <c r="D23" s="246"/>
      <c r="E23" s="281"/>
      <c r="F23" s="186"/>
      <c r="G23" s="186"/>
      <c r="H23" s="186"/>
      <c r="I23" s="186"/>
      <c r="J23" s="186"/>
      <c r="K23" s="293"/>
      <c r="L23" s="155"/>
    </row>
    <row r="24" spans="1:12">
      <c r="A24" s="152" t="s">
        <v>1320</v>
      </c>
      <c r="B24" s="149" t="s">
        <v>1321</v>
      </c>
      <c r="C24" s="150"/>
      <c r="D24" s="249">
        <f>D20-D22</f>
        <v>30824859.645783834</v>
      </c>
      <c r="E24" s="252">
        <f t="shared" ref="E24:J24" si="5">E20-E22</f>
        <v>23202885.744996473</v>
      </c>
      <c r="F24" s="183">
        <f t="shared" si="5"/>
        <v>1169710.8862344052</v>
      </c>
      <c r="G24" s="183">
        <f t="shared" si="5"/>
        <v>2380147.4440598739</v>
      </c>
      <c r="H24" s="183">
        <f t="shared" si="5"/>
        <v>3710955.8053678824</v>
      </c>
      <c r="I24" s="183">
        <f t="shared" si="5"/>
        <v>353223.75426327158</v>
      </c>
      <c r="J24" s="183">
        <f t="shared" si="5"/>
        <v>7936.0108619181383</v>
      </c>
      <c r="K24" s="293">
        <f>SUM(E24:J24)</f>
        <v>30824859.645783827</v>
      </c>
      <c r="L24" s="151" t="str">
        <f>IF(ABS(K24-D24)&lt;0.01,"ok","err")</f>
        <v>ok</v>
      </c>
    </row>
    <row r="25" spans="1:12">
      <c r="A25" s="156"/>
      <c r="B25" s="149"/>
      <c r="C25" s="154"/>
      <c r="D25" s="246"/>
      <c r="E25" s="281"/>
      <c r="F25" s="186"/>
      <c r="G25" s="186"/>
      <c r="H25" s="186"/>
      <c r="I25" s="186"/>
      <c r="J25" s="186"/>
      <c r="K25" s="293"/>
      <c r="L25" s="155"/>
    </row>
    <row r="26" spans="1:12">
      <c r="A26" s="152" t="s">
        <v>1322</v>
      </c>
      <c r="B26" s="149" t="s">
        <v>1323</v>
      </c>
      <c r="C26" s="154"/>
      <c r="D26" s="249">
        <f>'Allocation ProForma'!J766+'Allocation ProForma'!J984</f>
        <v>19341789.95486347</v>
      </c>
      <c r="E26" s="252">
        <f t="shared" ref="E26:J26" si="6">$D$26*(E24/$K$24)</f>
        <v>14559201.488134</v>
      </c>
      <c r="F26" s="183">
        <f t="shared" si="6"/>
        <v>733962.86404689541</v>
      </c>
      <c r="G26" s="183">
        <f t="shared" si="6"/>
        <v>1493480.0175451247</v>
      </c>
      <c r="H26" s="183">
        <f t="shared" si="6"/>
        <v>2328527.3167180265</v>
      </c>
      <c r="I26" s="183">
        <f t="shared" si="6"/>
        <v>221638.63000631621</v>
      </c>
      <c r="J26" s="183">
        <f t="shared" si="6"/>
        <v>4979.6384131056584</v>
      </c>
      <c r="K26" s="293">
        <f>SUM(E26:J26)</f>
        <v>19341789.95486347</v>
      </c>
      <c r="L26" s="151" t="str">
        <f>IF(ABS(K26-D26)&lt;0.01,"ok","err")</f>
        <v>ok</v>
      </c>
    </row>
    <row r="27" spans="1:12">
      <c r="A27" s="156"/>
      <c r="B27" s="149"/>
      <c r="C27" s="154"/>
      <c r="D27" s="246"/>
      <c r="E27" s="281"/>
      <c r="F27" s="186"/>
      <c r="G27" s="186"/>
      <c r="H27" s="186"/>
      <c r="I27" s="186"/>
      <c r="J27" s="186"/>
      <c r="K27" s="293"/>
      <c r="L27" s="155"/>
    </row>
    <row r="28" spans="1:12">
      <c r="A28" s="152" t="s">
        <v>1324</v>
      </c>
      <c r="B28" s="149" t="s">
        <v>1079</v>
      </c>
      <c r="C28" s="150"/>
      <c r="D28" s="249">
        <f>'Allocation ProForma'!J685</f>
        <v>132081405.25457406</v>
      </c>
      <c r="E28" s="252">
        <f>'Allocation ProForma'!J174+'Allocation ProForma'!J175+'Allocation ProForma'!J176</f>
        <v>22787491.152197324</v>
      </c>
      <c r="F28" s="183">
        <f>'Allocation ProForma'!J177</f>
        <v>99530629.966697648</v>
      </c>
      <c r="G28" s="183">
        <f>'Allocation ProForma'!J186</f>
        <v>4117331.1645691879</v>
      </c>
      <c r="H28" s="183">
        <f>'Allocation ProForma'!J192+'Allocation ProForma'!J196+'Allocation ProForma'!J198+'Allocation ProForma'!J203</f>
        <v>3930680.5691321143</v>
      </c>
      <c r="I28" s="183">
        <f>'Allocation ProForma'!J197+'Allocation ProForma'!J199+'Allocation ProForma'!J204+'Allocation ProForma'!J208+'Allocation ProForma'!J211</f>
        <v>797758.27204830595</v>
      </c>
      <c r="J28" s="183">
        <f>'Allocation ProForma'!J217+'Allocation ProForma'!J220</f>
        <v>917514.12992948154</v>
      </c>
      <c r="K28" s="293">
        <f t="shared" ref="K28:K33" si="7">SUM(E28:J28)</f>
        <v>132081405.25457406</v>
      </c>
      <c r="L28" s="151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249">
        <f>'Allocation ProForma'!J686</f>
        <v>19861565.604748726</v>
      </c>
      <c r="E29" s="252">
        <f>'Allocation ProForma'!J290</f>
        <v>16861937.272430427</v>
      </c>
      <c r="F29" s="183">
        <v>0</v>
      </c>
      <c r="G29" s="183">
        <f>'Allocation ProForma'!J296</f>
        <v>1179154.8000254026</v>
      </c>
      <c r="H29" s="183">
        <f>'Allocation ProForma'!J302+'Allocation ProForma'!J306+'Allocation ProForma'!J308+'Allocation ProForma'!J313</f>
        <v>1663405.1586500152</v>
      </c>
      <c r="I29" s="183">
        <f>'Allocation ProForma'!J307+'Allocation ProForma'!J309+'Allocation ProForma'!J314+'Allocation ProForma'!J318+'Allocation ProForma'!J321</f>
        <v>157068.37364287706</v>
      </c>
      <c r="J29" s="183">
        <v>0</v>
      </c>
      <c r="K29" s="293">
        <f t="shared" si="7"/>
        <v>19861565.604748722</v>
      </c>
      <c r="L29" s="151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249">
        <f>'Allocation ProForma'!J687+'Allocation ProForma'!J688+'Allocation ProForma'!J691+'Allocation ProForma'!J692+'Allocation ProForma'!J693</f>
        <v>2601641.1291458355</v>
      </c>
      <c r="E30" s="252">
        <f>'Allocation ProForma'!J401+'Allocation ProForma'!J456+'Allocation ProForma'!J345+'Allocation ProForma'!J511+'Allocation ProForma'!J566</f>
        <v>1985131.048035247</v>
      </c>
      <c r="F30" s="183">
        <f>'Allocation ProForma'!J342+'Allocation ProForma'!J343+'Allocation ProForma'!J344+'Allocation ProForma'!J398+'Allocation ProForma'!J399+'Allocation ProForma'!J400+'Allocation ProForma'!J453+'Allocation ProForma'!J454+'Allocation ProForma'!J455+'Allocation ProForma'!J508+'Allocation ProForma'!J509+'Allocation ProForma'!J510+'Allocation ProForma'!J563+'Allocation ProForma'!J564+'Allocation ProForma'!J565</f>
        <v>0</v>
      </c>
      <c r="G30" s="183">
        <f>'Allocation ProForma'!J351+'Allocation ProForma'!J407+'Allocation ProForma'!J462+'Allocation ProForma'!J517+'Allocation ProForma'!J572</f>
        <v>256844.21480224241</v>
      </c>
      <c r="H30" s="183">
        <f>'Allocation ProForma'!J357+'Allocation ProForma'!J361+'Allocation ProForma'!J363+'Allocation ProForma'!J368+'Allocation ProForma'!J413+'Allocation ProForma'!J417+'Allocation ProForma'!J419+'Allocation ProForma'!J424+'Allocation ProForma'!J468+'Allocation ProForma'!J472+'Allocation ProForma'!J474+'Allocation ProForma'!J479+'Allocation ProForma'!J523+'Allocation ProForma'!J527+'Allocation ProForma'!J529+'Allocation ProForma'!J534+'Allocation ProForma'!J578+'Allocation ProForma'!J582+'Allocation ProForma'!J584+'Allocation ProForma'!J589</f>
        <v>328634.30684109143</v>
      </c>
      <c r="I30" s="183">
        <f>'Allocation ProForma'!J362+'Allocation ProForma'!J364+'Allocation ProForma'!J369+'Allocation ProForma'!J373+'Allocation ProForma'!J377+'Allocation ProForma'!J418+'Allocation ProForma'!J420+'Allocation ProForma'!J425+'Allocation ProForma'!J429+'Allocation ProForma'!J432+'Allocation ProForma'!J473+'Allocation ProForma'!J475+'Allocation ProForma'!J480+'Allocation ProForma'!J484+'Allocation ProForma'!J487+'Allocation ProForma'!J528+'Allocation ProForma'!J530+'Allocation ProForma'!J535+'Allocation ProForma'!J539+'Allocation ProForma'!J542+'Allocation ProForma'!J583+'Allocation ProForma'!J585+'Allocation ProForma'!J590+'Allocation ProForma'!J594+'Allocation ProForma'!J597</f>
        <v>31031.559467253675</v>
      </c>
      <c r="J30" s="183">
        <v>0</v>
      </c>
      <c r="K30" s="293">
        <f t="shared" si="7"/>
        <v>2601641.1291458346</v>
      </c>
      <c r="L30" s="151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249">
        <f>'Allocation ProForma'!J689+'Allocation ProForma'!J690</f>
        <v>964831.58744084206</v>
      </c>
      <c r="E31" s="252">
        <f t="shared" ref="E31:J31" si="8">$D$31*(E14/$K$14)</f>
        <v>726260.47105507168</v>
      </c>
      <c r="F31" s="183">
        <f t="shared" si="8"/>
        <v>36612.462284698187</v>
      </c>
      <c r="G31" s="183">
        <f t="shared" si="8"/>
        <v>74499.655900611833</v>
      </c>
      <c r="H31" s="183">
        <f t="shared" si="8"/>
        <v>116154.53960730786</v>
      </c>
      <c r="I31" s="183">
        <f t="shared" si="8"/>
        <v>11056.057982546579</v>
      </c>
      <c r="J31" s="183">
        <f t="shared" si="8"/>
        <v>248.40061060584722</v>
      </c>
      <c r="K31" s="293">
        <f t="shared" si="7"/>
        <v>964831.58744084206</v>
      </c>
      <c r="L31" s="151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249">
        <f>'Allocation ProForma'!J696</f>
        <v>212985.86096360869</v>
      </c>
      <c r="E32" s="252">
        <f>D32</f>
        <v>212985.86096360869</v>
      </c>
      <c r="F32" s="183"/>
      <c r="G32" s="183"/>
      <c r="H32" s="183"/>
      <c r="I32" s="183"/>
      <c r="J32" s="183"/>
      <c r="K32" s="293">
        <f t="shared" si="7"/>
        <v>212985.86096360869</v>
      </c>
      <c r="L32" s="151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245">
        <f>'Allocation ProForma'!J772</f>
        <v>-158122.62202695041</v>
      </c>
      <c r="E33" s="252">
        <f>D33</f>
        <v>-158122.62202695041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-158122.62202695041</v>
      </c>
      <c r="L33" s="151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245">
        <f>'Allocation ProForma'!J771+'Allocation ProForma'!J774+'Allocation ProForma'!J775</f>
        <v>-8422130.1489730459</v>
      </c>
      <c r="E34" s="252">
        <v>0</v>
      </c>
      <c r="F34" s="183">
        <f>D34</f>
        <v>-8422130.1489730459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-8422130.1489730459</v>
      </c>
      <c r="L34" s="151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245">
        <f>'Allocation ProForma'!J782+'Allocation ProForma'!J787</f>
        <v>-478378.40724832274</v>
      </c>
      <c r="E35" s="252">
        <v>0</v>
      </c>
      <c r="F35" s="183">
        <v>0</v>
      </c>
      <c r="G35" s="183">
        <f>D35</f>
        <v>-478378.40724832274</v>
      </c>
      <c r="H35" s="183">
        <v>0</v>
      </c>
      <c r="I35" s="183">
        <v>0</v>
      </c>
      <c r="J35" s="183">
        <v>0</v>
      </c>
      <c r="K35" s="293">
        <f t="shared" si="10"/>
        <v>-478378.40724832274</v>
      </c>
      <c r="L35" s="151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245">
        <f>'Allocation ProForma'!J776+'Allocation ProForma'!J784</f>
        <v>-1147403.7073589677</v>
      </c>
      <c r="E36" s="252">
        <v>0</v>
      </c>
      <c r="F36" s="183">
        <v>0</v>
      </c>
      <c r="G36" s="183">
        <v>0</v>
      </c>
      <c r="H36" s="183">
        <f>(H14/($I$14+$H$14)*$D$36)</f>
        <v>-1047681.1829915371</v>
      </c>
      <c r="I36" s="183">
        <f>(I14/($I$14+$H$14)*$D$36)</f>
        <v>-99722.52436743048</v>
      </c>
      <c r="J36" s="183">
        <v>0</v>
      </c>
      <c r="K36" s="293">
        <f t="shared" si="10"/>
        <v>-1147403.7073589675</v>
      </c>
      <c r="L36" s="151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245">
        <f>'Allocation ProForma'!J777+'Allocation ProForma'!J778+'Allocation ProForma'!J779+'Allocation ProForma'!J780+'Allocation ProForma'!J781+'Allocation ProForma'!J785+'Allocation ProForma'!J786+'Allocation ProForma'!J792+'Allocation ProForma'!J793+'Allocation ProForma'!J796+'Allocation ProForma'!J797+'Allocation ProForma'!J798+'Allocation ProForma'!J799+'Allocation ProForma'!J800+'Allocation ProForma'!J801+'Allocation ProForma'!J802+'Allocation ProForma'!J804+'Allocation ProForma'!J805</f>
        <v>-917128.92870333802</v>
      </c>
      <c r="E37" s="252">
        <f t="shared" ref="E37:J37" si="11">(E14/($D$14)*$D$37)</f>
        <v>-690353.11079008318</v>
      </c>
      <c r="F37" s="183">
        <f t="shared" si="11"/>
        <v>-34802.289590685112</v>
      </c>
      <c r="G37" s="183">
        <f t="shared" si="11"/>
        <v>-70816.285965642455</v>
      </c>
      <c r="H37" s="183">
        <f t="shared" si="11"/>
        <v>-110411.6924246237</v>
      </c>
      <c r="I37" s="183">
        <f t="shared" si="11"/>
        <v>-10509.430604474946</v>
      </c>
      <c r="J37" s="183">
        <f t="shared" si="11"/>
        <v>-236.1193278284579</v>
      </c>
      <c r="K37" s="293">
        <f t="shared" si="10"/>
        <v>-917128.92870333791</v>
      </c>
      <c r="L37" s="151" t="str">
        <f t="shared" si="9"/>
        <v>ok</v>
      </c>
    </row>
    <row r="38" spans="1:12">
      <c r="A38" s="152"/>
      <c r="B38" s="149"/>
      <c r="D38" s="249"/>
      <c r="E38" s="252"/>
      <c r="F38" s="183"/>
      <c r="G38" s="183"/>
      <c r="H38" s="183"/>
      <c r="I38" s="183"/>
      <c r="J38" s="183"/>
      <c r="K38" s="293"/>
      <c r="L38" s="151"/>
    </row>
    <row r="39" spans="1:12">
      <c r="A39" s="152" t="s">
        <v>1342</v>
      </c>
      <c r="B39" s="149" t="s">
        <v>1341</v>
      </c>
      <c r="C39" s="150"/>
      <c r="D39" s="249">
        <f>'Allocation ProForma'!J806</f>
        <v>-11123163.814310623</v>
      </c>
      <c r="E39" s="252">
        <f>SUM(E33:E37)</f>
        <v>-848475.73281703354</v>
      </c>
      <c r="F39" s="183">
        <f>SUM(F34:F37)</f>
        <v>-8456932.4385637306</v>
      </c>
      <c r="G39" s="183">
        <f>SUM(G33:G37)</f>
        <v>-549194.69321396516</v>
      </c>
      <c r="H39" s="183">
        <f>SUM(H33:H37)</f>
        <v>-1158092.8754161608</v>
      </c>
      <c r="I39" s="183">
        <f>SUM(I33:I37)</f>
        <v>-110231.95497190542</v>
      </c>
      <c r="J39" s="183">
        <f>SUM(J33:J37)</f>
        <v>-236.1193278284579</v>
      </c>
      <c r="K39" s="293">
        <f t="shared" si="10"/>
        <v>-11123163.814310625</v>
      </c>
      <c r="L39" s="151" t="str">
        <f t="shared" si="9"/>
        <v>ok</v>
      </c>
    </row>
    <row r="40" spans="1:12">
      <c r="A40" s="156"/>
      <c r="B40" s="149"/>
      <c r="C40" s="154"/>
      <c r="D40" s="182"/>
      <c r="E40" s="281"/>
      <c r="F40" s="186"/>
      <c r="G40" s="186"/>
      <c r="H40" s="186"/>
      <c r="I40" s="186"/>
      <c r="J40" s="186"/>
      <c r="K40" s="228"/>
      <c r="L40" s="155"/>
    </row>
    <row r="41" spans="1:12">
      <c r="A41" s="152" t="s">
        <v>1344</v>
      </c>
      <c r="B41" s="149" t="s">
        <v>1343</v>
      </c>
      <c r="C41" s="159">
        <f>'Allocation ProForma'!J975</f>
        <v>200232976.38792148</v>
      </c>
      <c r="D41" s="249">
        <f>SUM(D28:D32)+D22+D26+D39+D24</f>
        <v>200232976.38792148</v>
      </c>
      <c r="E41" s="252">
        <f t="shared" ref="E41:J41" si="12">SUM(E28:E32)+E22+E26+E39+E24</f>
        <v>83602654.065953523</v>
      </c>
      <c r="F41" s="183">
        <f t="shared" si="12"/>
        <v>93221442.299589008</v>
      </c>
      <c r="G41" s="183">
        <f t="shared" si="12"/>
        <v>9374402.7790935412</v>
      </c>
      <c r="H41" s="183">
        <f t="shared" si="12"/>
        <v>11578435.615532368</v>
      </c>
      <c r="I41" s="183">
        <f t="shared" si="12"/>
        <v>1524192.0456327146</v>
      </c>
      <c r="J41" s="183">
        <f t="shared" si="12"/>
        <v>931849.58212029224</v>
      </c>
      <c r="K41" s="293">
        <f>SUM(E41:J41)</f>
        <v>200232976.38792145</v>
      </c>
      <c r="L41" s="151" t="str">
        <f>IF(ABS(K41-D41)&lt;0.01,"ok","err")</f>
        <v>ok</v>
      </c>
    </row>
    <row r="42" spans="1:12">
      <c r="A42" s="156"/>
      <c r="B42" s="149"/>
      <c r="C42" s="154"/>
      <c r="D42" s="250"/>
      <c r="E42" s="281"/>
      <c r="F42" s="186"/>
      <c r="G42" s="186"/>
      <c r="H42" s="186"/>
      <c r="I42" s="186"/>
      <c r="J42" s="186"/>
      <c r="K42" s="228"/>
      <c r="L42" s="155"/>
    </row>
    <row r="43" spans="1:12">
      <c r="A43" s="152" t="s">
        <v>1345</v>
      </c>
      <c r="B43" s="149" t="s">
        <v>1346</v>
      </c>
      <c r="C43" s="150"/>
      <c r="D43" s="249">
        <f>-('Allocation ProForma'!J673+'Allocation ProForma'!J674+'Allocation ProForma'!J675)</f>
        <v>551829.64730022103</v>
      </c>
      <c r="E43" s="252">
        <v>0</v>
      </c>
      <c r="F43" s="183">
        <f>D43</f>
        <v>551829.64730022103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551829.64730022103</v>
      </c>
      <c r="L43" s="151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249">
        <f>-('Allocation ProForma'!J671+'Allocation ProForma'!J672+'Allocation ProForma'!J676+'Allocation ProForma'!J677+'Allocation ProForma'!J678+'Allocation ProForma'!J679)</f>
        <v>-26705742.83789321</v>
      </c>
      <c r="E44" s="252">
        <f t="shared" ref="E44:J44" si="13">(E14/($D$14)*$D$44)</f>
        <v>-20102291.03793012</v>
      </c>
      <c r="F44" s="183">
        <f t="shared" si="13"/>
        <v>-1013402.7691098625</v>
      </c>
      <c r="G44" s="183">
        <f t="shared" si="13"/>
        <v>-2062089.0504533381</v>
      </c>
      <c r="H44" s="183">
        <f t="shared" si="13"/>
        <v>-3215061.8870537765</v>
      </c>
      <c r="I44" s="183">
        <f t="shared" si="13"/>
        <v>-306022.56925054186</v>
      </c>
      <c r="J44" s="183">
        <f t="shared" si="13"/>
        <v>-6875.5240955687977</v>
      </c>
      <c r="K44" s="293">
        <f>SUM(E44:J44)</f>
        <v>-26705742.83789321</v>
      </c>
      <c r="L44" s="151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249">
        <f t="shared" ref="D45:J45" si="14">SUM(D43:D44)</f>
        <v>-26153913.190592989</v>
      </c>
      <c r="E45" s="252">
        <f t="shared" si="14"/>
        <v>-20102291.03793012</v>
      </c>
      <c r="F45" s="183">
        <f t="shared" si="14"/>
        <v>-461573.12180964148</v>
      </c>
      <c r="G45" s="183">
        <f t="shared" si="14"/>
        <v>-2062089.0504533381</v>
      </c>
      <c r="H45" s="183">
        <f t="shared" si="14"/>
        <v>-3215061.8870537765</v>
      </c>
      <c r="I45" s="183">
        <f t="shared" si="14"/>
        <v>-306022.56925054186</v>
      </c>
      <c r="J45" s="183">
        <f t="shared" si="14"/>
        <v>-6875.5240955687977</v>
      </c>
      <c r="K45" s="293">
        <f>SUM(E45:J45)</f>
        <v>-26153913.190592989</v>
      </c>
      <c r="L45" s="151" t="str">
        <f>IF(ABS(K45-D45)&lt;0.01,"ok","err")</f>
        <v>ok</v>
      </c>
    </row>
    <row r="46" spans="1:12">
      <c r="A46" s="156"/>
      <c r="B46" s="149"/>
      <c r="D46" s="246"/>
      <c r="E46" s="281"/>
      <c r="F46" s="186"/>
      <c r="G46" s="186"/>
      <c r="H46" s="186"/>
      <c r="I46" s="186"/>
      <c r="J46" s="186"/>
      <c r="K46" s="228"/>
      <c r="L46" s="155"/>
    </row>
    <row r="47" spans="1:12">
      <c r="A47" s="152" t="s">
        <v>1351</v>
      </c>
      <c r="B47" s="149" t="s">
        <v>1352</v>
      </c>
      <c r="C47" s="160">
        <f>'Allocation ProForma'!J975-SUM('Allocation ProForma'!J671:J679)</f>
        <v>174079063.19732851</v>
      </c>
      <c r="D47" s="249">
        <f t="shared" ref="D47:J47" si="15">D41+D45</f>
        <v>174079063.19732851</v>
      </c>
      <c r="E47" s="252">
        <f t="shared" si="15"/>
        <v>63500363.028023407</v>
      </c>
      <c r="F47" s="183">
        <f t="shared" si="15"/>
        <v>92759869.177779362</v>
      </c>
      <c r="G47" s="183">
        <f t="shared" si="15"/>
        <v>7312313.7286402034</v>
      </c>
      <c r="H47" s="183">
        <f t="shared" si="15"/>
        <v>8363373.7284785919</v>
      </c>
      <c r="I47" s="183">
        <f t="shared" si="15"/>
        <v>1218169.4763821727</v>
      </c>
      <c r="J47" s="183">
        <f t="shared" si="15"/>
        <v>924974.05802472343</v>
      </c>
      <c r="K47" s="293">
        <f>SUM(E47:J47)</f>
        <v>174079063.19732845</v>
      </c>
      <c r="L47" s="151" t="str">
        <f>IF(ABS(K47-D47)&lt;0.01,"ok","err")</f>
        <v>ok</v>
      </c>
    </row>
    <row r="48" spans="1:12">
      <c r="A48" s="156"/>
      <c r="B48" s="149"/>
      <c r="C48" s="154"/>
      <c r="D48" s="182"/>
      <c r="E48" s="281"/>
      <c r="F48" s="186"/>
      <c r="G48" s="186"/>
      <c r="H48" s="186"/>
      <c r="I48" s="186"/>
      <c r="J48" s="186"/>
      <c r="K48" s="228"/>
      <c r="L48" s="155"/>
    </row>
    <row r="49" spans="1:12">
      <c r="A49" s="152" t="s">
        <v>1353</v>
      </c>
      <c r="B49" s="149" t="s">
        <v>1354</v>
      </c>
      <c r="C49" s="150"/>
      <c r="D49" s="259"/>
      <c r="E49" s="283">
        <v>6013535</v>
      </c>
      <c r="F49" s="254">
        <f>'Allocation ProForma'!$J$1060</f>
        <v>2314411122</v>
      </c>
      <c r="G49" s="254">
        <f>E49</f>
        <v>6013535</v>
      </c>
      <c r="H49" s="254">
        <f>E49</f>
        <v>6013535</v>
      </c>
      <c r="I49" s="254">
        <f>'Allocation ProForma'!$J$1075*12</f>
        <v>34788</v>
      </c>
      <c r="J49" s="254">
        <f>'Allocation ProForma'!$J$1075*12</f>
        <v>34788</v>
      </c>
      <c r="K49" s="228"/>
      <c r="L49" s="155"/>
    </row>
    <row r="50" spans="1:12" ht="14.4" thickBot="1">
      <c r="A50" s="156"/>
      <c r="B50" s="149"/>
      <c r="C50" s="154"/>
      <c r="D50" s="246"/>
      <c r="E50" s="281"/>
      <c r="F50" s="186"/>
      <c r="G50" s="186"/>
      <c r="H50" s="186"/>
      <c r="I50" s="186"/>
      <c r="J50" s="186"/>
      <c r="K50" s="228"/>
      <c r="L50" s="155"/>
    </row>
    <row r="51" spans="1:12" ht="14.4" thickBot="1">
      <c r="A51" s="161" t="s">
        <v>1355</v>
      </c>
      <c r="B51" s="162" t="s">
        <v>1356</v>
      </c>
      <c r="C51" s="163"/>
      <c r="D51" s="260"/>
      <c r="E51" s="284">
        <f t="shared" ref="E51:J51" si="16">E47/E49</f>
        <v>10.559573200791782</v>
      </c>
      <c r="F51" s="261">
        <f t="shared" si="16"/>
        <v>4.0079253118011658E-2</v>
      </c>
      <c r="G51" s="261">
        <f t="shared" si="16"/>
        <v>1.2159759157700427</v>
      </c>
      <c r="H51" s="261">
        <f t="shared" si="16"/>
        <v>1.3907583024757637</v>
      </c>
      <c r="I51" s="262">
        <f>I47/I49</f>
        <v>35.016944819540434</v>
      </c>
      <c r="J51" s="262">
        <f t="shared" si="16"/>
        <v>26.588882891362637</v>
      </c>
      <c r="K51" s="224">
        <f>I51+J51</f>
        <v>61.605827710903071</v>
      </c>
      <c r="L51" s="164"/>
    </row>
    <row r="53" spans="1:12">
      <c r="J53" s="165" t="s">
        <v>1357</v>
      </c>
      <c r="K53" s="225">
        <f>I51+J51</f>
        <v>61.605827710903071</v>
      </c>
    </row>
    <row r="54" spans="1:12">
      <c r="J54" s="165" t="s">
        <v>1358</v>
      </c>
      <c r="K54" s="242">
        <f>F51</f>
        <v>4.0079253118011658E-2</v>
      </c>
    </row>
    <row r="55" spans="1:12">
      <c r="J55" s="165" t="s">
        <v>1498</v>
      </c>
      <c r="K55" s="3">
        <f>E51+G51+H51</f>
        <v>13.166307419037588</v>
      </c>
    </row>
    <row r="57" spans="1:12">
      <c r="J57" s="165" t="s">
        <v>170</v>
      </c>
      <c r="K57" s="15">
        <f>(I47+J47)/J49</f>
        <v>61.605827710903078</v>
      </c>
    </row>
    <row r="58" spans="1:12" ht="14.4" thickBot="1">
      <c r="J58" s="165" t="s">
        <v>1387</v>
      </c>
      <c r="K58" s="234">
        <f>((J47+I47)*E18)/J49</f>
        <v>7.6793273171222634</v>
      </c>
    </row>
    <row r="59" spans="1:12" ht="14.4" thickBot="1">
      <c r="K59" s="181">
        <f>SUM(K57:K58)</f>
        <v>69.285155028025343</v>
      </c>
    </row>
  </sheetData>
  <mergeCells count="6">
    <mergeCell ref="A1:N1"/>
    <mergeCell ref="A3:N3"/>
    <mergeCell ref="A4:N4"/>
    <mergeCell ref="A6:N6"/>
    <mergeCell ref="E9:F9"/>
    <mergeCell ref="H9:I9"/>
  </mergeCells>
  <pageMargins left="0.7" right="0.7" top="0.75" bottom="0.75" header="0.3" footer="0.3"/>
  <pageSetup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workbookViewId="0">
      <selection sqref="A1:K1"/>
    </sheetView>
  </sheetViews>
  <sheetFormatPr defaultRowHeight="13.8"/>
  <cols>
    <col min="1" max="1" width="4.5546875" customWidth="1"/>
    <col min="2" max="2" width="41.109375" bestFit="1" customWidth="1"/>
    <col min="3" max="3" width="30.6640625" hidden="1" customWidth="1"/>
    <col min="4" max="4" width="28.33203125" hidden="1" customWidth="1"/>
    <col min="5" max="5" width="22.5546875" bestFit="1" customWidth="1"/>
    <col min="6" max="6" width="20.5546875" bestFit="1" customWidth="1"/>
    <col min="7" max="8" width="22.5546875" bestFit="1" customWidth="1"/>
    <col min="9" max="9" width="24.6640625" bestFit="1" customWidth="1"/>
    <col min="10" max="10" width="37" bestFit="1" customWidth="1"/>
    <col min="11" max="11" width="21.44140625" customWidth="1"/>
    <col min="12" max="12" width="17.88671875" customWidth="1"/>
  </cols>
  <sheetData>
    <row r="1" spans="1:14" ht="15.6">
      <c r="A1" s="433" t="s">
        <v>637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180"/>
      <c r="M1" s="180"/>
      <c r="N1" s="180"/>
    </row>
    <row r="2" spans="1:14" ht="15.6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29"/>
      <c r="M2" s="129"/>
      <c r="N2" s="129"/>
    </row>
    <row r="3" spans="1:14" ht="15.6">
      <c r="A3" s="433" t="s">
        <v>1302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180"/>
      <c r="M3" s="180"/>
      <c r="N3" s="180"/>
    </row>
    <row r="4" spans="1:14" ht="15.6">
      <c r="A4" s="433" t="s">
        <v>1487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180"/>
      <c r="M4" s="180"/>
      <c r="N4" s="180"/>
    </row>
    <row r="5" spans="1:14" ht="15.6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6"/>
      <c r="M5" s="16"/>
      <c r="N5" s="16"/>
    </row>
    <row r="6" spans="1:14" ht="15.6">
      <c r="A6" s="433" t="s">
        <v>1509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180"/>
      <c r="M6" s="180"/>
      <c r="N6" s="180"/>
    </row>
    <row r="8" spans="1:14" ht="14.4" thickBot="1"/>
    <row r="9" spans="1:14" ht="14.4" thickBot="1">
      <c r="A9" s="131"/>
      <c r="B9" s="132"/>
      <c r="C9" s="133"/>
      <c r="D9" s="131"/>
      <c r="E9" s="427" t="s">
        <v>782</v>
      </c>
      <c r="F9" s="432"/>
      <c r="G9" s="134" t="s">
        <v>1236</v>
      </c>
      <c r="H9" s="427" t="s">
        <v>1042</v>
      </c>
      <c r="I9" s="432"/>
      <c r="J9" s="134" t="s">
        <v>1304</v>
      </c>
      <c r="K9" s="133"/>
      <c r="L9" s="272"/>
    </row>
    <row r="10" spans="1:14">
      <c r="A10" s="136"/>
      <c r="B10" s="137"/>
      <c r="C10" s="138"/>
      <c r="D10" s="136"/>
      <c r="E10" s="133"/>
      <c r="F10" s="133"/>
      <c r="G10" s="133"/>
      <c r="H10" s="133"/>
      <c r="I10" s="133"/>
      <c r="J10" s="133"/>
      <c r="K10" s="138"/>
      <c r="L10" s="157"/>
    </row>
    <row r="11" spans="1:14">
      <c r="A11" s="136"/>
      <c r="B11" s="137"/>
      <c r="C11" s="138"/>
      <c r="D11" s="136"/>
      <c r="E11" s="138"/>
      <c r="F11" s="138"/>
      <c r="G11" s="138"/>
      <c r="H11" s="138"/>
      <c r="I11" s="138"/>
      <c r="J11" s="138"/>
      <c r="K11" s="138"/>
      <c r="L11" s="157"/>
    </row>
    <row r="12" spans="1:14" ht="14.4" thickBot="1">
      <c r="A12" s="140"/>
      <c r="B12" s="229" t="s">
        <v>1029</v>
      </c>
      <c r="C12" s="230" t="s">
        <v>1305</v>
      </c>
      <c r="D12" s="286" t="s">
        <v>1388</v>
      </c>
      <c r="E12" s="141" t="s">
        <v>1307</v>
      </c>
      <c r="F12" s="141" t="s">
        <v>1308</v>
      </c>
      <c r="G12" s="141" t="s">
        <v>1307</v>
      </c>
      <c r="H12" s="141" t="s">
        <v>1307</v>
      </c>
      <c r="I12" s="141" t="s">
        <v>1309</v>
      </c>
      <c r="J12" s="141" t="s">
        <v>1309</v>
      </c>
      <c r="K12" s="142" t="s">
        <v>1026</v>
      </c>
      <c r="L12" s="287" t="s">
        <v>1310</v>
      </c>
    </row>
    <row r="13" spans="1:14">
      <c r="A13" s="143"/>
      <c r="B13" s="144"/>
      <c r="C13" s="145"/>
      <c r="D13" s="237"/>
      <c r="E13" s="143"/>
      <c r="F13" s="147"/>
      <c r="G13" s="147"/>
      <c r="H13" s="147"/>
      <c r="I13" s="147"/>
      <c r="J13" s="147"/>
      <c r="K13" s="135"/>
      <c r="L13" s="149"/>
    </row>
    <row r="14" spans="1:14">
      <c r="A14" s="148" t="s">
        <v>1311</v>
      </c>
      <c r="B14" s="149" t="s">
        <v>1069</v>
      </c>
      <c r="C14" s="150"/>
      <c r="D14" s="263">
        <f>'Allocation ProForma'!K170</f>
        <v>199460877.01519188</v>
      </c>
      <c r="E14" s="278">
        <f>'Allocation ProForma'!K119+'Allocation ProForma'!K120+'Allocation ProForma'!K121</f>
        <v>153844435.87990373</v>
      </c>
      <c r="F14" s="244">
        <f>'Allocation ProForma'!K122</f>
        <v>8991070.1644824781</v>
      </c>
      <c r="G14" s="244">
        <f>'Allocation ProForma'!K131</f>
        <v>15781331.894087713</v>
      </c>
      <c r="H14" s="244">
        <f>'Allocation ProForma'!K141+'Allocation ProForma'!K143+'Allocation ProForma'!K148+'Allocation ProForma'!K137</f>
        <v>20556540.480526999</v>
      </c>
      <c r="I14" s="244">
        <f>'Allocation ProForma'!K142+'Allocation ProForma'!K144+'Allocation ProForma'!K149+'Allocation ProForma'!K153+'Allocation ProForma'!K156+'Allocation ProForma'!K159</f>
        <v>276575.66299352446</v>
      </c>
      <c r="J14" s="244">
        <f>'Allocation ProForma'!K162+'Allocation ProForma'!K165</f>
        <v>10922.933197431816</v>
      </c>
      <c r="K14" s="292">
        <f>SUM(E14:J14)</f>
        <v>199460877.01519188</v>
      </c>
      <c r="L14" s="236" t="str">
        <f>IF(ABS(K14-D14)&lt;0.01,"ok","err")</f>
        <v>ok</v>
      </c>
    </row>
    <row r="15" spans="1:14">
      <c r="A15" s="152" t="s">
        <v>1312</v>
      </c>
      <c r="B15" s="157" t="s">
        <v>1313</v>
      </c>
      <c r="C15" s="150"/>
      <c r="D15" s="185">
        <f>'Allocation ProForma'!K818+'Allocation ProForma'!K819+'Allocation ProForma'!K820</f>
        <v>-3208941.500308468</v>
      </c>
      <c r="E15" s="290">
        <f t="shared" ref="E15:J15" si="0">(E14/$D$14)*$D$15</f>
        <v>-2475060.785223397</v>
      </c>
      <c r="F15" s="235">
        <f t="shared" si="0"/>
        <v>-144649.00894221786</v>
      </c>
      <c r="G15" s="235">
        <f t="shared" si="0"/>
        <v>-253891.24726059745</v>
      </c>
      <c r="H15" s="235">
        <f t="shared" si="0"/>
        <v>-330715.15997450403</v>
      </c>
      <c r="I15" s="185">
        <f t="shared" si="0"/>
        <v>-4449.5699419172424</v>
      </c>
      <c r="J15" s="185">
        <f t="shared" si="0"/>
        <v>-175.72896583456998</v>
      </c>
      <c r="K15" s="293">
        <f>SUM(E15:J15)</f>
        <v>-3208941.5003084689</v>
      </c>
      <c r="L15" s="236" t="str">
        <f>IF(ABS(K15-D15)&lt;0.01,"ok","err")</f>
        <v>ok</v>
      </c>
    </row>
    <row r="16" spans="1:14">
      <c r="A16" s="152" t="s">
        <v>1314</v>
      </c>
      <c r="B16" s="184" t="s">
        <v>1315</v>
      </c>
      <c r="C16" s="150"/>
      <c r="D16" s="238">
        <f>D14+D15</f>
        <v>196251935.51488343</v>
      </c>
      <c r="E16" s="252">
        <f t="shared" ref="E16:K16" si="1">E14+E15</f>
        <v>151369375.09468034</v>
      </c>
      <c r="F16" s="183">
        <f t="shared" si="1"/>
        <v>8846421.1555402596</v>
      </c>
      <c r="G16" s="183">
        <f>G14+G15</f>
        <v>15527440.646827117</v>
      </c>
      <c r="H16" s="183">
        <f t="shared" si="1"/>
        <v>20225825.320552494</v>
      </c>
      <c r="I16" s="183">
        <f t="shared" si="1"/>
        <v>272126.0930516072</v>
      </c>
      <c r="J16" s="183">
        <f t="shared" si="1"/>
        <v>10747.204231597245</v>
      </c>
      <c r="K16" s="293">
        <f t="shared" si="1"/>
        <v>196251935.5148834</v>
      </c>
      <c r="L16" s="236" t="str">
        <f>IF(ABS(K16-D16)&lt;0.01,"ok","err")</f>
        <v>ok</v>
      </c>
    </row>
    <row r="17" spans="1:12">
      <c r="A17" s="152"/>
      <c r="B17" s="153"/>
      <c r="C17" s="154"/>
      <c r="D17" s="264"/>
      <c r="E17" s="281"/>
      <c r="F17" s="186"/>
      <c r="G17" s="186"/>
      <c r="H17" s="186"/>
      <c r="I17" s="186"/>
      <c r="J17" s="186"/>
      <c r="K17" s="292"/>
      <c r="L17" s="288"/>
    </row>
    <row r="18" spans="1:12">
      <c r="A18" s="152" t="s">
        <v>1316</v>
      </c>
      <c r="B18" s="149" t="s">
        <v>1226</v>
      </c>
      <c r="C18" s="150"/>
      <c r="D18" s="265">
        <f>'Allocation ProForma'!K993</f>
        <v>8.1417860778959641E-2</v>
      </c>
      <c r="E18" s="282">
        <f t="shared" ref="E18:J18" si="2">D18</f>
        <v>8.1417860778959641E-2</v>
      </c>
      <c r="F18" s="248">
        <f t="shared" si="2"/>
        <v>8.1417860778959641E-2</v>
      </c>
      <c r="G18" s="248">
        <f t="shared" si="2"/>
        <v>8.1417860778959641E-2</v>
      </c>
      <c r="H18" s="248">
        <f>D18</f>
        <v>8.1417860778959641E-2</v>
      </c>
      <c r="I18" s="248">
        <f t="shared" si="2"/>
        <v>8.1417860778959641E-2</v>
      </c>
      <c r="J18" s="248">
        <f t="shared" si="2"/>
        <v>8.1417860778959641E-2</v>
      </c>
      <c r="K18" s="292"/>
      <c r="L18" s="236"/>
    </row>
    <row r="19" spans="1:12">
      <c r="A19" s="156"/>
      <c r="B19" s="149"/>
      <c r="C19" s="154"/>
      <c r="D19" s="264"/>
      <c r="E19" s="281"/>
      <c r="F19" s="186"/>
      <c r="G19" s="186"/>
      <c r="H19" s="186"/>
      <c r="I19" s="186"/>
      <c r="J19" s="186"/>
      <c r="K19" s="292"/>
      <c r="L19" s="288"/>
    </row>
    <row r="20" spans="1:12">
      <c r="A20" s="152" t="s">
        <v>1317</v>
      </c>
      <c r="B20" s="149" t="s">
        <v>1318</v>
      </c>
      <c r="C20" s="150"/>
      <c r="D20" s="266">
        <f>D18*D16</f>
        <v>15978412.763352145</v>
      </c>
      <c r="E20" s="249">
        <f t="shared" ref="E20:J20" si="3">E18*E16</f>
        <v>12324170.707656804</v>
      </c>
      <c r="F20" s="266">
        <f t="shared" si="3"/>
        <v>720256.68603382015</v>
      </c>
      <c r="G20" s="266">
        <f>G18*G16</f>
        <v>1264211.0008369293</v>
      </c>
      <c r="H20" s="266">
        <f t="shared" si="3"/>
        <v>1646743.4300882998</v>
      </c>
      <c r="I20" s="266">
        <f t="shared" si="3"/>
        <v>22155.92435839797</v>
      </c>
      <c r="J20" s="266">
        <f t="shared" si="3"/>
        <v>875.01437789123042</v>
      </c>
      <c r="K20" s="293">
        <f>SUM(E20:J20)</f>
        <v>15978412.763352145</v>
      </c>
      <c r="L20" s="236" t="str">
        <f>IF(ABS(K20-D20)&lt;0.01,"ok","err")</f>
        <v>ok</v>
      </c>
    </row>
    <row r="21" spans="1:12">
      <c r="A21" s="156"/>
      <c r="B21" s="149"/>
      <c r="C21" s="154"/>
      <c r="D21" s="264"/>
      <c r="E21" s="281"/>
      <c r="F21" s="186"/>
      <c r="G21" s="186"/>
      <c r="H21" s="186"/>
      <c r="I21" s="186"/>
      <c r="J21" s="186"/>
      <c r="K21" s="293"/>
      <c r="L21" s="288"/>
    </row>
    <row r="22" spans="1:12">
      <c r="A22" s="152" t="s">
        <v>1319</v>
      </c>
      <c r="B22" s="149" t="s">
        <v>870</v>
      </c>
      <c r="C22" s="150"/>
      <c r="D22" s="266">
        <f>'Allocation ProForma'!K715</f>
        <v>3674102.9858968677</v>
      </c>
      <c r="E22" s="252">
        <f t="shared" ref="E22:J22" si="4">(E14/$D$14)*$D$22</f>
        <v>2833840.4487558841</v>
      </c>
      <c r="F22" s="183">
        <f t="shared" si="4"/>
        <v>165617.02842215658</v>
      </c>
      <c r="G22" s="240">
        <f>(G14/$D$14)*$D$22</f>
        <v>290694.79439359397</v>
      </c>
      <c r="H22" s="183">
        <f t="shared" si="4"/>
        <v>378654.9417080002</v>
      </c>
      <c r="I22" s="183">
        <f t="shared" si="4"/>
        <v>5094.5703460108516</v>
      </c>
      <c r="J22" s="183">
        <f t="shared" si="4"/>
        <v>201.20227122223878</v>
      </c>
      <c r="K22" s="293">
        <f>SUM(E22:J22)</f>
        <v>3674102.9858968682</v>
      </c>
      <c r="L22" s="236" t="str">
        <f>IF(ABS(K22-D22)&lt;0.01,"ok","err")</f>
        <v>ok</v>
      </c>
    </row>
    <row r="23" spans="1:12">
      <c r="A23" s="156"/>
      <c r="B23" s="149"/>
      <c r="C23" s="154"/>
      <c r="D23" s="264"/>
      <c r="E23" s="281"/>
      <c r="F23" s="186"/>
      <c r="G23" s="186"/>
      <c r="H23" s="186"/>
      <c r="I23" s="186"/>
      <c r="J23" s="186"/>
      <c r="K23" s="293"/>
      <c r="L23" s="288"/>
    </row>
    <row r="24" spans="1:12">
      <c r="A24" s="152" t="s">
        <v>1320</v>
      </c>
      <c r="B24" s="149" t="s">
        <v>1321</v>
      </c>
      <c r="C24" s="150"/>
      <c r="D24" s="266">
        <f>D20-D22</f>
        <v>12304309.777455278</v>
      </c>
      <c r="E24" s="252">
        <f t="shared" ref="E24:J24" si="5">E20-E22</f>
        <v>9490330.2589009199</v>
      </c>
      <c r="F24" s="183">
        <f t="shared" si="5"/>
        <v>554639.65761166357</v>
      </c>
      <c r="G24" s="183">
        <f>G20-G22</f>
        <v>973516.2064433354</v>
      </c>
      <c r="H24" s="183">
        <f t="shared" si="5"/>
        <v>1268088.4883802996</v>
      </c>
      <c r="I24" s="183">
        <f t="shared" si="5"/>
        <v>17061.354012387117</v>
      </c>
      <c r="J24" s="183">
        <f t="shared" si="5"/>
        <v>673.81210666899165</v>
      </c>
      <c r="K24" s="293">
        <f>SUM(E24:J24)</f>
        <v>12304309.777455276</v>
      </c>
      <c r="L24" s="236" t="str">
        <f>IF(ABS(K24-D24)&lt;0.01,"ok","err")</f>
        <v>ok</v>
      </c>
    </row>
    <row r="25" spans="1:12">
      <c r="A25" s="156"/>
      <c r="B25" s="149"/>
      <c r="C25" s="154"/>
      <c r="D25" s="264"/>
      <c r="E25" s="281"/>
      <c r="F25" s="186"/>
      <c r="G25" s="186"/>
      <c r="H25" s="186"/>
      <c r="I25" s="186"/>
      <c r="J25" s="186"/>
      <c r="K25" s="293"/>
      <c r="L25" s="288"/>
    </row>
    <row r="26" spans="1:12">
      <c r="A26" s="152" t="s">
        <v>1322</v>
      </c>
      <c r="B26" s="149" t="s">
        <v>1323</v>
      </c>
      <c r="C26" s="154"/>
      <c r="D26" s="266">
        <f>'Allocation ProForma'!K766+'Allocation ProForma'!K984</f>
        <v>7497878.2244891468</v>
      </c>
      <c r="E26" s="252">
        <f t="shared" ref="E26:J26" si="6">$D$26*(E24/$K$24)</f>
        <v>5783123.3021946969</v>
      </c>
      <c r="F26" s="183">
        <f t="shared" si="6"/>
        <v>337980.81212684454</v>
      </c>
      <c r="G26" s="183">
        <f>$D$26*(G24/$K$24)</f>
        <v>593231.64789405814</v>
      </c>
      <c r="H26" s="183">
        <f t="shared" si="6"/>
        <v>772735.18268965464</v>
      </c>
      <c r="I26" s="183">
        <f t="shared" si="6"/>
        <v>10396.678647035378</v>
      </c>
      <c r="J26" s="183">
        <f t="shared" si="6"/>
        <v>410.6009368560824</v>
      </c>
      <c r="K26" s="293">
        <f>SUM(E26:J26)</f>
        <v>7497878.2244891459</v>
      </c>
      <c r="L26" s="236" t="str">
        <f>IF(ABS(K26-D26)&lt;0.01,"ok","err")</f>
        <v>ok</v>
      </c>
    </row>
    <row r="27" spans="1:12">
      <c r="A27" s="156"/>
      <c r="B27" s="149"/>
      <c r="C27" s="154"/>
      <c r="D27" s="264"/>
      <c r="E27" s="281"/>
      <c r="F27" s="186"/>
      <c r="G27" s="186"/>
      <c r="H27" s="186"/>
      <c r="I27" s="186"/>
      <c r="J27" s="186"/>
      <c r="K27" s="293"/>
      <c r="L27" s="288"/>
    </row>
    <row r="28" spans="1:12">
      <c r="A28" s="152" t="s">
        <v>1324</v>
      </c>
      <c r="B28" s="149" t="s">
        <v>1079</v>
      </c>
      <c r="C28" s="150"/>
      <c r="D28" s="266">
        <f>'Allocation ProForma'!K685</f>
        <v>101149914.31181432</v>
      </c>
      <c r="E28" s="252">
        <f>'Allocation ProForma'!K174+'Allocation ProForma'!K175+'Allocation ProForma'!K176</f>
        <v>15743323.444242008</v>
      </c>
      <c r="F28" s="183">
        <f>'Allocation ProForma'!K177</f>
        <v>79716775.014248565</v>
      </c>
      <c r="G28" s="183">
        <f>'Allocation ProForma'!K186</f>
        <v>2844563.9679214936</v>
      </c>
      <c r="H28" s="183">
        <f>'Allocation ProForma'!K192+'Allocation ProForma'!K196+'Allocation ProForma'!K198+'Allocation ProForma'!K203</f>
        <v>2575769.712352396</v>
      </c>
      <c r="I28" s="183">
        <f>'Allocation ProForma'!K197+'Allocation ProForma'!K199+'Allocation ProForma'!K204+'Allocation ProForma'!K208+'Allocation ProForma'!K211</f>
        <v>124445.57519157574</v>
      </c>
      <c r="J28" s="183">
        <f>'Allocation ProForma'!K217+'Allocation ProForma'!K220</f>
        <v>145036.59785826856</v>
      </c>
      <c r="K28" s="293">
        <f t="shared" ref="K28:K33" si="7">SUM(E28:J28)</f>
        <v>101149914.31181431</v>
      </c>
      <c r="L28" s="236" t="str">
        <f>IF(ABS(K28-D28)&lt;0.01,"ok","err")</f>
        <v>ok</v>
      </c>
    </row>
    <row r="29" spans="1:12">
      <c r="A29" s="152" t="s">
        <v>1325</v>
      </c>
      <c r="B29" s="149" t="s">
        <v>1176</v>
      </c>
      <c r="C29" s="150"/>
      <c r="D29" s="185">
        <f>'Allocation ProForma'!K686</f>
        <v>13434929.144042499</v>
      </c>
      <c r="E29" s="252">
        <f>'Allocation ProForma'!K290</f>
        <v>11649502.378448293</v>
      </c>
      <c r="F29" s="183">
        <v>0</v>
      </c>
      <c r="G29" s="183">
        <f>'Allocation ProForma'!K296</f>
        <v>814649.37423970737</v>
      </c>
      <c r="H29" s="183">
        <f>'Allocation ProForma'!K302+'Allocation ProForma'!K306+'Allocation ProForma'!K308+'Allocation ProForma'!K313</f>
        <v>958446.30239379965</v>
      </c>
      <c r="I29" s="183">
        <f>'Allocation ProForma'!K307+'Allocation ProForma'!K309+'Allocation ProForma'!K314+'Allocation ProForma'!K318+'Allocation ProForma'!K321</f>
        <v>12331.088960700094</v>
      </c>
      <c r="J29" s="183">
        <v>0</v>
      </c>
      <c r="K29" s="293">
        <f t="shared" si="7"/>
        <v>13434929.144042499</v>
      </c>
      <c r="L29" s="236" t="str">
        <f>IF(ABS(K29-D29)&lt;0.01,"ok","err")</f>
        <v>ok</v>
      </c>
    </row>
    <row r="30" spans="1:12">
      <c r="A30" s="152" t="s">
        <v>1326</v>
      </c>
      <c r="B30" s="149" t="s">
        <v>1327</v>
      </c>
      <c r="C30" s="150"/>
      <c r="D30" s="185">
        <f>'Allocation ProForma'!K687+'Allocation ProForma'!K688+'Allocation ProForma'!K691+'Allocation ProForma'!K692+'Allocation ProForma'!K693</f>
        <v>1740719.9593791915</v>
      </c>
      <c r="E30" s="252">
        <f>'Allocation ProForma'!K401+'Allocation ProForma'!K456+'Allocation ProForma'!K345+'Allocation ProForma'!K511+'Allocation ProForma'!K566</f>
        <v>1371478.7626110583</v>
      </c>
      <c r="F30" s="183">
        <f>'Allocation ProForma'!K342+'Allocation ProForma'!K343+'Allocation ProForma'!K344+'Allocation ProForma'!K398+'Allocation ProForma'!K399+'Allocation ProForma'!K400+'Allocation ProForma'!K453+'Allocation ProForma'!K454+'Allocation ProForma'!K455+'Allocation ProForma'!K508+'Allocation ProForma'!K509+'Allocation ProForma'!K510+'Allocation ProForma'!K563+'Allocation ProForma'!K564+'Allocation ProForma'!K565</f>
        <v>0</v>
      </c>
      <c r="G30" s="183">
        <f>'Allocation ProForma'!K351+'Allocation ProForma'!K407+'Allocation ProForma'!K462+'Allocation ProForma'!K517+'Allocation ProForma'!K572</f>
        <v>177447.42154399757</v>
      </c>
      <c r="H30" s="183">
        <f>'Allocation ProForma'!K357+'Allocation ProForma'!K361+'Allocation ProForma'!K363+'Allocation ProForma'!K368+'Allocation ProForma'!K413+'Allocation ProForma'!K417+'Allocation ProForma'!K419+'Allocation ProForma'!K424+'Allocation ProForma'!K468+'Allocation ProForma'!K472+'Allocation ProForma'!K474+'Allocation ProForma'!K479+'Allocation ProForma'!K523+'Allocation ProForma'!K527+'Allocation ProForma'!K529+'Allocation ProForma'!K534+'Allocation ProForma'!K578+'Allocation ProForma'!K582+'Allocation ProForma'!K584+'Allocation ProForma'!K589</f>
        <v>189357.55645198509</v>
      </c>
      <c r="I30" s="183">
        <f>'Allocation ProForma'!K362+'Allocation ProForma'!K364+'Allocation ProForma'!K369+'Allocation ProForma'!K373+'Allocation ProForma'!K377+'Allocation ProForma'!K418+'Allocation ProForma'!K420+'Allocation ProForma'!K425+'Allocation ProForma'!K429+'Allocation ProForma'!K432+'Allocation ProForma'!K473+'Allocation ProForma'!K475+'Allocation ProForma'!K480+'Allocation ProForma'!K484+'Allocation ProForma'!K487+'Allocation ProForma'!K528+'Allocation ProForma'!K530+'Allocation ProForma'!K535+'Allocation ProForma'!K539+'Allocation ProForma'!K542+'Allocation ProForma'!K583+'Allocation ProForma'!K585+'Allocation ProForma'!K590+'Allocation ProForma'!K594+'Allocation ProForma'!K597</f>
        <v>2436.2187721507175</v>
      </c>
      <c r="J30" s="183">
        <v>0</v>
      </c>
      <c r="K30" s="293">
        <f t="shared" si="7"/>
        <v>1740719.9593791917</v>
      </c>
      <c r="L30" s="236" t="str">
        <f>IF(ABS(K30-D30)&lt;0.01,"ok","err")</f>
        <v>ok</v>
      </c>
    </row>
    <row r="31" spans="1:12">
      <c r="A31" s="152" t="s">
        <v>1328</v>
      </c>
      <c r="B31" s="149" t="s">
        <v>1359</v>
      </c>
      <c r="C31" s="150"/>
      <c r="D31" s="185">
        <f>'Allocation ProForma'!K689+'Allocation ProForma'!K690</f>
        <v>652639.58900110831</v>
      </c>
      <c r="E31" s="252">
        <f t="shared" ref="E31:J31" si="8">$D$31*(E14/$K$14)</f>
        <v>503381.77042669081</v>
      </c>
      <c r="F31" s="183">
        <f t="shared" si="8"/>
        <v>29418.943828172592</v>
      </c>
      <c r="G31" s="183">
        <f>$D$31*(G14/$K$14)</f>
        <v>51636.802742339423</v>
      </c>
      <c r="H31" s="183">
        <f t="shared" si="8"/>
        <v>67261.371409060623</v>
      </c>
      <c r="I31" s="183">
        <f t="shared" si="8"/>
        <v>904.96056031105684</v>
      </c>
      <c r="J31" s="183">
        <f t="shared" si="8"/>
        <v>35.740034533767258</v>
      </c>
      <c r="K31" s="293">
        <f t="shared" si="7"/>
        <v>652639.58900110843</v>
      </c>
      <c r="L31" s="236" t="str">
        <f>IF(ABS(K31-D31)&lt;0.01,"ok","err")</f>
        <v>ok</v>
      </c>
    </row>
    <row r="32" spans="1:12">
      <c r="A32" s="152" t="s">
        <v>1330</v>
      </c>
      <c r="B32" s="157" t="s">
        <v>1329</v>
      </c>
      <c r="C32" s="150"/>
      <c r="D32" s="185">
        <f>'Allocation ProForma'!K696</f>
        <v>133094.36445824913</v>
      </c>
      <c r="E32" s="252">
        <f>D32</f>
        <v>133094.36445824913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293">
        <f t="shared" si="7"/>
        <v>133094.36445824913</v>
      </c>
      <c r="L32" s="236" t="str">
        <f>IF(ABS(K32-D32)&lt;0.01,"ok","err")</f>
        <v>ok</v>
      </c>
    </row>
    <row r="33" spans="1:12">
      <c r="A33" s="152" t="s">
        <v>1332</v>
      </c>
      <c r="B33" s="157" t="s">
        <v>1331</v>
      </c>
      <c r="C33" s="150"/>
      <c r="D33" s="185">
        <f>'Allocation ProForma'!K772</f>
        <v>-98564.064711755724</v>
      </c>
      <c r="E33" s="252">
        <f>D33</f>
        <v>-98564.064711755724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293">
        <f t="shared" si="7"/>
        <v>-98564.064711755724</v>
      </c>
      <c r="L33" s="236" t="str">
        <f t="shared" ref="L33:L39" si="9">IF(ABS(K33-D33)&lt;0.01,"ok","err")</f>
        <v>ok</v>
      </c>
    </row>
    <row r="34" spans="1:12">
      <c r="A34" s="152" t="s">
        <v>1334</v>
      </c>
      <c r="B34" s="157" t="s">
        <v>1333</v>
      </c>
      <c r="C34" s="150"/>
      <c r="D34" s="185">
        <f>'Allocation ProForma'!K771+'Allocation ProForma'!K774+'Allocation ProForma'!K775</f>
        <v>-6741226.5773290265</v>
      </c>
      <c r="E34" s="252">
        <v>0</v>
      </c>
      <c r="F34" s="183">
        <f>D34</f>
        <v>-6741226.5773290265</v>
      </c>
      <c r="G34" s="183">
        <v>0</v>
      </c>
      <c r="H34" s="183">
        <v>0</v>
      </c>
      <c r="I34" s="183">
        <v>0</v>
      </c>
      <c r="J34" s="183">
        <v>0</v>
      </c>
      <c r="K34" s="293">
        <f t="shared" ref="K34:K39" si="10">SUM(E34:J34)</f>
        <v>-6741226.5773290265</v>
      </c>
      <c r="L34" s="236" t="str">
        <f t="shared" si="9"/>
        <v>ok</v>
      </c>
    </row>
    <row r="35" spans="1:12">
      <c r="A35" s="152" t="s">
        <v>1336</v>
      </c>
      <c r="B35" s="149" t="s">
        <v>1335</v>
      </c>
      <c r="C35" s="150"/>
      <c r="D35" s="185">
        <f>'Allocation ProForma'!K782+'Allocation ProForma'!K787</f>
        <v>-330500.0073834568</v>
      </c>
      <c r="E35" s="252">
        <v>0</v>
      </c>
      <c r="F35" s="183">
        <v>0</v>
      </c>
      <c r="G35" s="183">
        <f>D35</f>
        <v>-330500.0073834568</v>
      </c>
      <c r="H35" s="183">
        <v>0</v>
      </c>
      <c r="I35" s="183">
        <v>0</v>
      </c>
      <c r="J35" s="183">
        <v>0</v>
      </c>
      <c r="K35" s="293">
        <f t="shared" si="10"/>
        <v>-330500.0073834568</v>
      </c>
      <c r="L35" s="236" t="str">
        <f t="shared" si="9"/>
        <v>ok</v>
      </c>
    </row>
    <row r="36" spans="1:12">
      <c r="A36" s="152" t="s">
        <v>1338</v>
      </c>
      <c r="B36" s="149" t="s">
        <v>1337</v>
      </c>
      <c r="C36" s="150"/>
      <c r="D36" s="185">
        <f>'Allocation ProForma'!K776+'Allocation ProForma'!K784</f>
        <v>-263697.35270418273</v>
      </c>
      <c r="E36" s="252">
        <v>0</v>
      </c>
      <c r="F36" s="183">
        <v>0</v>
      </c>
      <c r="G36" s="183">
        <v>0</v>
      </c>
      <c r="H36" s="183">
        <f>(H14/($I$14+$H$14)*$D$36)</f>
        <v>-260196.56724072341</v>
      </c>
      <c r="I36" s="183">
        <f>(I14/($I$14+$H$14)*$D$36)</f>
        <v>-3500.7854634593327</v>
      </c>
      <c r="J36" s="183">
        <v>0</v>
      </c>
      <c r="K36" s="293">
        <f t="shared" si="10"/>
        <v>-263697.35270418273</v>
      </c>
      <c r="L36" s="236" t="str">
        <f t="shared" si="9"/>
        <v>ok</v>
      </c>
    </row>
    <row r="37" spans="1:12">
      <c r="A37" s="158" t="s">
        <v>1340</v>
      </c>
      <c r="B37" s="149" t="s">
        <v>1339</v>
      </c>
      <c r="C37" s="150"/>
      <c r="D37" s="185">
        <f>'Allocation ProForma'!K777+'Allocation ProForma'!K778+'Allocation ProForma'!K779+'Allocation ProForma'!K780+'Allocation ProForma'!K781+'Allocation ProForma'!K785+'Allocation ProForma'!K786+'Allocation ProForma'!K792+'Allocation ProForma'!K793+'Allocation ProForma'!K796+'Allocation ProForma'!K797+'Allocation ProForma'!K798+'Allocation ProForma'!K799+'Allocation ProForma'!K800+'Allocation ProForma'!K801+'Allocation ProForma'!K802+'Allocation ProForma'!K804+'Allocation ProForma'!K805</f>
        <v>12015.716677192431</v>
      </c>
      <c r="E37" s="252">
        <f t="shared" ref="E37:J37" si="11">(E14/($D$14)*$D$37)</f>
        <v>9267.7380224023909</v>
      </c>
      <c r="F37" s="183">
        <f t="shared" si="11"/>
        <v>541.63078663767737</v>
      </c>
      <c r="G37" s="183">
        <f>(G14/($D$14)*$D$37)</f>
        <v>950.68273871901147</v>
      </c>
      <c r="H37" s="183">
        <f t="shared" si="11"/>
        <v>1238.3459351702177</v>
      </c>
      <c r="I37" s="183">
        <f t="shared" si="11"/>
        <v>16.661186173786504</v>
      </c>
      <c r="J37" s="183">
        <f t="shared" si="11"/>
        <v>0.65800808934698474</v>
      </c>
      <c r="K37" s="293">
        <f t="shared" si="10"/>
        <v>12015.716677192429</v>
      </c>
      <c r="L37" s="236" t="str">
        <f t="shared" si="9"/>
        <v>ok</v>
      </c>
    </row>
    <row r="38" spans="1:12">
      <c r="A38" s="152"/>
      <c r="B38" s="149"/>
      <c r="C38" s="139"/>
      <c r="D38" s="266"/>
      <c r="E38" s="252"/>
      <c r="F38" s="183"/>
      <c r="G38" s="183"/>
      <c r="H38" s="183"/>
      <c r="I38" s="183"/>
      <c r="J38" s="183"/>
      <c r="K38" s="293"/>
      <c r="L38" s="236"/>
    </row>
    <row r="39" spans="1:12">
      <c r="A39" s="152" t="s">
        <v>1342</v>
      </c>
      <c r="B39" s="149" t="s">
        <v>1341</v>
      </c>
      <c r="C39" s="150"/>
      <c r="D39" s="266">
        <f>'Allocation ProForma'!K806</f>
        <v>-7421972.2854512287</v>
      </c>
      <c r="E39" s="252">
        <f>SUM(E33:E37)</f>
        <v>-89296.326689353329</v>
      </c>
      <c r="F39" s="183">
        <f>SUM(F34:F37)</f>
        <v>-6740684.9465423888</v>
      </c>
      <c r="G39" s="183">
        <f>SUM(G33:G37)</f>
        <v>-329549.32464473782</v>
      </c>
      <c r="H39" s="183">
        <f>SUM(H33:H37)</f>
        <v>-258958.22130555319</v>
      </c>
      <c r="I39" s="183">
        <f>SUM(I33:I37)</f>
        <v>-3484.1242772855462</v>
      </c>
      <c r="J39" s="183">
        <f>SUM(J33:J37)</f>
        <v>0.65800808934698474</v>
      </c>
      <c r="K39" s="293">
        <f t="shared" si="10"/>
        <v>-7421972.2854512287</v>
      </c>
      <c r="L39" s="236" t="str">
        <f t="shared" si="9"/>
        <v>ok</v>
      </c>
    </row>
    <row r="40" spans="1:12">
      <c r="A40" s="156"/>
      <c r="B40" s="149"/>
      <c r="C40" s="154"/>
      <c r="D40" s="238"/>
      <c r="E40" s="281"/>
      <c r="F40" s="186"/>
      <c r="G40" s="186"/>
      <c r="H40" s="186"/>
      <c r="I40" s="186"/>
      <c r="J40" s="186"/>
      <c r="K40" s="228"/>
      <c r="L40" s="288"/>
    </row>
    <row r="41" spans="1:12">
      <c r="A41" s="152" t="s">
        <v>1344</v>
      </c>
      <c r="B41" s="149" t="s">
        <v>1343</v>
      </c>
      <c r="C41" s="159">
        <f>'Allocation ProForma'!K975</f>
        <v>132965218.07108544</v>
      </c>
      <c r="D41" s="266">
        <f t="shared" ref="D41:J41" si="12">SUM(D28:D32)+D22+D26+D39+D24</f>
        <v>133165616.07108545</v>
      </c>
      <c r="E41" s="252">
        <f t="shared" si="12"/>
        <v>47418778.403348438</v>
      </c>
      <c r="F41" s="183">
        <f t="shared" si="12"/>
        <v>74063746.509695023</v>
      </c>
      <c r="G41" s="183">
        <f t="shared" si="12"/>
        <v>5416190.8905337881</v>
      </c>
      <c r="H41" s="183">
        <f t="shared" si="12"/>
        <v>5951355.3340796437</v>
      </c>
      <c r="I41" s="183">
        <f t="shared" si="12"/>
        <v>169186.32221288542</v>
      </c>
      <c r="J41" s="183">
        <f t="shared" si="12"/>
        <v>146358.61121563899</v>
      </c>
      <c r="K41" s="293">
        <f>SUM(E41:J41)</f>
        <v>133165616.07108542</v>
      </c>
      <c r="L41" s="236" t="str">
        <f>IF(ABS(K41-D41)&lt;0.01,"ok","err")</f>
        <v>ok</v>
      </c>
    </row>
    <row r="42" spans="1:12">
      <c r="A42" s="156"/>
      <c r="B42" s="149"/>
      <c r="C42" s="154"/>
      <c r="D42" s="267"/>
      <c r="E42" s="281"/>
      <c r="F42" s="186"/>
      <c r="G42" s="186"/>
      <c r="H42" s="186"/>
      <c r="I42" s="186"/>
      <c r="J42" s="186"/>
      <c r="K42" s="228"/>
      <c r="L42" s="288"/>
    </row>
    <row r="43" spans="1:12">
      <c r="A43" s="152" t="s">
        <v>1345</v>
      </c>
      <c r="B43" s="157" t="s">
        <v>1346</v>
      </c>
      <c r="C43" s="150"/>
      <c r="D43" s="266">
        <f>-('Allocation ProForma'!K673+'Allocation ProForma'!K674+'Allocation ProForma'!K675)</f>
        <v>441975.29800366651</v>
      </c>
      <c r="E43" s="252">
        <v>0</v>
      </c>
      <c r="F43" s="183">
        <f>D43</f>
        <v>441975.29800366651</v>
      </c>
      <c r="G43" s="183">
        <v>0</v>
      </c>
      <c r="H43" s="183">
        <v>0</v>
      </c>
      <c r="I43" s="183">
        <v>0</v>
      </c>
      <c r="J43" s="183">
        <v>0</v>
      </c>
      <c r="K43" s="293">
        <f>SUM(E43:J43)</f>
        <v>441975.29800366651</v>
      </c>
      <c r="L43" s="236" t="str">
        <f>IF(ABS(K43-D43)&lt;0.01,"ok","err")</f>
        <v>ok</v>
      </c>
    </row>
    <row r="44" spans="1:12">
      <c r="A44" s="152" t="s">
        <v>1347</v>
      </c>
      <c r="B44" s="149" t="s">
        <v>1348</v>
      </c>
      <c r="C44" s="150"/>
      <c r="D44" s="185">
        <f>-('Allocation ProForma'!K671+'Allocation ProForma'!K672+'Allocation ProForma'!K676+'Allocation ProForma'!K677+'Allocation ProForma'!K678+'Allocation ProForma'!K679)</f>
        <v>-20740721.768702272</v>
      </c>
      <c r="E44" s="252">
        <f>-('Allocation ProForma'!K671+'Allocation ProForma'!K672)-(E14/($D$14)*('Allocation ProForma'!K676+'Allocation ProForma'!K677+'Allocation ProForma'!K678+'Allocation ProForma'!K679))</f>
        <v>-20495482.84814962</v>
      </c>
      <c r="F44" s="183">
        <f>(F14/($D$14)*-('Allocation ProForma'!K676+'Allocation ProForma'!K677+'Allocation ProForma'!K678+'Allocation ProForma'!K679))</f>
        <v>-48336.965507928719</v>
      </c>
      <c r="G44" s="183">
        <f>(G14/($D$14)*-('Allocation ProForma'!K676+'Allocation ProForma'!K677+'Allocation ProForma'!K678+'Allocation ProForma'!K679))</f>
        <v>-84842.146872246187</v>
      </c>
      <c r="H44" s="183">
        <f>(H14/($D$14)*-('Allocation ProForma'!K676+'Allocation ProForma'!K677+'Allocation ProForma'!K678+'Allocation ProForma'!K679))</f>
        <v>-110514.18462896261</v>
      </c>
      <c r="I44" s="183">
        <f>(I14/($D$14)*-('Allocation ProForma'!K676+'Allocation ProForma'!K677+'Allocation ProForma'!K678+'Allocation ProForma'!K679))</f>
        <v>-1486.900673432795</v>
      </c>
      <c r="J44" s="183">
        <f>(J14/($D$14)*-('Allocation ProForma'!K676+'Allocation ProForma'!K677+'Allocation ProForma'!K678+'Allocation ProForma'!K679))</f>
        <v>-58.722870086740286</v>
      </c>
      <c r="K44" s="293">
        <f>SUM(E44:J44)</f>
        <v>-20740721.768702276</v>
      </c>
      <c r="L44" s="236" t="str">
        <f>IF(ABS(K44-D44)&lt;0.01,"ok","err")</f>
        <v>ok</v>
      </c>
    </row>
    <row r="45" spans="1:12">
      <c r="A45" s="152" t="s">
        <v>1349</v>
      </c>
      <c r="B45" s="149" t="s">
        <v>1350</v>
      </c>
      <c r="C45" s="150"/>
      <c r="D45" s="185">
        <f t="shared" ref="D45:J45" si="13">SUM(D43:D44)</f>
        <v>-20298746.470698606</v>
      </c>
      <c r="E45" s="252">
        <f t="shared" si="13"/>
        <v>-20495482.84814962</v>
      </c>
      <c r="F45" s="183">
        <f t="shared" si="13"/>
        <v>393638.33249573782</v>
      </c>
      <c r="G45" s="183">
        <f>SUM(G43:G44)</f>
        <v>-84842.146872246187</v>
      </c>
      <c r="H45" s="183">
        <f t="shared" si="13"/>
        <v>-110514.18462896261</v>
      </c>
      <c r="I45" s="183">
        <f t="shared" si="13"/>
        <v>-1486.900673432795</v>
      </c>
      <c r="J45" s="183">
        <f t="shared" si="13"/>
        <v>-58.722870086740286</v>
      </c>
      <c r="K45" s="293">
        <f>SUM(E45:J45)</f>
        <v>-20298746.47069861</v>
      </c>
      <c r="L45" s="236" t="str">
        <f>IF(ABS(K45-D45)&lt;0.01,"ok","err")</f>
        <v>ok</v>
      </c>
    </row>
    <row r="46" spans="1:12">
      <c r="A46" s="156"/>
      <c r="B46" s="149"/>
      <c r="C46" s="139"/>
      <c r="D46" s="268"/>
      <c r="E46" s="281"/>
      <c r="F46" s="186"/>
      <c r="G46" s="186"/>
      <c r="H46" s="186"/>
      <c r="I46" s="186"/>
      <c r="J46" s="186"/>
      <c r="K46" s="228"/>
      <c r="L46" s="288"/>
    </row>
    <row r="47" spans="1:12">
      <c r="A47" s="152" t="s">
        <v>1351</v>
      </c>
      <c r="B47" s="149" t="s">
        <v>1352</v>
      </c>
      <c r="C47" s="239">
        <f>'Allocation ProForma'!K975-SUM('Allocation ProForma'!K671:K679)</f>
        <v>112666471.60038683</v>
      </c>
      <c r="D47" s="266">
        <f t="shared" ref="D47:I47" si="14">D41+D45</f>
        <v>112866869.60038684</v>
      </c>
      <c r="E47" s="252">
        <f t="shared" si="14"/>
        <v>26923295.555198818</v>
      </c>
      <c r="F47" s="183">
        <f t="shared" si="14"/>
        <v>74457384.842190757</v>
      </c>
      <c r="G47" s="183">
        <f>G41+G45</f>
        <v>5331348.7436615415</v>
      </c>
      <c r="H47" s="183">
        <f t="shared" si="14"/>
        <v>5840841.1494506812</v>
      </c>
      <c r="I47" s="183">
        <f t="shared" si="14"/>
        <v>167699.42153945263</v>
      </c>
      <c r="J47" s="183">
        <f>J41+J45</f>
        <v>146299.88834555226</v>
      </c>
      <c r="K47" s="293">
        <f>SUM(E47:J47)</f>
        <v>112866869.6003868</v>
      </c>
      <c r="L47" s="236" t="str">
        <f>IF(ABS(K47-D47)&lt;0.01,"ok","err")</f>
        <v>ok</v>
      </c>
    </row>
    <row r="48" spans="1:12">
      <c r="A48" s="156"/>
      <c r="B48" s="149"/>
      <c r="C48" s="154"/>
      <c r="D48" s="183"/>
      <c r="E48" s="281"/>
      <c r="F48" s="186"/>
      <c r="G48" s="186"/>
      <c r="H48" s="186"/>
      <c r="I48" s="186"/>
      <c r="J48" s="186"/>
      <c r="K48" s="228"/>
      <c r="L48" s="288"/>
    </row>
    <row r="49" spans="1:12">
      <c r="A49" s="152" t="s">
        <v>1353</v>
      </c>
      <c r="B49" s="157" t="s">
        <v>1354</v>
      </c>
      <c r="C49" s="150"/>
      <c r="D49" s="269"/>
      <c r="E49" s="283">
        <f>899814+3560885.46222513</f>
        <v>4460699.4622251298</v>
      </c>
      <c r="F49" s="254">
        <f>'Allocation ProForma'!$K$1060</f>
        <v>1892845763</v>
      </c>
      <c r="G49" s="254">
        <f>E49</f>
        <v>4460699.4622251298</v>
      </c>
      <c r="H49" s="254">
        <f>E49</f>
        <v>4460699.4622251298</v>
      </c>
      <c r="I49" s="254">
        <f>'Allocation ProForma'!$K$1075*12</f>
        <v>1128</v>
      </c>
      <c r="J49" s="254">
        <f>'Allocation ProForma'!$K$1075*12</f>
        <v>1128</v>
      </c>
      <c r="K49" s="228"/>
      <c r="L49" s="288"/>
    </row>
    <row r="50" spans="1:12" ht="14.4" thickBot="1">
      <c r="A50" s="156"/>
      <c r="B50" s="149"/>
      <c r="C50" s="154"/>
      <c r="D50" s="268"/>
      <c r="E50" s="281"/>
      <c r="F50" s="186"/>
      <c r="G50" s="186"/>
      <c r="H50" s="186"/>
      <c r="I50" s="186"/>
      <c r="J50" s="186"/>
      <c r="K50" s="228"/>
      <c r="L50" s="288"/>
    </row>
    <row r="51" spans="1:12" ht="14.4" thickBot="1">
      <c r="A51" s="161" t="s">
        <v>1355</v>
      </c>
      <c r="B51" s="162" t="s">
        <v>1356</v>
      </c>
      <c r="C51" s="163"/>
      <c r="D51" s="270"/>
      <c r="E51" s="291">
        <f t="shared" ref="E51:J51" si="15">E47/E49</f>
        <v>6.03566677898732</v>
      </c>
      <c r="F51" s="256">
        <f t="shared" si="15"/>
        <v>3.933621338707604E-2</v>
      </c>
      <c r="G51" s="256">
        <f t="shared" si="15"/>
        <v>1.1951822329231985</v>
      </c>
      <c r="H51" s="256">
        <f t="shared" si="15"/>
        <v>1.3094002855186966</v>
      </c>
      <c r="I51" s="257">
        <f t="shared" si="15"/>
        <v>148.66969994632325</v>
      </c>
      <c r="J51" s="257">
        <f t="shared" si="15"/>
        <v>129.6984825758442</v>
      </c>
      <c r="K51" s="224">
        <f>I51+J51</f>
        <v>278.36818252216744</v>
      </c>
      <c r="L51" s="289"/>
    </row>
    <row r="53" spans="1:12">
      <c r="D53" s="208"/>
      <c r="J53" s="165" t="s">
        <v>1357</v>
      </c>
      <c r="K53" s="225">
        <f>I51+J51</f>
        <v>278.36818252216744</v>
      </c>
    </row>
    <row r="54" spans="1:12">
      <c r="I54" s="15"/>
      <c r="J54" s="165" t="s">
        <v>1358</v>
      </c>
      <c r="K54" s="241">
        <f>F51</f>
        <v>3.933621338707604E-2</v>
      </c>
    </row>
    <row r="55" spans="1:12">
      <c r="I55" s="15"/>
      <c r="J55" s="165" t="s">
        <v>1498</v>
      </c>
      <c r="K55" s="3">
        <f>E51+G51+H51</f>
        <v>8.5402492974292148</v>
      </c>
    </row>
    <row r="57" spans="1:12">
      <c r="I57" s="7"/>
      <c r="J57" s="165" t="s">
        <v>170</v>
      </c>
      <c r="K57" s="15">
        <f>(I47+J47)/J49</f>
        <v>278.36818252216744</v>
      </c>
    </row>
    <row r="58" spans="1:12" ht="14.4" thickBot="1">
      <c r="J58" s="165" t="s">
        <v>1387</v>
      </c>
      <c r="K58" s="233">
        <f>((J47+I47)*D18)/J49</f>
        <v>22.664141929881858</v>
      </c>
    </row>
    <row r="59" spans="1:12" ht="14.4" thickBot="1">
      <c r="K59" s="181">
        <f>SUM(K57:K58)</f>
        <v>301.03232445204929</v>
      </c>
    </row>
  </sheetData>
  <mergeCells count="6">
    <mergeCell ref="A1:K1"/>
    <mergeCell ref="A3:K3"/>
    <mergeCell ref="A4:K4"/>
    <mergeCell ref="A6:K6"/>
    <mergeCell ref="E9:F9"/>
    <mergeCell ref="H9:I9"/>
  </mergeCells>
  <pageMargins left="0.7" right="0.7" top="0.75" bottom="0.75" header="0.3" footer="0.3"/>
  <pageSetup scale="57" orientation="landscape" r:id="rId1"/>
  <headerFooter>
    <oddFooter>&amp;R&amp;"Times New Roman,Bold"&amp;12 Conroy Exhibit XX
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Functional Assignment</vt:lpstr>
      <vt:lpstr>Allocation ProForma</vt:lpstr>
      <vt:lpstr>Summary</vt:lpstr>
      <vt:lpstr>Summary of Returns</vt:lpstr>
      <vt:lpstr>Res Unit Costs</vt:lpstr>
      <vt:lpstr>GS Unit Costs</vt:lpstr>
      <vt:lpstr>PSP Unit Costs</vt:lpstr>
      <vt:lpstr>PSS Unit Costs</vt:lpstr>
      <vt:lpstr>TODP Unit Costs</vt:lpstr>
      <vt:lpstr>TODS Unit Costs</vt:lpstr>
      <vt:lpstr>ITODP Unit Costs</vt:lpstr>
      <vt:lpstr>ITODS Unit Costs</vt:lpstr>
      <vt:lpstr>RTS Unit Costs</vt:lpstr>
      <vt:lpstr>Billing Det</vt:lpstr>
      <vt:lpstr>Meters</vt:lpstr>
      <vt:lpstr>Services</vt:lpstr>
      <vt:lpstr>Lighting</vt:lpstr>
      <vt:lpstr>Customer Accounting</vt:lpstr>
      <vt:lpstr>'Allocation ProForma'!Print_Area</vt:lpstr>
      <vt:lpstr>'Billing Det'!Print_Area</vt:lpstr>
      <vt:lpstr>'Functional Assignment'!Print_Area</vt:lpstr>
      <vt:lpstr>'GS Unit Costs'!Print_Area</vt:lpstr>
      <vt:lpstr>'ITODP Unit Costs'!Print_Area</vt:lpstr>
      <vt:lpstr>'ITODS Unit Costs'!Print_Area</vt:lpstr>
      <vt:lpstr>'PSP Unit Costs'!Print_Area</vt:lpstr>
      <vt:lpstr>'PSS Unit Costs'!Print_Area</vt:lpstr>
      <vt:lpstr>'Res Unit Costs'!Print_Area</vt:lpstr>
      <vt:lpstr>'RTS Unit Costs'!Print_Area</vt:lpstr>
      <vt:lpstr>Summary!Print_Area</vt:lpstr>
      <vt:lpstr>'Summary of Returns'!Print_Area</vt:lpstr>
      <vt:lpstr>'TODP Unit Costs'!Print_Area</vt:lpstr>
      <vt:lpstr>'TODS Unit Costs'!Print_Area</vt:lpstr>
      <vt:lpstr>'Allocation ProForma'!Print_Titles</vt:lpstr>
      <vt:lpstr>'Billing Det'!Print_Titles</vt:lpstr>
      <vt:lpstr>'Functional Assignment'!Print_Titles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Wernert, Jeff</dc:creator>
  <cp:lastModifiedBy>Steve</cp:lastModifiedBy>
  <cp:lastPrinted>2012-06-14T18:25:31Z</cp:lastPrinted>
  <dcterms:created xsi:type="dcterms:W3CDTF">1999-02-10T22:20:33Z</dcterms:created>
  <dcterms:modified xsi:type="dcterms:W3CDTF">2012-09-28T13:43:30Z</dcterms:modified>
</cp:coreProperties>
</file>