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5" yWindow="225" windowWidth="3195" windowHeight="3255" tabRatio="839" activeTab="1"/>
  </bookViews>
  <sheets>
    <sheet name="Inputs" sheetId="185" r:id="rId1"/>
    <sheet name="Ex 1" sheetId="52" r:id="rId2"/>
    <sheet name="Ex 2" sheetId="247" r:id="rId3"/>
    <sheet name="Ex 3" sheetId="179" r:id="rId4"/>
    <sheet name="SuppSch-Ex 3(Page1,2)" sheetId="176" r:id="rId5"/>
    <sheet name="SuppSch-Ex 3(Page3)" sheetId="177" r:id="rId6"/>
    <sheet name="Ex 4 (Page1)" sheetId="225" r:id="rId7"/>
    <sheet name="SuppSch-Ex 4 (Page2)" sheetId="265" r:id="rId8"/>
    <sheet name="Ex 5" sheetId="224" r:id="rId9"/>
    <sheet name="EX 6" sheetId="198" r:id="rId10"/>
    <sheet name="Ex 7" sheetId="197" r:id="rId11"/>
    <sheet name="Ex 8" sheetId="63" r:id="rId12"/>
    <sheet name="Ex 9" sheetId="168" r:id="rId13"/>
    <sheet name="1.00" sheetId="90" r:id="rId14"/>
    <sheet name="1.01" sheetId="91" r:id="rId15"/>
    <sheet name="1.02" sheetId="187" r:id="rId16"/>
    <sheet name="1.03" sheetId="301" r:id="rId17"/>
    <sheet name="1.04" sheetId="299" r:id="rId18"/>
    <sheet name="1.05" sheetId="127" r:id="rId19"/>
    <sheet name="1.06" sheetId="98" r:id="rId20"/>
    <sheet name="1.07" sheetId="123" r:id="rId21"/>
    <sheet name="1.08" sheetId="96" r:id="rId22"/>
    <sheet name="1.09" sheetId="300" state="hidden" r:id="rId23"/>
    <sheet name="1.09 Updated" sheetId="311" r:id="rId24"/>
    <sheet name="1.10" sheetId="100" r:id="rId25"/>
    <sheet name="1.11" sheetId="262" r:id="rId26"/>
    <sheet name="1.12" sheetId="266" state="hidden" r:id="rId27"/>
    <sheet name="1.13" sheetId="255" state="hidden" r:id="rId28"/>
    <sheet name="1.12 Revised" sheetId="313" r:id="rId29"/>
    <sheet name="113 Revised" sheetId="305" r:id="rId30"/>
    <sheet name="1.14" sheetId="234" r:id="rId31"/>
    <sheet name="1.15" sheetId="269" state="hidden" r:id="rId32"/>
    <sheet name="1.15 Revised" sheetId="312" r:id="rId33"/>
    <sheet name="1.16" sheetId="146" r:id="rId34"/>
    <sheet name="1.17" sheetId="106" state="hidden" r:id="rId35"/>
    <sheet name="1.17 Revised" sheetId="309" r:id="rId36"/>
    <sheet name="1.18" sheetId="295" state="hidden" r:id="rId37"/>
    <sheet name="1.18 Revised" sheetId="314" r:id="rId38"/>
    <sheet name="1.19" sheetId="201" r:id="rId39"/>
    <sheet name="1.20" sheetId="298" r:id="rId40"/>
    <sheet name="1.21" sheetId="296" r:id="rId41"/>
    <sheet name="1.22" sheetId="297" r:id="rId42"/>
    <sheet name="1.23" sheetId="189" state="hidden" r:id="rId43"/>
    <sheet name="1.23 Revised" sheetId="315" r:id="rId44"/>
    <sheet name="1.24-1.28" sheetId="232" r:id="rId45"/>
    <sheet name="1.29" sheetId="35" r:id="rId46"/>
    <sheet name="1.30" sheetId="248" r:id="rId47"/>
    <sheet name="1.31" sheetId="275" r:id="rId48"/>
    <sheet name="1.32" sheetId="303" r:id="rId49"/>
    <sheet name="1.33" sheetId="302" r:id="rId50"/>
    <sheet name="1.34" sheetId="56" r:id="rId51"/>
    <sheet name="1.35 New" sheetId="310" r:id="rId52"/>
    <sheet name="Allocators" sheetId="136" r:id="rId53"/>
  </sheets>
  <definedNames>
    <definedName name="\\" localSheetId="15" hidden="1">#REF!</definedName>
    <definedName name="\\" localSheetId="16" hidden="1">#REF!</definedName>
    <definedName name="\\" localSheetId="17" hidden="1">#REF!</definedName>
    <definedName name="\\" localSheetId="22" hidden="1">#REF!</definedName>
    <definedName name="\\" localSheetId="23" hidden="1">#REF!</definedName>
    <definedName name="\\" localSheetId="26" hidden="1">#REF!</definedName>
    <definedName name="\\" localSheetId="28" hidden="1">#REF!</definedName>
    <definedName name="\\" localSheetId="31" hidden="1">#REF!</definedName>
    <definedName name="\\" localSheetId="32" hidden="1">#REF!</definedName>
    <definedName name="\\" localSheetId="35" hidden="1">#REF!</definedName>
    <definedName name="\\" localSheetId="36" hidden="1">#REF!</definedName>
    <definedName name="\\" localSheetId="37" hidden="1">#REF!</definedName>
    <definedName name="\\" localSheetId="38" hidden="1">#REF!</definedName>
    <definedName name="\\" localSheetId="41" hidden="1">#REF!</definedName>
    <definedName name="\\" localSheetId="42" hidden="1">#REF!</definedName>
    <definedName name="\\" localSheetId="43" hidden="1">#REF!</definedName>
    <definedName name="\\" localSheetId="44" hidden="1">#REF!</definedName>
    <definedName name="\\" localSheetId="47" hidden="1">#REF!</definedName>
    <definedName name="\\" localSheetId="48" hidden="1">#REF!</definedName>
    <definedName name="\\" localSheetId="49" hidden="1">#REF!</definedName>
    <definedName name="\\" localSheetId="51" hidden="1">#REF!</definedName>
    <definedName name="\\" localSheetId="9" hidden="1">#REF!</definedName>
    <definedName name="\\" localSheetId="10" hidden="1">#REF!</definedName>
    <definedName name="\\" localSheetId="7" hidden="1">#REF!</definedName>
    <definedName name="\\" hidden="1">#REF!</definedName>
    <definedName name="\\\" localSheetId="15" hidden="1">#REF!</definedName>
    <definedName name="\\\" localSheetId="16" hidden="1">#REF!</definedName>
    <definedName name="\\\" localSheetId="17" hidden="1">#REF!</definedName>
    <definedName name="\\\" localSheetId="22" hidden="1">#REF!</definedName>
    <definedName name="\\\" localSheetId="23" hidden="1">#REF!</definedName>
    <definedName name="\\\" localSheetId="26" hidden="1">#REF!</definedName>
    <definedName name="\\\" localSheetId="28" hidden="1">#REF!</definedName>
    <definedName name="\\\" localSheetId="31" hidden="1">#REF!</definedName>
    <definedName name="\\\" localSheetId="32" hidden="1">#REF!</definedName>
    <definedName name="\\\" localSheetId="35" hidden="1">#REF!</definedName>
    <definedName name="\\\" localSheetId="36" hidden="1">#REF!</definedName>
    <definedName name="\\\" localSheetId="37" hidden="1">#REF!</definedName>
    <definedName name="\\\" localSheetId="38" hidden="1">#REF!</definedName>
    <definedName name="\\\" localSheetId="41" hidden="1">#REF!</definedName>
    <definedName name="\\\" localSheetId="42" hidden="1">#REF!</definedName>
    <definedName name="\\\" localSheetId="43" hidden="1">#REF!</definedName>
    <definedName name="\\\" localSheetId="44" hidden="1">#REF!</definedName>
    <definedName name="\\\" localSheetId="47" hidden="1">#REF!</definedName>
    <definedName name="\\\" localSheetId="48" hidden="1">#REF!</definedName>
    <definedName name="\\\" localSheetId="49" hidden="1">#REF!</definedName>
    <definedName name="\\\" localSheetId="51" hidden="1">#REF!</definedName>
    <definedName name="\\\" localSheetId="9" hidden="1">#REF!</definedName>
    <definedName name="\\\" localSheetId="10" hidden="1">#REF!</definedName>
    <definedName name="\\\" localSheetId="7" hidden="1">#REF!</definedName>
    <definedName name="\\\" hidden="1">#REF!</definedName>
    <definedName name="\\\\" localSheetId="15" hidden="1">#REF!</definedName>
    <definedName name="\\\\" localSheetId="16" hidden="1">#REF!</definedName>
    <definedName name="\\\\" localSheetId="17" hidden="1">#REF!</definedName>
    <definedName name="\\\\" localSheetId="22" hidden="1">#REF!</definedName>
    <definedName name="\\\\" localSheetId="23" hidden="1">#REF!</definedName>
    <definedName name="\\\\" localSheetId="26" hidden="1">#REF!</definedName>
    <definedName name="\\\\" localSheetId="28" hidden="1">#REF!</definedName>
    <definedName name="\\\\" localSheetId="31" hidden="1">#REF!</definedName>
    <definedName name="\\\\" localSheetId="32" hidden="1">#REF!</definedName>
    <definedName name="\\\\" localSheetId="35" hidden="1">#REF!</definedName>
    <definedName name="\\\\" localSheetId="36" hidden="1">#REF!</definedName>
    <definedName name="\\\\" localSheetId="37" hidden="1">#REF!</definedName>
    <definedName name="\\\\" localSheetId="38" hidden="1">#REF!</definedName>
    <definedName name="\\\\" localSheetId="41" hidden="1">#REF!</definedName>
    <definedName name="\\\\" localSheetId="42" hidden="1">#REF!</definedName>
    <definedName name="\\\\" localSheetId="43" hidden="1">#REF!</definedName>
    <definedName name="\\\\" localSheetId="44" hidden="1">#REF!</definedName>
    <definedName name="\\\\" localSheetId="46" hidden="1">#REF!</definedName>
    <definedName name="\\\\" localSheetId="47" hidden="1">#REF!</definedName>
    <definedName name="\\\\" localSheetId="48" hidden="1">#REF!</definedName>
    <definedName name="\\\\" localSheetId="49" hidden="1">#REF!</definedName>
    <definedName name="\\\\" localSheetId="51" hidden="1">#REF!</definedName>
    <definedName name="\\\\" localSheetId="2" hidden="1">#REF!</definedName>
    <definedName name="\\\\" localSheetId="9" hidden="1">#REF!</definedName>
    <definedName name="\\\\" localSheetId="10" hidden="1">#REF!</definedName>
    <definedName name="\\\\" localSheetId="7" hidden="1">#REF!</definedName>
    <definedName name="\\\\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localSheetId="22" hidden="1">#REF!</definedName>
    <definedName name="__123Graph_A" localSheetId="23" hidden="1">#REF!</definedName>
    <definedName name="__123Graph_A" localSheetId="25" hidden="1">#REF!</definedName>
    <definedName name="__123Graph_A" localSheetId="26" hidden="1">#REF!</definedName>
    <definedName name="__123Graph_A" localSheetId="28" hidden="1">#REF!</definedName>
    <definedName name="__123Graph_A" localSheetId="31" hidden="1">#REF!</definedName>
    <definedName name="__123Graph_A" localSheetId="32" hidden="1">#REF!</definedName>
    <definedName name="__123Graph_A" localSheetId="35" hidden="1">#REF!</definedName>
    <definedName name="__123Graph_A" localSheetId="36" hidden="1">#REF!</definedName>
    <definedName name="__123Graph_A" localSheetId="37" hidden="1">#REF!</definedName>
    <definedName name="__123Graph_A" localSheetId="38" hidden="1">#REF!</definedName>
    <definedName name="__123Graph_A" localSheetId="41" hidden="1">#REF!</definedName>
    <definedName name="__123Graph_A" localSheetId="42" hidden="1">#REF!</definedName>
    <definedName name="__123Graph_A" localSheetId="43" hidden="1">#REF!</definedName>
    <definedName name="__123Graph_A" localSheetId="44" hidden="1">#REF!</definedName>
    <definedName name="__123Graph_A" localSheetId="47" hidden="1">#REF!</definedName>
    <definedName name="__123Graph_A" localSheetId="48" hidden="1">#REF!</definedName>
    <definedName name="__123Graph_A" localSheetId="49" hidden="1">#REF!</definedName>
    <definedName name="__123Graph_A" localSheetId="51" hidden="1">#REF!</definedName>
    <definedName name="__123Graph_A" localSheetId="1" hidden="1">'Ex 1'!#REF!</definedName>
    <definedName name="__123Graph_A" localSheetId="2" hidden="1">'Ex 2'!#REF!</definedName>
    <definedName name="__123Graph_A" localSheetId="9" hidden="1">#REF!</definedName>
    <definedName name="__123Graph_A" localSheetId="10" hidden="1">#REF!</definedName>
    <definedName name="__123Graph_A" localSheetId="7" hidden="1">#REF!</definedName>
    <definedName name="__123Graph_A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localSheetId="22" hidden="1">#REF!</definedName>
    <definedName name="__123Graph_B" localSheetId="23" hidden="1">#REF!</definedName>
    <definedName name="__123Graph_B" localSheetId="25" hidden="1">#REF!</definedName>
    <definedName name="__123Graph_B" localSheetId="26" hidden="1">#REF!</definedName>
    <definedName name="__123Graph_B" localSheetId="28" hidden="1">#REF!</definedName>
    <definedName name="__123Graph_B" localSheetId="31" hidden="1">#REF!</definedName>
    <definedName name="__123Graph_B" localSheetId="32" hidden="1">#REF!</definedName>
    <definedName name="__123Graph_B" localSheetId="35" hidden="1">#REF!</definedName>
    <definedName name="__123Graph_B" localSheetId="36" hidden="1">#REF!</definedName>
    <definedName name="__123Graph_B" localSheetId="37" hidden="1">#REF!</definedName>
    <definedName name="__123Graph_B" localSheetId="38" hidden="1">#REF!</definedName>
    <definedName name="__123Graph_B" localSheetId="41" hidden="1">#REF!</definedName>
    <definedName name="__123Graph_B" localSheetId="42" hidden="1">#REF!</definedName>
    <definedName name="__123Graph_B" localSheetId="43" hidden="1">#REF!</definedName>
    <definedName name="__123Graph_B" localSheetId="44" hidden="1">#REF!</definedName>
    <definedName name="__123Graph_B" localSheetId="47" hidden="1">#REF!</definedName>
    <definedName name="__123Graph_B" localSheetId="48" hidden="1">#REF!</definedName>
    <definedName name="__123Graph_B" localSheetId="49" hidden="1">#REF!</definedName>
    <definedName name="__123Graph_B" localSheetId="51" hidden="1">#REF!</definedName>
    <definedName name="__123Graph_B" localSheetId="1" hidden="1">'Ex 1'!#REF!</definedName>
    <definedName name="__123Graph_B" localSheetId="2" hidden="1">'Ex 2'!#REF!</definedName>
    <definedName name="__123Graph_B" localSheetId="9" hidden="1">#REF!</definedName>
    <definedName name="__123Graph_B" localSheetId="10" hidden="1">#REF!</definedName>
    <definedName name="__123Graph_B" localSheetId="7" hidden="1">#REF!</definedName>
    <definedName name="__123Graph_B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22" hidden="1">#REF!</definedName>
    <definedName name="__123Graph_C" localSheetId="23" hidden="1">#REF!</definedName>
    <definedName name="__123Graph_C" localSheetId="25" hidden="1">#REF!</definedName>
    <definedName name="__123Graph_C" localSheetId="26" hidden="1">#REF!</definedName>
    <definedName name="__123Graph_C" localSheetId="28" hidden="1">#REF!</definedName>
    <definedName name="__123Graph_C" localSheetId="31" hidden="1">#REF!</definedName>
    <definedName name="__123Graph_C" localSheetId="32" hidden="1">#REF!</definedName>
    <definedName name="__123Graph_C" localSheetId="35" hidden="1">#REF!</definedName>
    <definedName name="__123Graph_C" localSheetId="36" hidden="1">#REF!</definedName>
    <definedName name="__123Graph_C" localSheetId="37" hidden="1">#REF!</definedName>
    <definedName name="__123Graph_C" localSheetId="38" hidden="1">#REF!</definedName>
    <definedName name="__123Graph_C" localSheetId="41" hidden="1">#REF!</definedName>
    <definedName name="__123Graph_C" localSheetId="42" hidden="1">#REF!</definedName>
    <definedName name="__123Graph_C" localSheetId="43" hidden="1">#REF!</definedName>
    <definedName name="__123Graph_C" localSheetId="44" hidden="1">#REF!</definedName>
    <definedName name="__123Graph_C" localSheetId="46" hidden="1">#REF!</definedName>
    <definedName name="__123Graph_C" localSheetId="47" hidden="1">#REF!</definedName>
    <definedName name="__123Graph_C" localSheetId="48" hidden="1">#REF!</definedName>
    <definedName name="__123Graph_C" localSheetId="49" hidden="1">#REF!</definedName>
    <definedName name="__123Graph_C" localSheetId="51" hidden="1">#REF!</definedName>
    <definedName name="__123Graph_C" localSheetId="1" hidden="1">'Ex 1'!#REF!</definedName>
    <definedName name="__123Graph_C" localSheetId="2" hidden="1">'Ex 2'!#REF!</definedName>
    <definedName name="__123Graph_C" localSheetId="9" hidden="1">#REF!</definedName>
    <definedName name="__123Graph_C" localSheetId="10" hidden="1">#REF!</definedName>
    <definedName name="__123Graph_C" localSheetId="7" hidden="1">#REF!</definedName>
    <definedName name="__123Graph_C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localSheetId="22" hidden="1">#REF!</definedName>
    <definedName name="__123Graph_D" localSheetId="23" hidden="1">#REF!</definedName>
    <definedName name="__123Graph_D" localSheetId="25" hidden="1">#REF!</definedName>
    <definedName name="__123Graph_D" localSheetId="26" hidden="1">#REF!</definedName>
    <definedName name="__123Graph_D" localSheetId="28" hidden="1">#REF!</definedName>
    <definedName name="__123Graph_D" localSheetId="31" hidden="1">#REF!</definedName>
    <definedName name="__123Graph_D" localSheetId="32" hidden="1">#REF!</definedName>
    <definedName name="__123Graph_D" localSheetId="35" hidden="1">#REF!</definedName>
    <definedName name="__123Graph_D" localSheetId="36" hidden="1">#REF!</definedName>
    <definedName name="__123Graph_D" localSheetId="37" hidden="1">#REF!</definedName>
    <definedName name="__123Graph_D" localSheetId="38" hidden="1">#REF!</definedName>
    <definedName name="__123Graph_D" localSheetId="41" hidden="1">#REF!</definedName>
    <definedName name="__123Graph_D" localSheetId="42" hidden="1">#REF!</definedName>
    <definedName name="__123Graph_D" localSheetId="43" hidden="1">#REF!</definedName>
    <definedName name="__123Graph_D" localSheetId="44" hidden="1">#REF!</definedName>
    <definedName name="__123Graph_D" localSheetId="47" hidden="1">#REF!</definedName>
    <definedName name="__123Graph_D" localSheetId="48" hidden="1">#REF!</definedName>
    <definedName name="__123Graph_D" localSheetId="49" hidden="1">#REF!</definedName>
    <definedName name="__123Graph_D" localSheetId="51" hidden="1">#REF!</definedName>
    <definedName name="__123Graph_D" localSheetId="1" hidden="1">'Ex 1'!#REF!</definedName>
    <definedName name="__123Graph_D" localSheetId="2" hidden="1">'Ex 2'!#REF!</definedName>
    <definedName name="__123Graph_D" localSheetId="9" hidden="1">#REF!</definedName>
    <definedName name="__123Graph_D" localSheetId="10" hidden="1">#REF!</definedName>
    <definedName name="__123Graph_D" localSheetId="7" hidden="1">#REF!</definedName>
    <definedName name="__123Graph_D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22" hidden="1">#REF!</definedName>
    <definedName name="__123Graph_E" localSheetId="23" hidden="1">#REF!</definedName>
    <definedName name="__123Graph_E" localSheetId="25" hidden="1">#REF!</definedName>
    <definedName name="__123Graph_E" localSheetId="26" hidden="1">#REF!</definedName>
    <definedName name="__123Graph_E" localSheetId="28" hidden="1">#REF!</definedName>
    <definedName name="__123Graph_E" localSheetId="31" hidden="1">#REF!</definedName>
    <definedName name="__123Graph_E" localSheetId="32" hidden="1">#REF!</definedName>
    <definedName name="__123Graph_E" localSheetId="35" hidden="1">#REF!</definedName>
    <definedName name="__123Graph_E" localSheetId="36" hidden="1">#REF!</definedName>
    <definedName name="__123Graph_E" localSheetId="37" hidden="1">#REF!</definedName>
    <definedName name="__123Graph_E" localSheetId="38" hidden="1">#REF!</definedName>
    <definedName name="__123Graph_E" localSheetId="41" hidden="1">#REF!</definedName>
    <definedName name="__123Graph_E" localSheetId="42" hidden="1">#REF!</definedName>
    <definedName name="__123Graph_E" localSheetId="43" hidden="1">#REF!</definedName>
    <definedName name="__123Graph_E" localSheetId="44" hidden="1">#REF!</definedName>
    <definedName name="__123Graph_E" localSheetId="46" hidden="1">#REF!</definedName>
    <definedName name="__123Graph_E" localSheetId="47" hidden="1">#REF!</definedName>
    <definedName name="__123Graph_E" localSheetId="48" hidden="1">#REF!</definedName>
    <definedName name="__123Graph_E" localSheetId="49" hidden="1">#REF!</definedName>
    <definedName name="__123Graph_E" localSheetId="51" hidden="1">#REF!</definedName>
    <definedName name="__123Graph_E" localSheetId="1" hidden="1">'Ex 1'!#REF!</definedName>
    <definedName name="__123Graph_E" localSheetId="2" hidden="1">'Ex 2'!#REF!</definedName>
    <definedName name="__123Graph_E" localSheetId="9" hidden="1">#REF!</definedName>
    <definedName name="__123Graph_E" localSheetId="10" hidden="1">#REF!</definedName>
    <definedName name="__123Graph_E" localSheetId="7" hidden="1">#REF!</definedName>
    <definedName name="__123Graph_E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22" hidden="1">#REF!</definedName>
    <definedName name="__123Graph_F" localSheetId="23" hidden="1">#REF!</definedName>
    <definedName name="__123Graph_F" localSheetId="25" hidden="1">#REF!</definedName>
    <definedName name="__123Graph_F" localSheetId="26" hidden="1">#REF!</definedName>
    <definedName name="__123Graph_F" localSheetId="28" hidden="1">#REF!</definedName>
    <definedName name="__123Graph_F" localSheetId="31" hidden="1">#REF!</definedName>
    <definedName name="__123Graph_F" localSheetId="32" hidden="1">#REF!</definedName>
    <definedName name="__123Graph_F" localSheetId="35" hidden="1">#REF!</definedName>
    <definedName name="__123Graph_F" localSheetId="36" hidden="1">#REF!</definedName>
    <definedName name="__123Graph_F" localSheetId="37" hidden="1">#REF!</definedName>
    <definedName name="__123Graph_F" localSheetId="38" hidden="1">#REF!</definedName>
    <definedName name="__123Graph_F" localSheetId="41" hidden="1">#REF!</definedName>
    <definedName name="__123Graph_F" localSheetId="42" hidden="1">#REF!</definedName>
    <definedName name="__123Graph_F" localSheetId="43" hidden="1">#REF!</definedName>
    <definedName name="__123Graph_F" localSheetId="44" hidden="1">#REF!</definedName>
    <definedName name="__123Graph_F" localSheetId="47" hidden="1">#REF!</definedName>
    <definedName name="__123Graph_F" localSheetId="48" hidden="1">#REF!</definedName>
    <definedName name="__123Graph_F" localSheetId="49" hidden="1">#REF!</definedName>
    <definedName name="__123Graph_F" localSheetId="51" hidden="1">#REF!</definedName>
    <definedName name="__123Graph_F" localSheetId="1" hidden="1">'Ex 1'!#REF!</definedName>
    <definedName name="__123Graph_F" localSheetId="2" hidden="1">'Ex 2'!#REF!</definedName>
    <definedName name="__123Graph_F" localSheetId="9" hidden="1">#REF!</definedName>
    <definedName name="__123Graph_F" localSheetId="10" hidden="1">#REF!</definedName>
    <definedName name="__123Graph_F" localSheetId="7" hidden="1">#REF!</definedName>
    <definedName name="__123Graph_F" hidden="1">#REF!</definedName>
    <definedName name="__123Graph_X" localSheetId="15" hidden="1">#REF!</definedName>
    <definedName name="__123Graph_X" localSheetId="16" hidden="1">#REF!</definedName>
    <definedName name="__123Graph_X" localSheetId="17" hidden="1">#REF!</definedName>
    <definedName name="__123Graph_X" localSheetId="22" hidden="1">#REF!</definedName>
    <definedName name="__123Graph_X" localSheetId="23" hidden="1">#REF!</definedName>
    <definedName name="__123Graph_X" localSheetId="25" hidden="1">#REF!</definedName>
    <definedName name="__123Graph_X" localSheetId="26" hidden="1">#REF!</definedName>
    <definedName name="__123Graph_X" localSheetId="28" hidden="1">#REF!</definedName>
    <definedName name="__123Graph_X" localSheetId="31" hidden="1">#REF!</definedName>
    <definedName name="__123Graph_X" localSheetId="32" hidden="1">#REF!</definedName>
    <definedName name="__123Graph_X" localSheetId="35" hidden="1">#REF!</definedName>
    <definedName name="__123Graph_X" localSheetId="36" hidden="1">#REF!</definedName>
    <definedName name="__123Graph_X" localSheetId="37" hidden="1">#REF!</definedName>
    <definedName name="__123Graph_X" localSheetId="38" hidden="1">#REF!</definedName>
    <definedName name="__123Graph_X" localSheetId="41" hidden="1">#REF!</definedName>
    <definedName name="__123Graph_X" localSheetId="42" hidden="1">#REF!</definedName>
    <definedName name="__123Graph_X" localSheetId="43" hidden="1">#REF!</definedName>
    <definedName name="__123Graph_X" localSheetId="44" hidden="1">#REF!</definedName>
    <definedName name="__123Graph_X" localSheetId="47" hidden="1">#REF!</definedName>
    <definedName name="__123Graph_X" localSheetId="48" hidden="1">#REF!</definedName>
    <definedName name="__123Graph_X" localSheetId="49" hidden="1">#REF!</definedName>
    <definedName name="__123Graph_X" localSheetId="51" hidden="1">#REF!</definedName>
    <definedName name="__123Graph_X" localSheetId="1" hidden="1">'Ex 1'!#REF!</definedName>
    <definedName name="__123Graph_X" localSheetId="2" hidden="1">'Ex 2'!#REF!</definedName>
    <definedName name="__123Graph_X" localSheetId="9" hidden="1">#REF!</definedName>
    <definedName name="__123Graph_X" localSheetId="10" hidden="1">#REF!</definedName>
    <definedName name="__123Graph_X" localSheetId="7" hidden="1">#REF!</definedName>
    <definedName name="__123Graph_X" hidden="1">#REF!</definedName>
    <definedName name="_Fill" localSheetId="16" hidden="1">#REF!</definedName>
    <definedName name="_Fill" localSheetId="22" hidden="1">#REF!</definedName>
    <definedName name="_Fill" localSheetId="23" hidden="1">#REF!</definedName>
    <definedName name="_Fill" localSheetId="28" hidden="1">#REF!</definedName>
    <definedName name="_Fill" localSheetId="32" hidden="1">#REF!</definedName>
    <definedName name="_Fill" localSheetId="35" hidden="1">#REF!</definedName>
    <definedName name="_Fill" localSheetId="36" hidden="1">#REF!</definedName>
    <definedName name="_Fill" localSheetId="37" hidden="1">#REF!</definedName>
    <definedName name="_Fill" localSheetId="41" hidden="1">#REF!</definedName>
    <definedName name="_Fill" localSheetId="43" hidden="1">#REF!</definedName>
    <definedName name="_Fill" localSheetId="49" hidden="1">#REF!</definedName>
    <definedName name="_Fill" hidden="1">#REF!</definedName>
    <definedName name="_Order1" hidden="1">0</definedName>
    <definedName name="_Order2" hidden="1">0</definedName>
    <definedName name="Choices_Wrapper" localSheetId="16">#N/A</definedName>
    <definedName name="Choices_Wrapper" localSheetId="17">'1.04'!Choices_Wrapper</definedName>
    <definedName name="Choices_Wrapper" localSheetId="23">'1.09 Updated'!Choices_Wrapper</definedName>
    <definedName name="Choices_Wrapper" localSheetId="39">'1.20'!Choices_Wrapper</definedName>
    <definedName name="Choices_Wrapper" localSheetId="40">'1.21'!Choices_Wrapper</definedName>
    <definedName name="Choices_Wrapper" localSheetId="41">'1.22'!Choices_Wrapper</definedName>
    <definedName name="Choices_Wrapper" localSheetId="48">#N/A</definedName>
    <definedName name="Choices_Wrapper" localSheetId="51">'1.35 New'!Choices_Wrapper</definedName>
    <definedName name="Choices_Wrapper">'1.03'!Choices_Wrapper</definedName>
    <definedName name="Comp" localSheetId="16">#N/A</definedName>
    <definedName name="Comp" localSheetId="17">'1.04'!Comp</definedName>
    <definedName name="Comp" localSheetId="23">'1.09 Updated'!Comp</definedName>
    <definedName name="Comp" localSheetId="39">'1.20'!Comp</definedName>
    <definedName name="Comp" localSheetId="40">'1.21'!Comp</definedName>
    <definedName name="Comp" localSheetId="41">'1.22'!Comp</definedName>
    <definedName name="Comp" localSheetId="48">#N/A</definedName>
    <definedName name="Comp" localSheetId="51">'1.35 New'!Comp</definedName>
    <definedName name="Comp">'1.03'!Comp</definedName>
    <definedName name="_xlnm.Print_Area" localSheetId="13">'1.00'!$A$3:$F$21</definedName>
    <definedName name="_xlnm.Print_Area" localSheetId="14">'1.01'!$A$3:$F$38</definedName>
    <definedName name="_xlnm.Print_Area" localSheetId="15">'1.02'!$A$3:$B$27</definedName>
    <definedName name="_xlnm.Print_Area" localSheetId="16">'1.03'!$A$3:$C$23</definedName>
    <definedName name="_xlnm.Print_Area" localSheetId="17">'1.04'!$A$3:$O$44</definedName>
    <definedName name="_xlnm.Print_Area" localSheetId="18">'1.05'!$A$3:$G$85</definedName>
    <definedName name="_xlnm.Print_Area" localSheetId="19">'1.06'!$A$3:$E$20</definedName>
    <definedName name="_xlnm.Print_Area" localSheetId="20">'1.07'!$A$3:$G$26</definedName>
    <definedName name="_xlnm.Print_Area" localSheetId="21">'1.08'!$A$3:$C$44</definedName>
    <definedName name="_xlnm.Print_Area" localSheetId="22">'1.09'!$A$3:$C$32</definedName>
    <definedName name="_xlnm.Print_Area" localSheetId="23">'1.09 Updated'!$A$3:$C$32</definedName>
    <definedName name="_xlnm.Print_Area" localSheetId="24">'1.10'!$A$3:$B$21</definedName>
    <definedName name="_xlnm.Print_Area" localSheetId="25">'1.11'!$A$3:$F$34</definedName>
    <definedName name="_xlnm.Print_Area" localSheetId="26">'1.12'!$A$3:$B$34</definedName>
    <definedName name="_xlnm.Print_Area" localSheetId="28">'1.12 Revised'!$A$3:$B$36</definedName>
    <definedName name="_xlnm.Print_Area" localSheetId="27">'1.13'!$A$3:$H$146</definedName>
    <definedName name="_xlnm.Print_Area" localSheetId="30">'1.14'!$A$1:$I$26</definedName>
    <definedName name="_xlnm.Print_Area" localSheetId="31">'1.15'!$A$3:$F$47</definedName>
    <definedName name="_xlnm.Print_Area" localSheetId="32">'1.15 Revised'!$A$3:$F$47</definedName>
    <definedName name="_xlnm.Print_Area" localSheetId="33">'1.16'!$A$3:$H$43</definedName>
    <definedName name="_xlnm.Print_Area" localSheetId="34">'1.17'!$A$3:$B$31</definedName>
    <definedName name="_xlnm.Print_Area" localSheetId="35">'1.17 Revised'!$A$3:$B$31</definedName>
    <definedName name="_xlnm.Print_Area" localSheetId="36">'1.18'!$A$3:$D$28</definedName>
    <definedName name="_xlnm.Print_Area" localSheetId="37">'1.18 Revised'!$A$3:$D$28</definedName>
    <definedName name="_xlnm.Print_Area" localSheetId="38">'1.19'!$A$3:$G$26</definedName>
    <definedName name="_xlnm.Print_Area" localSheetId="39">'1.20'!$A$3:$D$26</definedName>
    <definedName name="_xlnm.Print_Area" localSheetId="40">'1.21'!$A$3:$F$38</definedName>
    <definedName name="_xlnm.Print_Area" localSheetId="41">'1.22'!$A$3:$C$26</definedName>
    <definedName name="_xlnm.Print_Area" localSheetId="42">'1.23'!$A$3:$E$40</definedName>
    <definedName name="_xlnm.Print_Area" localSheetId="43">'1.23 Revised'!$A$3:$E$40</definedName>
    <definedName name="_xlnm.Print_Area" localSheetId="44">'1.24-1.28'!$A$3:$H$11</definedName>
    <definedName name="_xlnm.Print_Area" localSheetId="45">'1.29'!$A$3:$G$53</definedName>
    <definedName name="_xlnm.Print_Area" localSheetId="46">'1.30'!$A$3:$G$28</definedName>
    <definedName name="_xlnm.Print_Area" localSheetId="47">'1.31'!$A$3:$J$34</definedName>
    <definedName name="_xlnm.Print_Area" localSheetId="48">'1.32'!$A$3:$G$25</definedName>
    <definedName name="_xlnm.Print_Area" localSheetId="49">'1.33'!$A$3:$H$11</definedName>
    <definedName name="_xlnm.Print_Area" localSheetId="50">'1.34'!$A$3:$G$40</definedName>
    <definedName name="_xlnm.Print_Area" localSheetId="51">'1.35 New'!$A$3:$H$26</definedName>
    <definedName name="_xlnm.Print_Area" localSheetId="52">Allocators!$A$3:$E$47</definedName>
    <definedName name="_xlnm.Print_Area" localSheetId="2">'Ex 2'!$A$1:$W$49</definedName>
    <definedName name="_xlnm.Print_Area" localSheetId="6">'Ex 4 (Page1)'!$A$1:$H$46</definedName>
    <definedName name="_xlnm.Print_Area" localSheetId="4">'SuppSch-Ex 3(Page1,2)'!$A$1:$P$82</definedName>
    <definedName name="_xlnm.Print_Area" localSheetId="5">'SuppSch-Ex 3(Page3)'!$A$1:$L$47</definedName>
    <definedName name="_xlnm.Print_Area" localSheetId="7">'SuppSch-Ex 4 (Page2)'!$A$1:$H$49</definedName>
    <definedName name="test" localSheetId="16">#N/A</definedName>
    <definedName name="test" localSheetId="17">'1.04'!test</definedName>
    <definedName name="test" localSheetId="23">'1.09 Updated'!test</definedName>
    <definedName name="test" localSheetId="39">'1.20'!test</definedName>
    <definedName name="test" localSheetId="40">'1.21'!test</definedName>
    <definedName name="test" localSheetId="41">'1.22'!test</definedName>
    <definedName name="test" localSheetId="48">#N/A</definedName>
    <definedName name="test" localSheetId="51">'1.35 New'!test</definedName>
    <definedName name="test">'1.03'!test</definedName>
  </definedNames>
  <calcPr calcId="145621"/>
</workbook>
</file>

<file path=xl/calcChain.xml><?xml version="1.0" encoding="utf-8"?>
<calcChain xmlns="http://schemas.openxmlformats.org/spreadsheetml/2006/main">
  <c r="A12" i="311" l="1"/>
  <c r="B26" i="311"/>
  <c r="B5" i="311"/>
  <c r="B4" i="311"/>
  <c r="B3" i="311"/>
  <c r="I77" i="52" l="1"/>
  <c r="D36" i="315"/>
  <c r="D38" i="315" s="1"/>
  <c r="D31" i="315"/>
  <c r="D29" i="315"/>
  <c r="D20" i="315"/>
  <c r="D24" i="315" s="1"/>
  <c r="A12" i="315"/>
  <c r="E5" i="315"/>
  <c r="E4" i="315"/>
  <c r="E3" i="315"/>
  <c r="D40" i="315" l="1"/>
  <c r="I58" i="52" l="1"/>
  <c r="B20" i="311" l="1"/>
  <c r="D22" i="314"/>
  <c r="D19" i="314"/>
  <c r="G67" i="52" l="1"/>
  <c r="D26" i="314"/>
  <c r="B26" i="314"/>
  <c r="D24" i="314"/>
  <c r="D28" i="314" s="1"/>
  <c r="I67" i="52" s="1"/>
  <c r="B24" i="314"/>
  <c r="B28" i="314" s="1"/>
  <c r="A12" i="314"/>
  <c r="D5" i="314"/>
  <c r="D4" i="314"/>
  <c r="D3" i="314"/>
  <c r="I41" i="52" l="1"/>
  <c r="B30" i="313"/>
  <c r="B22" i="313"/>
  <c r="B21" i="313"/>
  <c r="B25" i="313" s="1"/>
  <c r="B19" i="313"/>
  <c r="B5" i="313"/>
  <c r="B4" i="313"/>
  <c r="B3" i="313"/>
  <c r="B28" i="313" l="1"/>
  <c r="B32" i="313" s="1"/>
  <c r="H22" i="310" l="1"/>
  <c r="H20" i="310"/>
  <c r="H24" i="310"/>
  <c r="B27" i="136"/>
  <c r="B47" i="136"/>
  <c r="I22" i="63" l="1"/>
  <c r="B21" i="309" l="1"/>
  <c r="I13" i="63" l="1"/>
  <c r="D67" i="312" l="1"/>
  <c r="D38" i="312" s="1"/>
  <c r="E38" i="312" s="1"/>
  <c r="D39" i="312"/>
  <c r="B39" i="312"/>
  <c r="E39" i="312" s="1"/>
  <c r="D37" i="312"/>
  <c r="E37" i="312" s="1"/>
  <c r="D35" i="312"/>
  <c r="E35" i="312" s="1"/>
  <c r="D33" i="312"/>
  <c r="E33" i="312" s="1"/>
  <c r="D31" i="312"/>
  <c r="E31" i="312" s="1"/>
  <c r="F24" i="312"/>
  <c r="A20" i="312"/>
  <c r="A12" i="312"/>
  <c r="F5" i="312"/>
  <c r="F4" i="312"/>
  <c r="F3" i="312"/>
  <c r="D30" i="312" l="1"/>
  <c r="E30" i="312" s="1"/>
  <c r="D32" i="312"/>
  <c r="E32" i="312" s="1"/>
  <c r="D34" i="312"/>
  <c r="E34" i="312" s="1"/>
  <c r="D36" i="312"/>
  <c r="E36" i="312" s="1"/>
  <c r="B22" i="311"/>
  <c r="B24" i="311"/>
  <c r="B28" i="311" s="1"/>
  <c r="G35" i="52" s="1"/>
  <c r="F20" i="312" l="1"/>
  <c r="E41" i="312"/>
  <c r="F17" i="312" s="1"/>
  <c r="F22" i="312" s="1"/>
  <c r="F26" i="312" s="1"/>
  <c r="I60" i="52" s="1"/>
  <c r="E40" i="312"/>
  <c r="A12" i="310"/>
  <c r="B27" i="309"/>
  <c r="A13" i="309"/>
  <c r="H25" i="305"/>
  <c r="H5" i="310"/>
  <c r="H4" i="310"/>
  <c r="H3" i="310"/>
  <c r="B5" i="309"/>
  <c r="B4" i="309"/>
  <c r="B3" i="309"/>
  <c r="A129" i="305"/>
  <c r="A99" i="305"/>
  <c r="A49" i="305"/>
  <c r="H5" i="305"/>
  <c r="H4" i="305"/>
  <c r="H3" i="305"/>
  <c r="A83" i="52" l="1"/>
  <c r="A81" i="52"/>
  <c r="H26" i="310"/>
  <c r="I81" i="52" s="1"/>
  <c r="K81" i="52" s="1"/>
  <c r="B25" i="309"/>
  <c r="B29" i="309" s="1"/>
  <c r="B31" i="309" s="1"/>
  <c r="I65" i="52" s="1"/>
  <c r="B134" i="305"/>
  <c r="B136" i="305" s="1"/>
  <c r="B138" i="305" s="1"/>
  <c r="B140" i="305" s="1"/>
  <c r="B142" i="305" s="1"/>
  <c r="B132" i="305"/>
  <c r="A128" i="305"/>
  <c r="A124" i="305"/>
  <c r="H120" i="305"/>
  <c r="H119" i="305"/>
  <c r="H118" i="305"/>
  <c r="A98" i="305"/>
  <c r="A94" i="305"/>
  <c r="H90" i="305"/>
  <c r="H89" i="305"/>
  <c r="H88" i="305"/>
  <c r="H77" i="305"/>
  <c r="H75" i="305"/>
  <c r="H74" i="305"/>
  <c r="H73" i="305"/>
  <c r="F69" i="305"/>
  <c r="H69" i="305" s="1"/>
  <c r="H68" i="305"/>
  <c r="F68" i="305"/>
  <c r="H67" i="305"/>
  <c r="F66" i="305"/>
  <c r="H66" i="305" s="1"/>
  <c r="H65" i="305"/>
  <c r="H62" i="305"/>
  <c r="B56" i="305"/>
  <c r="B57" i="305" s="1"/>
  <c r="B60" i="305" s="1"/>
  <c r="B61" i="305" s="1"/>
  <c r="B62" i="305" s="1"/>
  <c r="B63" i="305" s="1"/>
  <c r="B64" i="305" s="1"/>
  <c r="B65" i="305" s="1"/>
  <c r="B66" i="305" s="1"/>
  <c r="B67" i="305" s="1"/>
  <c r="B68" i="305" s="1"/>
  <c r="B69" i="305" s="1"/>
  <c r="B70" i="305" s="1"/>
  <c r="B72" i="305" s="1"/>
  <c r="B73" i="305" s="1"/>
  <c r="B74" i="305" s="1"/>
  <c r="B75" i="305" s="1"/>
  <c r="B76" i="305" s="1"/>
  <c r="B77" i="305" s="1"/>
  <c r="B78" i="305" s="1"/>
  <c r="B80" i="305" s="1"/>
  <c r="B83" i="305" s="1"/>
  <c r="B85" i="305" s="1"/>
  <c r="H55" i="305"/>
  <c r="G54" i="305"/>
  <c r="G56" i="305" s="1"/>
  <c r="F54" i="305"/>
  <c r="H54" i="305" s="1"/>
  <c r="H56" i="305" s="1"/>
  <c r="H131" i="305" s="1"/>
  <c r="H134" i="305" s="1"/>
  <c r="H138" i="305" s="1"/>
  <c r="A48" i="305"/>
  <c r="A47" i="305"/>
  <c r="A44" i="305"/>
  <c r="H40" i="305"/>
  <c r="H39" i="305"/>
  <c r="H38" i="305"/>
  <c r="G57" i="305" l="1"/>
  <c r="H70" i="305"/>
  <c r="F56" i="305"/>
  <c r="H76" i="305"/>
  <c r="B21" i="136"/>
  <c r="F57" i="305" l="1"/>
  <c r="H83" i="305"/>
  <c r="H78" i="305"/>
  <c r="D81" i="305" s="1"/>
  <c r="H134" i="255"/>
  <c r="F81" i="305" l="1"/>
  <c r="H81" i="305" s="1"/>
  <c r="H85" i="305" s="1"/>
  <c r="H57" i="305"/>
  <c r="B59" i="255"/>
  <c r="G21" i="303"/>
  <c r="H140" i="305" l="1"/>
  <c r="H142" i="305" s="1"/>
  <c r="H23" i="305" s="1"/>
  <c r="H21" i="305"/>
  <c r="H101" i="305"/>
  <c r="B45" i="136"/>
  <c r="H107" i="305" l="1"/>
  <c r="H111" i="305" s="1"/>
  <c r="H22" i="305" s="1"/>
  <c r="H24" i="305" s="1"/>
  <c r="H26" i="305" s="1"/>
  <c r="I43" i="52" s="1"/>
  <c r="H105" i="305"/>
  <c r="H109" i="305" s="1"/>
  <c r="A12" i="303"/>
  <c r="G5" i="303"/>
  <c r="G4" i="303"/>
  <c r="G3" i="303"/>
  <c r="H5" i="302" l="1"/>
  <c r="H4" i="302"/>
  <c r="H3" i="302"/>
  <c r="F28" i="262" l="1"/>
  <c r="F26" i="262"/>
  <c r="F24" i="262"/>
  <c r="F22" i="262"/>
  <c r="F20" i="262"/>
  <c r="F18" i="262"/>
  <c r="K30" i="299" l="1"/>
  <c r="K29" i="299"/>
  <c r="K28" i="299"/>
  <c r="K27" i="299"/>
  <c r="K26" i="299"/>
  <c r="K25" i="299"/>
  <c r="K24" i="299"/>
  <c r="K23" i="299"/>
  <c r="K22" i="299"/>
  <c r="K21" i="299"/>
  <c r="K20" i="299"/>
  <c r="K19" i="299"/>
  <c r="D26" i="295" l="1"/>
  <c r="B26" i="295"/>
  <c r="B43" i="136"/>
  <c r="B41" i="136"/>
  <c r="B39" i="136"/>
  <c r="B37" i="136"/>
  <c r="C39" i="136"/>
  <c r="J24" i="247"/>
  <c r="H22" i="247"/>
  <c r="D24" i="295" l="1"/>
  <c r="B24" i="295"/>
  <c r="D29" i="176" l="1"/>
  <c r="F34" i="262" l="1"/>
  <c r="G39" i="52" s="1"/>
  <c r="F33" i="91" l="1"/>
  <c r="D33" i="91"/>
  <c r="D35" i="91" s="1"/>
  <c r="E19" i="56" l="1"/>
  <c r="G19" i="56" s="1"/>
  <c r="I23" i="52" l="1"/>
  <c r="G23" i="52"/>
  <c r="A12" i="301"/>
  <c r="C5" i="301"/>
  <c r="C4" i="301"/>
  <c r="C3" i="301"/>
  <c r="C23" i="301"/>
  <c r="K23" i="52" l="1"/>
  <c r="A12" i="295" l="1"/>
  <c r="B7" i="198" l="1"/>
  <c r="I26" i="198"/>
  <c r="B20" i="300" l="1"/>
  <c r="H77" i="255" l="1"/>
  <c r="H76" i="255"/>
  <c r="H75" i="255"/>
  <c r="H69" i="255"/>
  <c r="F70" i="255" l="1"/>
  <c r="H70" i="255" s="1"/>
  <c r="F68" i="255"/>
  <c r="H67" i="255"/>
  <c r="H64" i="255"/>
  <c r="B60" i="255"/>
  <c r="H58" i="255"/>
  <c r="B62" i="255" l="1"/>
  <c r="B63" i="255" s="1"/>
  <c r="B64" i="255" s="1"/>
  <c r="B65" i="255" s="1"/>
  <c r="B66" i="255" s="1"/>
  <c r="B67" i="255" s="1"/>
  <c r="B68" i="255" s="1"/>
  <c r="B69" i="255" s="1"/>
  <c r="B70" i="255" s="1"/>
  <c r="B71" i="255" s="1"/>
  <c r="B72" i="255" s="1"/>
  <c r="B74" i="255" s="1"/>
  <c r="B75" i="255" s="1"/>
  <c r="B76" i="255" s="1"/>
  <c r="B77" i="255" s="1"/>
  <c r="B78" i="255" s="1"/>
  <c r="B79" i="255" s="1"/>
  <c r="B80" i="255" s="1"/>
  <c r="B82" i="255" s="1"/>
  <c r="B85" i="255" s="1"/>
  <c r="B87" i="255" s="1"/>
  <c r="H79" i="255"/>
  <c r="H68" i="255"/>
  <c r="H57" i="255"/>
  <c r="G59" i="255"/>
  <c r="F71" i="255"/>
  <c r="F59" i="255"/>
  <c r="H85" i="255" s="1"/>
  <c r="H59" i="255" l="1"/>
  <c r="H78" i="255"/>
  <c r="H71" i="255"/>
  <c r="H72" i="255" s="1"/>
  <c r="F60" i="255" l="1"/>
  <c r="F83" i="255" s="1"/>
  <c r="H133" i="255"/>
  <c r="H136" i="255" s="1"/>
  <c r="H140" i="255" s="1"/>
  <c r="G60" i="255"/>
  <c r="H80" i="255"/>
  <c r="D83" i="255" s="1"/>
  <c r="H60" i="255" l="1"/>
  <c r="H83" i="255"/>
  <c r="H87" i="255" s="1"/>
  <c r="H103" i="255" l="1"/>
  <c r="H142" i="255"/>
  <c r="H144" i="255" s="1"/>
  <c r="H21" i="255"/>
  <c r="B22" i="266"/>
  <c r="B21" i="266"/>
  <c r="B19" i="266"/>
  <c r="B24" i="266" l="1"/>
  <c r="B27" i="266"/>
  <c r="H107" i="255"/>
  <c r="H111" i="255" s="1"/>
  <c r="H109" i="255"/>
  <c r="H113" i="255" l="1"/>
  <c r="B35" i="136" l="1"/>
  <c r="B33" i="136"/>
  <c r="B31" i="136"/>
  <c r="B29" i="136"/>
  <c r="B24" i="136"/>
  <c r="B17" i="136"/>
  <c r="A29" i="56"/>
  <c r="A23" i="56"/>
  <c r="L38" i="177" l="1"/>
  <c r="L29" i="177"/>
  <c r="L28" i="177"/>
  <c r="L26" i="177"/>
  <c r="J26" i="275" l="1"/>
  <c r="D5" i="295"/>
  <c r="D4" i="295"/>
  <c r="D3" i="295"/>
  <c r="H5" i="232"/>
  <c r="H4" i="232"/>
  <c r="H3" i="232"/>
  <c r="K85" i="52"/>
  <c r="C45" i="136"/>
  <c r="G23" i="303" s="1"/>
  <c r="G25" i="303" s="1"/>
  <c r="I108" i="52" s="1"/>
  <c r="K108" i="52" s="1"/>
  <c r="C24" i="136"/>
  <c r="B29" i="266" s="1"/>
  <c r="B31" i="266" s="1"/>
  <c r="C17" i="136"/>
  <c r="B22" i="300" l="1"/>
  <c r="B24" i="300" s="1"/>
  <c r="B5" i="300"/>
  <c r="B4" i="300"/>
  <c r="B26" i="300"/>
  <c r="A12" i="300"/>
  <c r="B3" i="300"/>
  <c r="F27" i="296"/>
  <c r="F26" i="296"/>
  <c r="B28" i="300" l="1"/>
  <c r="K35" i="52" s="1"/>
  <c r="E77" i="127" l="1"/>
  <c r="G77" i="127" s="1"/>
  <c r="E76" i="127"/>
  <c r="G76" i="127" s="1"/>
  <c r="E75" i="127"/>
  <c r="G75" i="127" s="1"/>
  <c r="E74" i="127"/>
  <c r="G74" i="127" s="1"/>
  <c r="E73" i="127"/>
  <c r="G73" i="127" s="1"/>
  <c r="E72" i="127"/>
  <c r="G72" i="127" s="1"/>
  <c r="E71" i="127"/>
  <c r="G71" i="127" s="1"/>
  <c r="E70" i="127"/>
  <c r="G70" i="127" s="1"/>
  <c r="E69" i="127"/>
  <c r="G69" i="127" s="1"/>
  <c r="F5" i="262" l="1"/>
  <c r="F4" i="262"/>
  <c r="K39" i="52"/>
  <c r="F3" i="262"/>
  <c r="A12" i="262"/>
  <c r="K33" i="299" l="1"/>
  <c r="M33" i="299" s="1"/>
  <c r="O33" i="299" s="1"/>
  <c r="A11" i="299"/>
  <c r="O5" i="299"/>
  <c r="O4" i="299"/>
  <c r="O3" i="299"/>
  <c r="S32" i="299"/>
  <c r="R32" i="299"/>
  <c r="G31" i="299"/>
  <c r="C31" i="299"/>
  <c r="M30" i="299"/>
  <c r="E30" i="299"/>
  <c r="M29" i="299"/>
  <c r="E29" i="299"/>
  <c r="M28" i="299"/>
  <c r="E28" i="299"/>
  <c r="M27" i="299"/>
  <c r="M26" i="299"/>
  <c r="M25" i="299"/>
  <c r="M24" i="299"/>
  <c r="M23" i="299"/>
  <c r="M22" i="299"/>
  <c r="M21" i="299"/>
  <c r="M20" i="299"/>
  <c r="K31" i="299"/>
  <c r="M19" i="299"/>
  <c r="E31" i="299" l="1"/>
  <c r="I31" i="299" s="1"/>
  <c r="I35" i="299" s="1"/>
  <c r="I37" i="299" s="1"/>
  <c r="G25" i="52" s="1"/>
  <c r="M31" i="299"/>
  <c r="M35" i="299" s="1"/>
  <c r="K35" i="299"/>
  <c r="O31" i="299" l="1"/>
  <c r="O35" i="299"/>
  <c r="O37" i="299" l="1"/>
  <c r="I25" i="52" s="1"/>
  <c r="H38" i="176"/>
  <c r="H29" i="176"/>
  <c r="H28" i="176"/>
  <c r="H26" i="176"/>
  <c r="E5" i="189" l="1"/>
  <c r="E4" i="189"/>
  <c r="D36" i="189"/>
  <c r="D29" i="189"/>
  <c r="A12" i="189" l="1"/>
  <c r="E3" i="189"/>
  <c r="D38" i="189"/>
  <c r="D31" i="189"/>
  <c r="D20" i="189"/>
  <c r="D24" i="189" s="1"/>
  <c r="D40" i="189" l="1"/>
  <c r="K77" i="52" s="1"/>
  <c r="D5" i="298" l="1"/>
  <c r="D4" i="298"/>
  <c r="D24" i="298"/>
  <c r="A12" i="298"/>
  <c r="D3" i="298"/>
  <c r="D22" i="298"/>
  <c r="D26" i="298" l="1"/>
  <c r="I71" i="52" s="1"/>
  <c r="K71" i="52" s="1"/>
  <c r="C5" i="297"/>
  <c r="C4" i="297"/>
  <c r="G5" i="201"/>
  <c r="G4" i="201"/>
  <c r="G24" i="201"/>
  <c r="A12" i="201"/>
  <c r="G3" i="201"/>
  <c r="A12" i="297"/>
  <c r="C3" i="297"/>
  <c r="C22" i="297"/>
  <c r="C26" i="297" s="1"/>
  <c r="I75" i="52" s="1"/>
  <c r="K75" i="52" s="1"/>
  <c r="F5" i="296"/>
  <c r="F4" i="296"/>
  <c r="F24" i="296"/>
  <c r="F30" i="296" s="1"/>
  <c r="F34" i="296" s="1"/>
  <c r="A12" i="296"/>
  <c r="F36" i="296"/>
  <c r="F3" i="296"/>
  <c r="I73" i="52" l="1"/>
  <c r="K73" i="52" s="1"/>
  <c r="F38" i="296"/>
  <c r="C33" i="127"/>
  <c r="C34" i="127"/>
  <c r="C78" i="127"/>
  <c r="E78" i="127" s="1"/>
  <c r="G78" i="127" s="1"/>
  <c r="C79" i="127"/>
  <c r="C35" i="127"/>
  <c r="C80" i="127"/>
  <c r="D35" i="127" l="1"/>
  <c r="E80" i="127"/>
  <c r="G80" i="127" s="1"/>
  <c r="E79" i="127"/>
  <c r="G79" i="127" s="1"/>
  <c r="D34" i="127" s="1"/>
  <c r="D33" i="127"/>
  <c r="A12" i="100"/>
  <c r="A13" i="255"/>
  <c r="A10" i="234"/>
  <c r="A12" i="275"/>
  <c r="E4" i="136"/>
  <c r="G4" i="56"/>
  <c r="J4" i="275"/>
  <c r="G4" i="248"/>
  <c r="G4" i="35"/>
  <c r="B4" i="106"/>
  <c r="H4" i="146"/>
  <c r="F4" i="269"/>
  <c r="I2" i="234"/>
  <c r="H4" i="255"/>
  <c r="B4" i="266"/>
  <c r="B4" i="100"/>
  <c r="E4" i="98"/>
  <c r="G4" i="123"/>
  <c r="B4" i="96"/>
  <c r="F4" i="127"/>
  <c r="B4" i="187"/>
  <c r="F4" i="91"/>
  <c r="F4" i="90"/>
  <c r="H40" i="177"/>
  <c r="H39" i="177"/>
  <c r="H37" i="177"/>
  <c r="H18" i="177"/>
  <c r="B67" i="179"/>
  <c r="B70" i="176"/>
  <c r="P37" i="176"/>
  <c r="D37" i="176"/>
  <c r="N30" i="176"/>
  <c r="P28" i="176"/>
  <c r="D28" i="176" s="1"/>
  <c r="N27" i="176"/>
  <c r="N21" i="176"/>
  <c r="N18" i="176"/>
  <c r="D18" i="176"/>
  <c r="A13" i="106" l="1"/>
  <c r="A20" i="269"/>
  <c r="A12" i="269"/>
  <c r="D67" i="269"/>
  <c r="E5" i="136"/>
  <c r="G5" i="56"/>
  <c r="J5" i="275"/>
  <c r="G5" i="248"/>
  <c r="G5" i="35"/>
  <c r="B5" i="106"/>
  <c r="H5" i="146"/>
  <c r="F5" i="269"/>
  <c r="I3" i="234"/>
  <c r="H5" i="255"/>
  <c r="H92" i="255" s="1"/>
  <c r="B5" i="266"/>
  <c r="B5" i="100"/>
  <c r="E5" i="98"/>
  <c r="G5" i="123"/>
  <c r="B5" i="96"/>
  <c r="F5" i="127"/>
  <c r="G51" i="127" s="1"/>
  <c r="B5" i="187"/>
  <c r="F5" i="91"/>
  <c r="F5" i="90"/>
  <c r="C11" i="198"/>
  <c r="M2" i="198"/>
  <c r="H2" i="224"/>
  <c r="H2" i="265"/>
  <c r="H2" i="225"/>
  <c r="F2" i="197"/>
  <c r="I2" i="63"/>
  <c r="K2" i="168"/>
  <c r="L2" i="177"/>
  <c r="P2" i="176"/>
  <c r="H2" i="179"/>
  <c r="T2" i="247"/>
  <c r="K2" i="52"/>
  <c r="K86" i="52" s="1"/>
  <c r="H43" i="255" l="1"/>
  <c r="H122" i="255"/>
  <c r="G18" i="123" l="1"/>
  <c r="K23" i="248" l="1"/>
  <c r="F42" i="35"/>
  <c r="E23" i="35"/>
  <c r="N23" i="176" l="1"/>
  <c r="A15" i="52"/>
  <c r="A17" i="52" s="1"/>
  <c r="G50" i="127" l="1"/>
  <c r="G49" i="127" l="1"/>
  <c r="D32" i="127"/>
  <c r="D31" i="127"/>
  <c r="D30" i="127"/>
  <c r="D29" i="127"/>
  <c r="D28" i="127"/>
  <c r="D27" i="127"/>
  <c r="D26" i="127"/>
  <c r="D25" i="127"/>
  <c r="D28" i="295" l="1"/>
  <c r="B28" i="295"/>
  <c r="D24" i="127"/>
  <c r="D38" i="127" s="1"/>
  <c r="G81" i="127"/>
  <c r="K67" i="52" l="1"/>
  <c r="C30" i="127"/>
  <c r="D30" i="269" l="1"/>
  <c r="D31" i="269"/>
  <c r="C31" i="127"/>
  <c r="E30" i="269" l="1"/>
  <c r="E29" i="146"/>
  <c r="F29" i="146" s="1"/>
  <c r="H19" i="146" s="1"/>
  <c r="F20" i="269"/>
  <c r="C32" i="127"/>
  <c r="E31" i="127" l="1"/>
  <c r="F31" i="127" s="1"/>
  <c r="E35" i="127"/>
  <c r="F35" i="127" s="1"/>
  <c r="E34" i="127"/>
  <c r="F34" i="127" s="1"/>
  <c r="E33" i="127"/>
  <c r="F33" i="127" s="1"/>
  <c r="E32" i="127"/>
  <c r="F32" i="127" s="1"/>
  <c r="E30" i="127"/>
  <c r="F30" i="127" s="1"/>
  <c r="N29" i="176" l="1"/>
  <c r="N28" i="176"/>
  <c r="N32" i="176" l="1"/>
  <c r="N34" i="176" s="1"/>
  <c r="J30" i="275"/>
  <c r="B3" i="106"/>
  <c r="P52" i="176" l="1"/>
  <c r="I1" i="234" l="1"/>
  <c r="G21" i="56" l="1"/>
  <c r="E21" i="56"/>
  <c r="B21" i="100" l="1"/>
  <c r="E19" i="52" l="1"/>
  <c r="H3" i="255"/>
  <c r="H25" i="255"/>
  <c r="E23" i="56" l="1"/>
  <c r="E25" i="56" l="1"/>
  <c r="E27" i="56" s="1"/>
  <c r="G27" i="56" s="1"/>
  <c r="B3" i="266" l="1"/>
  <c r="B23" i="187"/>
  <c r="C24" i="127" l="1"/>
  <c r="C25" i="127" l="1"/>
  <c r="C26" i="127" l="1"/>
  <c r="C27" i="127" l="1"/>
  <c r="C28" i="127" l="1"/>
  <c r="C29" i="127" l="1"/>
  <c r="C37" i="127" s="1"/>
  <c r="J40" i="177" l="1"/>
  <c r="J37" i="177"/>
  <c r="H37" i="176" s="1"/>
  <c r="J30" i="177"/>
  <c r="H30" i="176" s="1"/>
  <c r="J27" i="177"/>
  <c r="H27" i="176" s="1"/>
  <c r="J21" i="177"/>
  <c r="H21" i="176" s="1"/>
  <c r="R42" i="177"/>
  <c r="R32" i="177"/>
  <c r="R23" i="177"/>
  <c r="H40" i="176" l="1"/>
  <c r="H70" i="176"/>
  <c r="R34" i="177"/>
  <c r="R44" i="177" s="1"/>
  <c r="J18" i="177"/>
  <c r="H18" i="176" s="1"/>
  <c r="D32" i="176" l="1"/>
  <c r="D23" i="176"/>
  <c r="D34" i="176" l="1"/>
  <c r="D39" i="269" l="1"/>
  <c r="E38" i="146" s="1"/>
  <c r="D38" i="269"/>
  <c r="E37" i="146" s="1"/>
  <c r="D37" i="269"/>
  <c r="E36" i="146" s="1"/>
  <c r="D36" i="269"/>
  <c r="E35" i="146" s="1"/>
  <c r="D35" i="269"/>
  <c r="E34" i="146" s="1"/>
  <c r="D34" i="269"/>
  <c r="E33" i="146" s="1"/>
  <c r="D33" i="269"/>
  <c r="E32" i="146" s="1"/>
  <c r="D32" i="269"/>
  <c r="E31" i="146" s="1"/>
  <c r="F31" i="146" s="1"/>
  <c r="E30" i="146"/>
  <c r="F30" i="146" s="1"/>
  <c r="E31" i="269" l="1"/>
  <c r="E32" i="269"/>
  <c r="L24" i="247" l="1"/>
  <c r="J24" i="275" l="1"/>
  <c r="J19" i="275"/>
  <c r="J3" i="275"/>
  <c r="J28" i="275" l="1"/>
  <c r="J32" i="275" s="1"/>
  <c r="J34" i="275" l="1"/>
  <c r="I106" i="52" s="1"/>
  <c r="F24" i="269" l="1"/>
  <c r="F3" i="269" l="1"/>
  <c r="B39" i="269"/>
  <c r="E38" i="269"/>
  <c r="E37" i="269"/>
  <c r="E36" i="269"/>
  <c r="E35" i="269"/>
  <c r="E34" i="269"/>
  <c r="E33" i="269"/>
  <c r="F3" i="91"/>
  <c r="E39" i="269" l="1"/>
  <c r="E40" i="269" s="1"/>
  <c r="E41" i="269" l="1"/>
  <c r="F17" i="269" s="1"/>
  <c r="F22" i="269" s="1"/>
  <c r="F26" i="269" s="1"/>
  <c r="D27" i="179" l="1"/>
  <c r="F32" i="265" l="1"/>
  <c r="A18" i="265"/>
  <c r="A20" i="265" s="1"/>
  <c r="A21" i="265" s="1"/>
  <c r="A23" i="265" s="1"/>
  <c r="A25" i="265" s="1"/>
  <c r="A26" i="265" s="1"/>
  <c r="A27" i="265" s="1"/>
  <c r="A28" i="265" s="1"/>
  <c r="A29" i="265" s="1"/>
  <c r="A30" i="265" s="1"/>
  <c r="A32" i="265" s="1"/>
  <c r="A8" i="265"/>
  <c r="A34" i="265" l="1"/>
  <c r="A35" i="265" s="1"/>
  <c r="A36" i="265" s="1"/>
  <c r="A37" i="265" s="1"/>
  <c r="A38" i="265" s="1"/>
  <c r="A40" i="265" s="1"/>
  <c r="A42" i="265" s="1"/>
  <c r="B22" i="63" l="1"/>
  <c r="I18" i="234" l="1"/>
  <c r="I15" i="234"/>
  <c r="G20" i="234"/>
  <c r="J32" i="177" l="1"/>
  <c r="B7" i="52"/>
  <c r="B91" i="52" s="1"/>
  <c r="K45" i="52"/>
  <c r="B27" i="106"/>
  <c r="B24" i="96"/>
  <c r="B33" i="96" s="1"/>
  <c r="B35" i="96" s="1"/>
  <c r="B38" i="96" s="1"/>
  <c r="I33" i="52" s="1"/>
  <c r="A130" i="255"/>
  <c r="A126" i="255"/>
  <c r="H121" i="255"/>
  <c r="H120" i="255"/>
  <c r="A100" i="255"/>
  <c r="A96" i="255"/>
  <c r="H91" i="255"/>
  <c r="H90" i="255"/>
  <c r="A51" i="255"/>
  <c r="A50" i="255"/>
  <c r="A47" i="255"/>
  <c r="H42" i="255"/>
  <c r="H41" i="255"/>
  <c r="B25" i="106"/>
  <c r="F40" i="127"/>
  <c r="G29" i="52"/>
  <c r="G37" i="52"/>
  <c r="I37" i="52"/>
  <c r="C24" i="247"/>
  <c r="F18" i="247" s="1"/>
  <c r="P53" i="176"/>
  <c r="H22" i="168"/>
  <c r="H20" i="168"/>
  <c r="G21" i="52"/>
  <c r="K21" i="52" s="1"/>
  <c r="F21" i="265"/>
  <c r="D29" i="179"/>
  <c r="N78" i="176"/>
  <c r="D34" i="179"/>
  <c r="G22" i="201"/>
  <c r="G26" i="201" s="1"/>
  <c r="I69" i="52" s="1"/>
  <c r="K69" i="52" s="1"/>
  <c r="F32" i="146"/>
  <c r="F38" i="146"/>
  <c r="F37" i="146"/>
  <c r="F36" i="146"/>
  <c r="F35" i="146"/>
  <c r="F34" i="146"/>
  <c r="F33" i="146"/>
  <c r="E29" i="127"/>
  <c r="F29" i="127" s="1"/>
  <c r="F35" i="91"/>
  <c r="I19" i="52" s="1"/>
  <c r="G19" i="52"/>
  <c r="N37" i="176"/>
  <c r="F34" i="179" s="1"/>
  <c r="D17" i="179"/>
  <c r="D20" i="179"/>
  <c r="D25" i="179"/>
  <c r="D26" i="179"/>
  <c r="D35" i="179"/>
  <c r="D36" i="179"/>
  <c r="F25" i="179"/>
  <c r="F26" i="176"/>
  <c r="F28" i="176"/>
  <c r="F29" i="176"/>
  <c r="F38" i="176"/>
  <c r="A12" i="187"/>
  <c r="G3" i="248"/>
  <c r="C14" i="247"/>
  <c r="A6" i="247"/>
  <c r="F21" i="90"/>
  <c r="G17" i="52" s="1"/>
  <c r="B22" i="96"/>
  <c r="G24" i="123"/>
  <c r="G26" i="123" s="1"/>
  <c r="G31" i="52" s="1"/>
  <c r="K31" i="52" s="1"/>
  <c r="I29" i="52"/>
  <c r="C29" i="136"/>
  <c r="I22" i="234" s="1"/>
  <c r="C33" i="136"/>
  <c r="H23" i="146" s="1"/>
  <c r="D28" i="179"/>
  <c r="D74" i="176"/>
  <c r="D76" i="176" s="1"/>
  <c r="D78" i="176" s="1"/>
  <c r="D40" i="176" s="1"/>
  <c r="N38" i="176"/>
  <c r="F35" i="179" s="1"/>
  <c r="N39" i="176"/>
  <c r="F36" i="179" s="1"/>
  <c r="D18" i="177"/>
  <c r="D21" i="177"/>
  <c r="D27" i="177"/>
  <c r="D30" i="177"/>
  <c r="D37" i="177"/>
  <c r="O39" i="177"/>
  <c r="D40" i="177"/>
  <c r="F74" i="176"/>
  <c r="H74" i="176"/>
  <c r="B3" i="100"/>
  <c r="E3" i="136"/>
  <c r="A12" i="136"/>
  <c r="G3" i="56"/>
  <c r="G38" i="56"/>
  <c r="G3" i="35"/>
  <c r="H3" i="146"/>
  <c r="A12" i="146"/>
  <c r="A19" i="146"/>
  <c r="C20" i="234"/>
  <c r="E20" i="234"/>
  <c r="A12" i="98"/>
  <c r="E3" i="98"/>
  <c r="G3" i="123"/>
  <c r="A12" i="123"/>
  <c r="B3" i="96"/>
  <c r="A12" i="96"/>
  <c r="F3" i="127"/>
  <c r="A12" i="127"/>
  <c r="A58" i="127" s="1"/>
  <c r="B3" i="187"/>
  <c r="B12" i="91"/>
  <c r="F3" i="90"/>
  <c r="A17" i="90"/>
  <c r="A19" i="90"/>
  <c r="K13" i="52"/>
  <c r="H51" i="179"/>
  <c r="A7" i="179"/>
  <c r="A56" i="179" s="1"/>
  <c r="A17" i="179"/>
  <c r="A19" i="179" s="1"/>
  <c r="A20" i="179" s="1"/>
  <c r="A22" i="179" s="1"/>
  <c r="A24" i="179" s="1"/>
  <c r="A25" i="179" s="1"/>
  <c r="A26" i="179" s="1"/>
  <c r="A27" i="179" s="1"/>
  <c r="A28" i="179" s="1"/>
  <c r="A29" i="179" s="1"/>
  <c r="A31" i="179" s="1"/>
  <c r="H50" i="179"/>
  <c r="A8" i="168"/>
  <c r="A6" i="63"/>
  <c r="A8" i="197"/>
  <c r="D18" i="225"/>
  <c r="D21" i="225"/>
  <c r="D26" i="225"/>
  <c r="H26" i="225" s="1"/>
  <c r="D27" i="225"/>
  <c r="D35" i="225"/>
  <c r="D36" i="225"/>
  <c r="H36" i="225" s="1"/>
  <c r="D37" i="225"/>
  <c r="D26" i="224"/>
  <c r="D27" i="224"/>
  <c r="F26" i="224"/>
  <c r="D30" i="224"/>
  <c r="D35" i="224"/>
  <c r="D36" i="224"/>
  <c r="D37" i="224"/>
  <c r="G11" i="198"/>
  <c r="K11" i="198"/>
  <c r="M11" i="198"/>
  <c r="G16" i="198"/>
  <c r="K16" i="198" s="1"/>
  <c r="M16" i="198" s="1"/>
  <c r="G17" i="198"/>
  <c r="K17" i="198" s="1"/>
  <c r="M17" i="198" s="1"/>
  <c r="G18" i="198"/>
  <c r="K18" i="198" s="1"/>
  <c r="G19" i="198"/>
  <c r="K19" i="198" s="1"/>
  <c r="M19" i="198" s="1"/>
  <c r="G20" i="198"/>
  <c r="K20" i="198" s="1"/>
  <c r="M20" i="198" s="1"/>
  <c r="G21" i="198"/>
  <c r="K21" i="198" s="1"/>
  <c r="M21" i="198" s="1"/>
  <c r="G22" i="198"/>
  <c r="K22" i="198" s="1"/>
  <c r="M22" i="198" s="1"/>
  <c r="A24" i="198"/>
  <c r="A26" i="198"/>
  <c r="A28" i="198" s="1"/>
  <c r="A30" i="198" s="1"/>
  <c r="A31" i="198" s="1"/>
  <c r="A32" i="198" s="1"/>
  <c r="A33" i="198" s="1"/>
  <c r="A34" i="198" s="1"/>
  <c r="A35" i="198" s="1"/>
  <c r="A36" i="198" s="1"/>
  <c r="A37" i="198" s="1"/>
  <c r="A39" i="198" s="1"/>
  <c r="A42" i="198" s="1"/>
  <c r="C24" i="198"/>
  <c r="C28" i="198" s="1"/>
  <c r="C39" i="198"/>
  <c r="E24" i="198"/>
  <c r="E28" i="198" s="1"/>
  <c r="G26" i="198"/>
  <c r="K26" i="198" s="1"/>
  <c r="G31" i="198"/>
  <c r="I31" i="198"/>
  <c r="G32" i="198"/>
  <c r="I32" i="198"/>
  <c r="G33" i="198"/>
  <c r="I33" i="198"/>
  <c r="G34" i="198"/>
  <c r="I34" i="198"/>
  <c r="G35" i="198"/>
  <c r="I35" i="198"/>
  <c r="G36" i="198"/>
  <c r="I36" i="198"/>
  <c r="G37" i="198"/>
  <c r="I37" i="198"/>
  <c r="E39" i="198"/>
  <c r="A8" i="224"/>
  <c r="A18" i="224"/>
  <c r="A20" i="224" s="1"/>
  <c r="A21" i="224" s="1"/>
  <c r="A23" i="224" s="1"/>
  <c r="A25" i="224" s="1"/>
  <c r="A26" i="224" s="1"/>
  <c r="A27" i="224" s="1"/>
  <c r="A28" i="224" s="1"/>
  <c r="A29" i="224" s="1"/>
  <c r="A30" i="224" s="1"/>
  <c r="A32" i="224" s="1"/>
  <c r="H28" i="224"/>
  <c r="H35" i="224"/>
  <c r="A8" i="225"/>
  <c r="A18" i="225"/>
  <c r="A20" i="225"/>
  <c r="A21" i="225" s="1"/>
  <c r="A23" i="225" s="1"/>
  <c r="A25" i="225" s="1"/>
  <c r="A26" i="225" s="1"/>
  <c r="A27" i="225" s="1"/>
  <c r="A28" i="225" s="1"/>
  <c r="A29" i="225" s="1"/>
  <c r="A30" i="225" s="1"/>
  <c r="A32" i="225" s="1"/>
  <c r="D30" i="225"/>
  <c r="A8" i="177"/>
  <c r="A18" i="177"/>
  <c r="A20" i="177" s="1"/>
  <c r="A21" i="177" s="1"/>
  <c r="A23" i="177" s="1"/>
  <c r="A25" i="177" s="1"/>
  <c r="A26" i="177" s="1"/>
  <c r="A27" i="177" s="1"/>
  <c r="A28" i="177" s="1"/>
  <c r="A29" i="177" s="1"/>
  <c r="A30" i="177" s="1"/>
  <c r="A32" i="177" s="1"/>
  <c r="A34" i="177" s="1"/>
  <c r="A36" i="177" s="1"/>
  <c r="A37" i="177" s="1"/>
  <c r="A38" i="177" s="1"/>
  <c r="A39" i="177" s="1"/>
  <c r="A40" i="177" s="1"/>
  <c r="A42" i="177" s="1"/>
  <c r="A44" i="177" s="1"/>
  <c r="H23" i="177"/>
  <c r="H32" i="177"/>
  <c r="B47" i="177"/>
  <c r="A8" i="176"/>
  <c r="A59" i="176" s="1"/>
  <c r="A18" i="176"/>
  <c r="A20" i="176"/>
  <c r="A21" i="176" s="1"/>
  <c r="A23" i="176" s="1"/>
  <c r="A25" i="176" s="1"/>
  <c r="A26" i="176" s="1"/>
  <c r="A27" i="176" s="1"/>
  <c r="A28" i="176" s="1"/>
  <c r="A29" i="176" s="1"/>
  <c r="A30" i="176" s="1"/>
  <c r="A32" i="176" s="1"/>
  <c r="A34" i="176" s="1"/>
  <c r="A36" i="176" s="1"/>
  <c r="A37" i="176" s="1"/>
  <c r="A38" i="176" s="1"/>
  <c r="A39" i="176" s="1"/>
  <c r="A40" i="176" s="1"/>
  <c r="A42" i="176" s="1"/>
  <c r="A44" i="176" s="1"/>
  <c r="A47" i="176" s="1"/>
  <c r="P26" i="176"/>
  <c r="D67" i="179"/>
  <c r="D70" i="179"/>
  <c r="D71" i="179" s="1"/>
  <c r="J73" i="176"/>
  <c r="L73" i="176" s="1"/>
  <c r="L74" i="176" s="1"/>
  <c r="J74" i="176"/>
  <c r="P74" i="176"/>
  <c r="P76" i="176" s="1"/>
  <c r="K103" i="52"/>
  <c r="E104" i="52"/>
  <c r="E106" i="52" s="1"/>
  <c r="E108" i="52" s="1"/>
  <c r="E110" i="52" s="1"/>
  <c r="H42" i="177"/>
  <c r="F75" i="179"/>
  <c r="N70" i="176"/>
  <c r="F67" i="179" s="1"/>
  <c r="D28" i="224"/>
  <c r="D28" i="225"/>
  <c r="H28" i="225" s="1"/>
  <c r="D29" i="225"/>
  <c r="H29" i="225" s="1"/>
  <c r="F27" i="179"/>
  <c r="H27" i="179" s="1"/>
  <c r="E20" i="98"/>
  <c r="F28" i="179"/>
  <c r="D29" i="224"/>
  <c r="M26" i="198"/>
  <c r="N73" i="176"/>
  <c r="F70" i="179" s="1"/>
  <c r="E28" i="127"/>
  <c r="F28" i="127" s="1"/>
  <c r="E27" i="127"/>
  <c r="F27" i="127" s="1"/>
  <c r="E26" i="127"/>
  <c r="F26" i="127" s="1"/>
  <c r="E25" i="127"/>
  <c r="F25" i="127" s="1"/>
  <c r="E24" i="127"/>
  <c r="F24" i="127" s="1"/>
  <c r="F37" i="179"/>
  <c r="F38" i="224"/>
  <c r="H24" i="247"/>
  <c r="A34" i="224" l="1"/>
  <c r="A35" i="224" s="1"/>
  <c r="A36" i="224" s="1"/>
  <c r="A37" i="224" s="1"/>
  <c r="A38" i="224" s="1"/>
  <c r="A40" i="224" s="1"/>
  <c r="A42" i="224" s="1"/>
  <c r="F70" i="176"/>
  <c r="L40" i="177"/>
  <c r="A34" i="225"/>
  <c r="A35" i="225" s="1"/>
  <c r="A36" i="225" s="1"/>
  <c r="A37" i="225" s="1"/>
  <c r="A38" i="225" s="1"/>
  <c r="A40" i="225" s="1"/>
  <c r="A42" i="225" s="1"/>
  <c r="F21" i="176"/>
  <c r="L21" i="177"/>
  <c r="F30" i="176"/>
  <c r="L30" i="177"/>
  <c r="L32" i="177" s="1"/>
  <c r="F27" i="176"/>
  <c r="L27" i="177"/>
  <c r="A33" i="179"/>
  <c r="A34" i="179" s="1"/>
  <c r="A35" i="179" s="1"/>
  <c r="A36" i="179" s="1"/>
  <c r="A37" i="179" s="1"/>
  <c r="A39" i="179" s="1"/>
  <c r="A41" i="179" s="1"/>
  <c r="A44" i="179" s="1"/>
  <c r="F37" i="176"/>
  <c r="L37" i="177"/>
  <c r="F18" i="176"/>
  <c r="L18" i="177"/>
  <c r="L23" i="177" s="1"/>
  <c r="F39" i="146"/>
  <c r="F40" i="146" s="1"/>
  <c r="H16" i="146" s="1"/>
  <c r="H21" i="146" s="1"/>
  <c r="H25" i="146" s="1"/>
  <c r="I62" i="52" s="1"/>
  <c r="K62" i="52" s="1"/>
  <c r="K36" i="198"/>
  <c r="M36" i="198" s="1"/>
  <c r="K34" i="198"/>
  <c r="M34" i="198" s="1"/>
  <c r="C42" i="198"/>
  <c r="G39" i="198"/>
  <c r="K32" i="198"/>
  <c r="M32" i="198" s="1"/>
  <c r="G24" i="198"/>
  <c r="G28" i="198" s="1"/>
  <c r="F37" i="177"/>
  <c r="F37" i="127"/>
  <c r="F27" i="177"/>
  <c r="F35" i="224"/>
  <c r="A19" i="52"/>
  <c r="A21" i="52" s="1"/>
  <c r="A23" i="52" s="1"/>
  <c r="A25" i="52" s="1"/>
  <c r="F76" i="176"/>
  <c r="F78" i="176" s="1"/>
  <c r="F40" i="176" s="1"/>
  <c r="F20" i="247"/>
  <c r="L20" i="247" s="1"/>
  <c r="N74" i="176"/>
  <c r="N76" i="176" s="1"/>
  <c r="F37" i="224"/>
  <c r="H26" i="224"/>
  <c r="H70" i="179"/>
  <c r="H71" i="179" s="1"/>
  <c r="H76" i="176"/>
  <c r="H78" i="176" s="1"/>
  <c r="D39" i="177"/>
  <c r="F39" i="176" s="1"/>
  <c r="J39" i="177"/>
  <c r="K17" i="52"/>
  <c r="F36" i="224"/>
  <c r="N42" i="176"/>
  <c r="F39" i="179"/>
  <c r="H36" i="179"/>
  <c r="K29" i="52"/>
  <c r="F40" i="177"/>
  <c r="H67" i="179"/>
  <c r="F71" i="179"/>
  <c r="F73" i="179" s="1"/>
  <c r="F29" i="224"/>
  <c r="F28" i="224"/>
  <c r="F30" i="177"/>
  <c r="D32" i="177"/>
  <c r="F32" i="176"/>
  <c r="H34" i="177"/>
  <c r="H44" i="177" s="1"/>
  <c r="F21" i="177"/>
  <c r="J18" i="176"/>
  <c r="D23" i="177"/>
  <c r="F18" i="177"/>
  <c r="F23" i="176"/>
  <c r="L18" i="247"/>
  <c r="J18" i="247"/>
  <c r="F21" i="197"/>
  <c r="D73" i="179"/>
  <c r="D75" i="179" s="1"/>
  <c r="H75" i="179" s="1"/>
  <c r="H35" i="179"/>
  <c r="H25" i="179"/>
  <c r="J21" i="176"/>
  <c r="B51" i="52"/>
  <c r="K46" i="52"/>
  <c r="D32" i="225"/>
  <c r="I20" i="234"/>
  <c r="I24" i="234" s="1"/>
  <c r="K58" i="52" s="1"/>
  <c r="J38" i="176"/>
  <c r="J28" i="176"/>
  <c r="J26" i="176"/>
  <c r="D31" i="179"/>
  <c r="K37" i="52"/>
  <c r="F23" i="265"/>
  <c r="D23" i="225"/>
  <c r="D22" i="179"/>
  <c r="H23" i="176"/>
  <c r="H32" i="176"/>
  <c r="H28" i="179"/>
  <c r="B26" i="96"/>
  <c r="B29" i="96" s="1"/>
  <c r="B40" i="96" s="1"/>
  <c r="B29" i="106"/>
  <c r="B31" i="106" s="1"/>
  <c r="K37" i="198"/>
  <c r="M37" i="198" s="1"/>
  <c r="K35" i="198"/>
  <c r="M35" i="198" s="1"/>
  <c r="K33" i="198"/>
  <c r="M33" i="198" s="1"/>
  <c r="K31" i="198"/>
  <c r="K24" i="198"/>
  <c r="K28" i="198" s="1"/>
  <c r="M18" i="198"/>
  <c r="M24" i="198" s="1"/>
  <c r="M28" i="198" s="1"/>
  <c r="F18" i="224" s="1"/>
  <c r="D32" i="224"/>
  <c r="J29" i="176"/>
  <c r="K19" i="52"/>
  <c r="J23" i="177"/>
  <c r="J34" i="177" s="1"/>
  <c r="J30" i="176"/>
  <c r="J27" i="176"/>
  <c r="D42" i="176"/>
  <c r="D44" i="176" s="1"/>
  <c r="D37" i="179"/>
  <c r="D38" i="224"/>
  <c r="P40" i="176"/>
  <c r="D38" i="225"/>
  <c r="K41" i="52"/>
  <c r="H34" i="179"/>
  <c r="I83" i="52" l="1"/>
  <c r="N18" i="247"/>
  <c r="P18" i="247" s="1"/>
  <c r="J42" i="177"/>
  <c r="J44" i="177" s="1"/>
  <c r="L39" i="177"/>
  <c r="L42" i="177" s="1"/>
  <c r="H39" i="176"/>
  <c r="H42" i="176" s="1"/>
  <c r="G42" i="198"/>
  <c r="E42" i="198" s="1"/>
  <c r="D36" i="265"/>
  <c r="H36" i="265" s="1"/>
  <c r="L38" i="176"/>
  <c r="D28" i="265"/>
  <c r="H28" i="265" s="1"/>
  <c r="L28" i="176"/>
  <c r="D30" i="265"/>
  <c r="L30" i="176"/>
  <c r="D27" i="265"/>
  <c r="H27" i="265" s="1"/>
  <c r="F27" i="225" s="1"/>
  <c r="L27" i="176"/>
  <c r="D29" i="265"/>
  <c r="H29" i="265" s="1"/>
  <c r="L29" i="176"/>
  <c r="D26" i="265"/>
  <c r="H26" i="265" s="1"/>
  <c r="L26" i="176"/>
  <c r="D21" i="265"/>
  <c r="L21" i="176"/>
  <c r="D18" i="265"/>
  <c r="L18" i="176"/>
  <c r="K65" i="52"/>
  <c r="F42" i="127"/>
  <c r="F44" i="127" s="1"/>
  <c r="G27" i="52" s="1"/>
  <c r="G83" i="52" s="1"/>
  <c r="F32" i="177"/>
  <c r="L34" i="177"/>
  <c r="J20" i="247"/>
  <c r="F22" i="247"/>
  <c r="F24" i="247" s="1"/>
  <c r="A27" i="52"/>
  <c r="A29" i="52" s="1"/>
  <c r="A31" i="52" s="1"/>
  <c r="A33" i="52" s="1"/>
  <c r="A35" i="52" s="1"/>
  <c r="A37" i="52" s="1"/>
  <c r="J70" i="176"/>
  <c r="F42" i="176"/>
  <c r="F40" i="224"/>
  <c r="H73" i="179"/>
  <c r="D42" i="177"/>
  <c r="F39" i="177"/>
  <c r="F42" i="177" s="1"/>
  <c r="J37" i="176"/>
  <c r="D34" i="177"/>
  <c r="F34" i="176"/>
  <c r="F23" i="177"/>
  <c r="J23" i="176"/>
  <c r="L22" i="247"/>
  <c r="G33" i="52"/>
  <c r="J40" i="176"/>
  <c r="K60" i="52"/>
  <c r="H34" i="176"/>
  <c r="K39" i="198"/>
  <c r="K42" i="198" s="1"/>
  <c r="M31" i="198"/>
  <c r="D18" i="224"/>
  <c r="H18" i="224" s="1"/>
  <c r="J32" i="176"/>
  <c r="P42" i="176"/>
  <c r="P78" i="176"/>
  <c r="H37" i="179"/>
  <c r="H39" i="179" s="1"/>
  <c r="D39" i="179"/>
  <c r="D41" i="179" s="1"/>
  <c r="D40" i="225"/>
  <c r="D42" i="225" s="1"/>
  <c r="H38" i="224"/>
  <c r="H40" i="224" s="1"/>
  <c r="D40" i="224"/>
  <c r="G112" i="52" l="1"/>
  <c r="G114" i="52" s="1"/>
  <c r="L32" i="176"/>
  <c r="L23" i="176"/>
  <c r="N20" i="247"/>
  <c r="P20" i="247" s="1"/>
  <c r="H27" i="225"/>
  <c r="F32" i="225"/>
  <c r="D23" i="265"/>
  <c r="M42" i="198"/>
  <c r="J76" i="176"/>
  <c r="J78" i="176" s="1"/>
  <c r="L70" i="176"/>
  <c r="L76" i="176" s="1"/>
  <c r="L78" i="176" s="1"/>
  <c r="D38" i="265"/>
  <c r="L40" i="176"/>
  <c r="D35" i="265"/>
  <c r="L37" i="176"/>
  <c r="D32" i="265"/>
  <c r="K33" i="52"/>
  <c r="A39" i="52"/>
  <c r="A41" i="52" s="1"/>
  <c r="A43" i="52" s="1"/>
  <c r="F34" i="177"/>
  <c r="F44" i="177" s="1"/>
  <c r="L44" i="177"/>
  <c r="J22" i="247"/>
  <c r="N22" i="247" s="1"/>
  <c r="P22" i="247" s="1"/>
  <c r="F44" i="176"/>
  <c r="H44" i="176"/>
  <c r="D44" i="177"/>
  <c r="J39" i="176"/>
  <c r="J34" i="176"/>
  <c r="E21" i="52"/>
  <c r="L34" i="176"/>
  <c r="K25" i="52"/>
  <c r="K106" i="52"/>
  <c r="M39" i="198"/>
  <c r="F21" i="224" s="1"/>
  <c r="F23" i="224" s="1"/>
  <c r="D21" i="224"/>
  <c r="K27" i="52"/>
  <c r="F15" i="197"/>
  <c r="F24" i="197" s="1"/>
  <c r="E23" i="52" l="1"/>
  <c r="P24" i="247"/>
  <c r="D37" i="265"/>
  <c r="D40" i="265" s="1"/>
  <c r="D42" i="265" s="1"/>
  <c r="L39" i="176"/>
  <c r="L42" i="176" s="1"/>
  <c r="L44" i="176" s="1"/>
  <c r="A58" i="52"/>
  <c r="A60" i="52" s="1"/>
  <c r="A62" i="52" s="1"/>
  <c r="A64" i="52" s="1"/>
  <c r="A67" i="52" s="1"/>
  <c r="A69" i="52" s="1"/>
  <c r="A71" i="52" s="1"/>
  <c r="A73" i="52" s="1"/>
  <c r="A75" i="52" s="1"/>
  <c r="A77" i="52" s="1"/>
  <c r="J42" i="176"/>
  <c r="J44" i="176" s="1"/>
  <c r="F47" i="247" s="1"/>
  <c r="H43" i="247" s="1"/>
  <c r="O44" i="177"/>
  <c r="N24" i="247"/>
  <c r="H23" i="255"/>
  <c r="D23" i="224"/>
  <c r="H21" i="224"/>
  <c r="H23" i="224" s="1"/>
  <c r="E25" i="52" l="1"/>
  <c r="E27" i="52" s="1"/>
  <c r="E29" i="52" s="1"/>
  <c r="A79" i="52"/>
  <c r="A98" i="52" s="1"/>
  <c r="A102" i="52" s="1"/>
  <c r="A106" i="52" s="1"/>
  <c r="A108" i="52" s="1"/>
  <c r="A110" i="52" s="1"/>
  <c r="A112" i="52" s="1"/>
  <c r="H37" i="265"/>
  <c r="F37" i="225" s="1"/>
  <c r="H37" i="225" s="1"/>
  <c r="D42" i="224"/>
  <c r="F19" i="197" s="1"/>
  <c r="F26" i="197" s="1"/>
  <c r="E31" i="52" l="1"/>
  <c r="A114" i="52"/>
  <c r="E33" i="52" l="1"/>
  <c r="H22" i="255"/>
  <c r="H24" i="255" s="1"/>
  <c r="H26" i="255" s="1"/>
  <c r="F38" i="265" s="1"/>
  <c r="E35" i="52" l="1"/>
  <c r="K43" i="52"/>
  <c r="K83" i="52" s="1"/>
  <c r="E37" i="52" l="1"/>
  <c r="E39" i="52" s="1"/>
  <c r="F40" i="265"/>
  <c r="F42" i="265" s="1"/>
  <c r="E41" i="52" l="1"/>
  <c r="H38" i="265"/>
  <c r="F38" i="225" s="1"/>
  <c r="H38" i="225" l="1"/>
  <c r="E43" i="52"/>
  <c r="E58" i="52" s="1"/>
  <c r="E60" i="52" l="1"/>
  <c r="E62" i="52" l="1"/>
  <c r="E65" i="52" l="1"/>
  <c r="E67" i="52" s="1"/>
  <c r="E69" i="52" l="1"/>
  <c r="N44" i="176"/>
  <c r="F26" i="179"/>
  <c r="F29" i="179"/>
  <c r="H29" i="179" s="1"/>
  <c r="P21" i="176"/>
  <c r="F20" i="179"/>
  <c r="P27" i="176"/>
  <c r="F27" i="224"/>
  <c r="H27" i="224" s="1"/>
  <c r="P30" i="176"/>
  <c r="F30" i="224"/>
  <c r="H30" i="224" s="1"/>
  <c r="P18" i="176"/>
  <c r="F17" i="179"/>
  <c r="H17" i="179" s="1"/>
  <c r="E71" i="52" l="1"/>
  <c r="E73" i="52" s="1"/>
  <c r="P32" i="176"/>
  <c r="P23" i="176"/>
  <c r="F31" i="179"/>
  <c r="H32" i="224"/>
  <c r="H42" i="224" s="1"/>
  <c r="F32" i="224"/>
  <c r="F42" i="224" s="1"/>
  <c r="F22" i="179"/>
  <c r="H20" i="179"/>
  <c r="H22" i="179" s="1"/>
  <c r="H26" i="179"/>
  <c r="H31" i="179" s="1"/>
  <c r="F41" i="179" l="1"/>
  <c r="E75" i="52"/>
  <c r="P34" i="176"/>
  <c r="P44" i="176" s="1"/>
  <c r="H41" i="179"/>
  <c r="H44" i="179" s="1"/>
  <c r="F47" i="176" l="1"/>
  <c r="H47" i="176"/>
  <c r="E77" i="52"/>
  <c r="P47" i="176"/>
  <c r="J47" i="176"/>
  <c r="N47" i="176"/>
  <c r="D47" i="176"/>
  <c r="L47" i="176"/>
  <c r="K24" i="248" s="1"/>
  <c r="K25" i="248" s="1"/>
  <c r="G22" i="248" s="1"/>
  <c r="F44" i="179"/>
  <c r="D44" i="179"/>
  <c r="H18" i="265" l="1"/>
  <c r="R18" i="247"/>
  <c r="R22" i="247" s="1"/>
  <c r="T22" i="247" s="1"/>
  <c r="C41" i="247" s="1"/>
  <c r="H21" i="265"/>
  <c r="F21" i="225" s="1"/>
  <c r="H35" i="265" l="1"/>
  <c r="H21" i="225"/>
  <c r="H30" i="265"/>
  <c r="H30" i="225" s="1"/>
  <c r="H32" i="225" s="1"/>
  <c r="R20" i="247"/>
  <c r="T20" i="247" s="1"/>
  <c r="C39" i="247" s="1"/>
  <c r="T18" i="247"/>
  <c r="C37" i="247" s="1"/>
  <c r="H23" i="265"/>
  <c r="F18" i="225"/>
  <c r="H18" i="225" s="1"/>
  <c r="F35" i="225" l="1"/>
  <c r="H40" i="265"/>
  <c r="F23" i="225"/>
  <c r="H23" i="225"/>
  <c r="H32" i="265"/>
  <c r="T24" i="247"/>
  <c r="C43" i="247"/>
  <c r="H42" i="265" l="1"/>
  <c r="H35" i="225"/>
  <c r="H40" i="225" s="1"/>
  <c r="H42" i="225" s="1"/>
  <c r="F17" i="197" s="1"/>
  <c r="F25" i="197" s="1"/>
  <c r="F40" i="225"/>
  <c r="F42" i="225" s="1"/>
  <c r="F39" i="247"/>
  <c r="H39" i="247" s="1"/>
  <c r="J39" i="247" s="1"/>
  <c r="D22" i="168" s="1"/>
  <c r="F37" i="247"/>
  <c r="H37" i="247" l="1"/>
  <c r="F41" i="247"/>
  <c r="F43" i="247" s="1"/>
  <c r="H41" i="247" l="1"/>
  <c r="J41" i="247" s="1"/>
  <c r="D24" i="168" s="1"/>
  <c r="J37" i="247"/>
  <c r="D20" i="168" l="1"/>
  <c r="J43" i="247"/>
  <c r="G16" i="248" l="1"/>
  <c r="G13" i="63"/>
  <c r="L39" i="247"/>
  <c r="P39" i="247" s="1"/>
  <c r="D26" i="168"/>
  <c r="F22" i="168" s="1"/>
  <c r="J22" i="168" s="1"/>
  <c r="L37" i="247"/>
  <c r="L41" i="247" l="1"/>
  <c r="P37" i="247"/>
  <c r="F20" i="168"/>
  <c r="L43" i="247" l="1"/>
  <c r="G18" i="248"/>
  <c r="G20" i="248" s="1"/>
  <c r="G24" i="248" s="1"/>
  <c r="F24" i="168"/>
  <c r="F26" i="168" s="1"/>
  <c r="J20" i="168"/>
  <c r="P41" i="247"/>
  <c r="P43" i="247" s="1"/>
  <c r="G15" i="63" s="1"/>
  <c r="G17" i="63" l="1"/>
  <c r="I17" i="63" s="1"/>
  <c r="I15" i="63"/>
  <c r="F44" i="35"/>
  <c r="F48" i="35" s="1"/>
  <c r="F18" i="35" s="1"/>
  <c r="G25" i="56"/>
  <c r="F20" i="35" l="1"/>
  <c r="C34" i="35"/>
  <c r="F24" i="35" l="1"/>
  <c r="F26" i="35" l="1"/>
  <c r="F28" i="35" s="1"/>
  <c r="F30" i="35" s="1"/>
  <c r="C100" i="52" s="1"/>
  <c r="G29" i="56"/>
  <c r="G31" i="56" s="1"/>
  <c r="G33" i="56" s="1"/>
  <c r="G36" i="56" s="1"/>
  <c r="G40" i="56" s="1"/>
  <c r="G22" i="63" s="1"/>
  <c r="C33" i="35" l="1"/>
  <c r="C35" i="35" s="1"/>
  <c r="G26" i="248" s="1"/>
  <c r="G28" i="248" s="1"/>
  <c r="I104" i="52" s="1"/>
  <c r="K104" i="52" s="1"/>
  <c r="I100" i="52"/>
  <c r="D31" i="197"/>
  <c r="K100" i="52" l="1"/>
  <c r="K112" i="52" s="1"/>
  <c r="K114" i="52" s="1"/>
  <c r="I112" i="52"/>
  <c r="I114" i="52" s="1"/>
  <c r="J29" i="168" l="1"/>
  <c r="J31" i="168" s="1"/>
  <c r="J24" i="168" s="1"/>
  <c r="H24" i="168" s="1"/>
  <c r="F29" i="197"/>
  <c r="G19" i="63"/>
  <c r="G21" i="63" l="1"/>
  <c r="I21" i="63" s="1"/>
  <c r="I19" i="63"/>
  <c r="J26" i="168"/>
  <c r="G24" i="63" l="1"/>
  <c r="F30" i="197" s="1"/>
  <c r="F31" i="197" s="1"/>
  <c r="F34" i="197" s="1"/>
  <c r="I24" i="63" l="1"/>
  <c r="F37" i="197"/>
  <c r="F39" i="197"/>
  <c r="F38" i="197"/>
</calcChain>
</file>

<file path=xl/comments1.xml><?xml version="1.0" encoding="utf-8"?>
<comments xmlns="http://schemas.openxmlformats.org/spreadsheetml/2006/main">
  <authors>
    <author>Author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>BS Unapp Undis Sub Earnings+TB 219010 Accum OCI-EEI+BS EEI Invest</t>
        </r>
      </text>
    </comment>
    <comment ref="L24" authorId="0">
      <text>
        <r>
          <rPr>
            <sz val="8"/>
            <color indexed="81"/>
            <rFont val="Tahoma"/>
            <family val="2"/>
          </rPr>
          <t>Investments in OVEC ($250,000), Non-Utility plant ($179,121)</t>
        </r>
      </text>
    </comment>
  </commentList>
</comments>
</file>

<file path=xl/sharedStrings.xml><?xml version="1.0" encoding="utf-8"?>
<sst xmlns="http://schemas.openxmlformats.org/spreadsheetml/2006/main" count="1506" uniqueCount="784">
  <si>
    <t>3.  Adjustment</t>
  </si>
  <si>
    <t xml:space="preserve">  Emission Allowances</t>
  </si>
  <si>
    <t xml:space="preserve">                 Page 3 of 3</t>
  </si>
  <si>
    <t xml:space="preserve">                 Page 2 of 3</t>
  </si>
  <si>
    <t xml:space="preserve">                 Page 1 of 3</t>
  </si>
  <si>
    <t>Federal and state income taxes corresponding</t>
  </si>
  <si>
    <t>to base revenue and expense adjustments</t>
  </si>
  <si>
    <t xml:space="preserve">and above adjustments - </t>
  </si>
  <si>
    <t>to annualization and adjustment of</t>
  </si>
  <si>
    <t>year-end interest expense</t>
  </si>
  <si>
    <t>Adjustment for injuries and damages FERC account 925</t>
  </si>
  <si>
    <t>Off-system sales revenue adjustment for the ECR calculation</t>
  </si>
  <si>
    <t>Percentage</t>
  </si>
  <si>
    <t>Net Operating Income Found Reasonable (Line 1 x Line 2)</t>
  </si>
  <si>
    <t>6.</t>
  </si>
  <si>
    <t>7.</t>
  </si>
  <si>
    <t>Kentucky Jurisdictional Rate of Return on Common Equity</t>
  </si>
  <si>
    <t>Calculation of Cash Working Capital</t>
  </si>
  <si>
    <t xml:space="preserve">  Electric Power Purchased</t>
  </si>
  <si>
    <t xml:space="preserve">     Total Deductions</t>
  </si>
  <si>
    <t>Operating and maintenance expense for the</t>
  </si>
  <si>
    <t xml:space="preserve">                 Page 2 of 2</t>
  </si>
  <si>
    <t xml:space="preserve">                 Page 1 of 2</t>
  </si>
  <si>
    <t>Kentucky Jurisdictional (12 1/2% of Line 5)</t>
  </si>
  <si>
    <t>Cash Working Capital</t>
  </si>
  <si>
    <t>Other Jurisdictional comprised of FERC, Tennessee,</t>
  </si>
  <si>
    <t>and Virginia Jurisdictional methodologies.</t>
  </si>
  <si>
    <t xml:space="preserve">  Asset Retirement Obligation-Regulatory Liabilities</t>
  </si>
  <si>
    <t xml:space="preserve">  Asset Retirement Obligation-Net Assets</t>
  </si>
  <si>
    <t>Investments in</t>
  </si>
  <si>
    <t>OVEC and Other</t>
  </si>
  <si>
    <t>(Col 2 x Col 3)</t>
  </si>
  <si>
    <t>Exhibit 9</t>
  </si>
  <si>
    <t>Pro Forma Kentucky Jurisdictional Rate Base</t>
  </si>
  <si>
    <t>Pro Forma</t>
  </si>
  <si>
    <t>(2 + 3)</t>
  </si>
  <si>
    <t>Kentucky Jurisdictional Pro Forma Rate Base - Exhibit 4</t>
  </si>
  <si>
    <t>Kentucky Jurisdictional Reproduction Cost Rate Base - Exhibit 5</t>
  </si>
  <si>
    <t xml:space="preserve">    On Kentucky Jurisdictional Pro Forma Rate Base</t>
  </si>
  <si>
    <t>Revenue Increase Applied for - Exhibit 8</t>
  </si>
  <si>
    <t>14.</t>
  </si>
  <si>
    <t>16.</t>
  </si>
  <si>
    <t>15.</t>
  </si>
  <si>
    <t>Percentage of Rate Base to Total Company Rate Base</t>
  </si>
  <si>
    <t>1. Injury/Damage provision based upon ten year average</t>
  </si>
  <si>
    <t>2.  State income tax at 6.00%</t>
  </si>
  <si>
    <t>8.</t>
  </si>
  <si>
    <t>9.</t>
  </si>
  <si>
    <t>10.</t>
  </si>
  <si>
    <t xml:space="preserve">  Investment Tax Credit (a)</t>
  </si>
  <si>
    <t xml:space="preserve">  Materials and Supplies (b) </t>
  </si>
  <si>
    <t xml:space="preserve">  Prepayments (b)(c)</t>
  </si>
  <si>
    <t xml:space="preserve">  Cash Working Capital (page 2)</t>
  </si>
  <si>
    <t>7.  Total Other Tax adjustments:</t>
  </si>
  <si>
    <t>DEMPROD</t>
  </si>
  <si>
    <t>STMSYS</t>
  </si>
  <si>
    <t>PRODSYS</t>
  </si>
  <si>
    <t>PRODPLT</t>
  </si>
  <si>
    <t xml:space="preserve">  Materials and Supplies </t>
  </si>
  <si>
    <t xml:space="preserve">  Prepayments</t>
  </si>
  <si>
    <t>EXP5017</t>
  </si>
  <si>
    <t>STEAM OPERATING EXP</t>
  </si>
  <si>
    <t>Exhibit 3</t>
  </si>
  <si>
    <t>Exhibit 1</t>
  </si>
  <si>
    <t>Exhibit 2</t>
  </si>
  <si>
    <t>Exhibit 5</t>
  </si>
  <si>
    <t xml:space="preserve">  1.  ECR Accrued Revenue in Accounts 440-445</t>
  </si>
  <si>
    <t xml:space="preserve">Total of above adjustments </t>
  </si>
  <si>
    <t xml:space="preserve">Total adjustments </t>
  </si>
  <si>
    <t>Date:</t>
  </si>
  <si>
    <t>M&amp;S</t>
  </si>
  <si>
    <t>Ten Year Average</t>
  </si>
  <si>
    <t>Pension</t>
  </si>
  <si>
    <t>Post Retirement</t>
  </si>
  <si>
    <t>Adjustment to eliminate Environmental Surcharge revenues and expenses</t>
  </si>
  <si>
    <t xml:space="preserve">     Production Rate</t>
  </si>
  <si>
    <t xml:space="preserve">     Allocated Production Rate</t>
  </si>
  <si>
    <t>5.  Taxable income for Federal income tax (Line 3 - Line 4)</t>
  </si>
  <si>
    <t>6.  Federal income tax at 35% (Line 5 x 35%)</t>
  </si>
  <si>
    <t>7.  Total State and Federal income taxes (Line 2 + Line 6)</t>
  </si>
  <si>
    <t>11.          Total</t>
  </si>
  <si>
    <t>State Income Tax Calculation</t>
  </si>
  <si>
    <t xml:space="preserve">3.  Taxable income for State income tax </t>
  </si>
  <si>
    <t>4.  State Tax Rate</t>
  </si>
  <si>
    <t>5.  State Income Tax</t>
  </si>
  <si>
    <t xml:space="preserve">        adjustment</t>
  </si>
  <si>
    <t>5. Taxable income for State income tax</t>
  </si>
  <si>
    <t>6.  State income tax at 6.00%</t>
  </si>
  <si>
    <t>Rate of Return (Pro-forma):</t>
  </si>
  <si>
    <t xml:space="preserve">  Materials and Supplies</t>
  </si>
  <si>
    <t xml:space="preserve"> 5. "Interest Synchronization" adjustment (Line 4 - 3)</t>
  </si>
  <si>
    <t>Use Demand COS Allocator for ARO amounts</t>
  </si>
  <si>
    <t>Reflects investment tax credit treatment per Case No. 2007-00178.</t>
  </si>
  <si>
    <t>Kentucky Jurisdictional Adjustment</t>
  </si>
  <si>
    <t>5.  Other Tax adjustments:</t>
  </si>
  <si>
    <t>(Col 2 x Col 5 Line 4)</t>
  </si>
  <si>
    <t>(a) - Column 4, Line 3 / Column 2, Line 3</t>
  </si>
  <si>
    <t>(b) - Column 4, Line 4 - Line 1 - Line 2</t>
  </si>
  <si>
    <t>(d) - Column 4, Line 5 divided by Column 1, Line 4</t>
  </si>
  <si>
    <t>1.  Property Insurance expense in test year</t>
  </si>
  <si>
    <t>Exhibit 6</t>
  </si>
  <si>
    <t>Exhibit 8</t>
  </si>
  <si>
    <t>THESE ADJUSTMENTS LEFT INTENTIONALLY BLANK</t>
  </si>
  <si>
    <t>CPI</t>
  </si>
  <si>
    <t xml:space="preserve">               regulated trading sales activities.</t>
  </si>
  <si>
    <t>Distribution O&amp;M (Storm Damages)</t>
  </si>
  <si>
    <t>To Eliminate DSM Revenues and Expenses</t>
  </si>
  <si>
    <t>Rates of Return - Actual and Requested</t>
  </si>
  <si>
    <t>Pro-Formed for the Rate Increase</t>
  </si>
  <si>
    <t>Kentucky Jurisdictional Net Original Cost Rate Base - Exhibit 3</t>
  </si>
  <si>
    <t>Kentucky Jurisdictional Net Operating Income - Actual - Exhibit 1</t>
  </si>
  <si>
    <t>Rate of Return (Actual):</t>
  </si>
  <si>
    <t xml:space="preserve">    On Kentucky Jurisdictional Reproduction Cost Rate Base</t>
  </si>
  <si>
    <t>Kentucky Jurisdictional Adjusted Net Operating Income - Exhibit 1</t>
  </si>
  <si>
    <t>Adjusted Kentucky Jurisdictional Net Operating Income Pro-formed for Rate</t>
  </si>
  <si>
    <t>Increase</t>
  </si>
  <si>
    <t>11.</t>
  </si>
  <si>
    <t>12.</t>
  </si>
  <si>
    <t xml:space="preserve">    On Kentucky Jurisdictional Net Original Cost Rate Base</t>
  </si>
  <si>
    <t>13.</t>
  </si>
  <si>
    <t>Estimated Reproduction (or Current) Cost of Utility Plant</t>
  </si>
  <si>
    <t xml:space="preserve">Other </t>
  </si>
  <si>
    <t xml:space="preserve">Jurisdictional </t>
  </si>
  <si>
    <t>Original Cost</t>
  </si>
  <si>
    <t xml:space="preserve">Effect of </t>
  </si>
  <si>
    <t xml:space="preserve">At </t>
  </si>
  <si>
    <t xml:space="preserve">Plant at </t>
  </si>
  <si>
    <t>Changing Prices (a)</t>
  </si>
  <si>
    <t>Plant in Service</t>
  </si>
  <si>
    <t>Electric Plant :</t>
  </si>
  <si>
    <t xml:space="preserve">  Steam Production</t>
  </si>
  <si>
    <t xml:space="preserve">  Hydraulic Production</t>
  </si>
  <si>
    <t xml:space="preserve">  Other Production</t>
  </si>
  <si>
    <t xml:space="preserve">  Transmission </t>
  </si>
  <si>
    <t xml:space="preserve">  Distribution</t>
  </si>
  <si>
    <t xml:space="preserve">  General</t>
  </si>
  <si>
    <t xml:space="preserve">  Intangible</t>
  </si>
  <si>
    <t>Total Plant in Service</t>
  </si>
  <si>
    <t>Construction Work In Progress</t>
  </si>
  <si>
    <t>Total Utility Plant</t>
  </si>
  <si>
    <t>Less Reserve for Depreciation:</t>
  </si>
  <si>
    <t>Total Reserve for Depreciation</t>
  </si>
  <si>
    <t>Total Utility Plant less Reserve for Depreciation</t>
  </si>
  <si>
    <t>(a)  Based on Handy -Whitman Index</t>
  </si>
  <si>
    <t xml:space="preserve">                 Page 1 of 1</t>
  </si>
  <si>
    <t>Estimated Net Reproduction Cost Kentucky Jurisdictional Rate Base</t>
  </si>
  <si>
    <t xml:space="preserve">Pro-forma Net Operating Income </t>
  </si>
  <si>
    <t xml:space="preserve">Net Operating Income Deficiency/(Sufficiency) </t>
  </si>
  <si>
    <t>2. Amortization period in years</t>
  </si>
  <si>
    <t>3. Annual amortization</t>
  </si>
  <si>
    <t xml:space="preserve">Overall Revenue Deficiency/(Sufficiency) </t>
  </si>
  <si>
    <t>Total</t>
  </si>
  <si>
    <t xml:space="preserve">   Net </t>
  </si>
  <si>
    <t>Reference</t>
  </si>
  <si>
    <t xml:space="preserve">  Operating</t>
  </si>
  <si>
    <t>Schedule</t>
  </si>
  <si>
    <t xml:space="preserve"> Revenues</t>
  </si>
  <si>
    <t xml:space="preserve"> Expenses</t>
  </si>
  <si>
    <t xml:space="preserve"> Income</t>
  </si>
  <si>
    <t>(1)</t>
  </si>
  <si>
    <t>%</t>
  </si>
  <si>
    <t>Adjustments</t>
  </si>
  <si>
    <t>Per Books</t>
  </si>
  <si>
    <t>Cost</t>
  </si>
  <si>
    <t>of</t>
  </si>
  <si>
    <t>Annual</t>
  </si>
  <si>
    <t>Capital</t>
  </si>
  <si>
    <t>Adjusted</t>
  </si>
  <si>
    <t>Rate</t>
  </si>
  <si>
    <t>(2)</t>
  </si>
  <si>
    <t>1.</t>
  </si>
  <si>
    <t>2.</t>
  </si>
  <si>
    <t>3.</t>
  </si>
  <si>
    <t>4.</t>
  </si>
  <si>
    <t>5.</t>
  </si>
  <si>
    <t>Total Capitalization</t>
  </si>
  <si>
    <t>Pursuant to Commission Rule 807 KAR 5:016</t>
  </si>
  <si>
    <t xml:space="preserve">  1.  Uniform System of Accounts -</t>
  </si>
  <si>
    <t xml:space="preserve">  3.  Total</t>
  </si>
  <si>
    <t xml:space="preserve">          </t>
  </si>
  <si>
    <t xml:space="preserve">1. Assume pre-tax income of </t>
  </si>
  <si>
    <t>Amount</t>
  </si>
  <si>
    <t xml:space="preserve">       Account No. 930.1 General</t>
  </si>
  <si>
    <t xml:space="preserve">       Advertising Expenses</t>
  </si>
  <si>
    <t>Average</t>
  </si>
  <si>
    <t>8.  Therefore, the composite rate is:</t>
  </si>
  <si>
    <t>9.            Federal</t>
  </si>
  <si>
    <t>10.          State</t>
  </si>
  <si>
    <t xml:space="preserve">Calculation of Revenue Gross Up Factor </t>
  </si>
  <si>
    <t>Income Tax Rate</t>
  </si>
  <si>
    <t>Calculation of Composite Federal and Kentucky</t>
  </si>
  <si>
    <t xml:space="preserve">  3.  Total adjustment (Line 2 - Line 1)</t>
  </si>
  <si>
    <t>Pension and Post Retirement and Benefits</t>
  </si>
  <si>
    <t>Remainder (Line 1 - Line 4)</t>
  </si>
  <si>
    <t>Capitalization</t>
  </si>
  <si>
    <t>Short Term Debt</t>
  </si>
  <si>
    <t>Page 2 of 4</t>
  </si>
  <si>
    <t>Operating</t>
  </si>
  <si>
    <t>Overtime and Premium</t>
  </si>
  <si>
    <t>Total Operating and Construction/Other %</t>
  </si>
  <si>
    <t>Operating Labor based on annualized labor</t>
  </si>
  <si>
    <t>x</t>
  </si>
  <si>
    <t>Page 3 of 4</t>
  </si>
  <si>
    <t xml:space="preserve">Adjustments to Reflect Increases in Payroll Taxes </t>
  </si>
  <si>
    <t>Percentage of wages that do not exceed Social Security (OASDI) limit</t>
  </si>
  <si>
    <t>Operating Labor increase subject to Social Security tax (Line 1 x Line 2)</t>
  </si>
  <si>
    <t>Medicare Tax (Line 1 x 1.45%)</t>
  </si>
  <si>
    <t>Social Security Tax (Line 3 x 6.2%)</t>
  </si>
  <si>
    <t>Payroll Tax adjustment (Line 4 + Line 5)</t>
  </si>
  <si>
    <t>Page 4 of 4</t>
  </si>
  <si>
    <t>Adjustment to Reflect Increases in Company Contribution to 401(k)</t>
  </si>
  <si>
    <t>Long Term Debt</t>
  </si>
  <si>
    <t>Common Equity</t>
  </si>
  <si>
    <t>Rate Base</t>
  </si>
  <si>
    <t>to</t>
  </si>
  <si>
    <t>Environmental</t>
  </si>
  <si>
    <t>Surcharge</t>
  </si>
  <si>
    <t xml:space="preserve">Capital </t>
  </si>
  <si>
    <t>Structure</t>
  </si>
  <si>
    <t>Page 1 of 1</t>
  </si>
  <si>
    <t>Adjusted Net Operating Income</t>
  </si>
  <si>
    <t>Adjustment to Eliminate Unbilled Revenues</t>
  </si>
  <si>
    <t>Adjustment to Reflect Normalized Storm Damage Expense</t>
  </si>
  <si>
    <t>1.  Storm damage provision based</t>
  </si>
  <si>
    <t>2.  Storm damage expenses incurred during</t>
  </si>
  <si>
    <t>Year</t>
  </si>
  <si>
    <t>Expense</t>
  </si>
  <si>
    <t>Adjustment to Eliminate Advertising Expenses</t>
  </si>
  <si>
    <t>Prior income tax true-ups and adjustments</t>
  </si>
  <si>
    <t>Adjustment to Eliminate Environmental Surcharge Revenues and Expenses</t>
  </si>
  <si>
    <t>KENTUCKY UTILITIES</t>
  </si>
  <si>
    <t>Subsidiary</t>
  </si>
  <si>
    <t>Earnings</t>
  </si>
  <si>
    <t>Investment</t>
  </si>
  <si>
    <t>in EEI</t>
  </si>
  <si>
    <t>Total Co.</t>
  </si>
  <si>
    <t>Adjusted Total</t>
  </si>
  <si>
    <t>Company</t>
  </si>
  <si>
    <t>Jurisdictional</t>
  </si>
  <si>
    <t>Kentucky</t>
  </si>
  <si>
    <t xml:space="preserve">            Page 1 of 1</t>
  </si>
  <si>
    <t>Adjustments to Operating Revenues, Operating Expenses and Net Operating Income</t>
  </si>
  <si>
    <t>Calculation of Current Tax Adjustment Resulting</t>
  </si>
  <si>
    <t>Revenue</t>
  </si>
  <si>
    <t>Adjustments for known changes and to eliminate unrepresentative conditions:</t>
  </si>
  <si>
    <t xml:space="preserve">3.  Adjustment </t>
  </si>
  <si>
    <t>(3)</t>
  </si>
  <si>
    <t>Off-System</t>
  </si>
  <si>
    <t>Sales</t>
  </si>
  <si>
    <t>Factor</t>
  </si>
  <si>
    <t>KU</t>
  </si>
  <si>
    <t>Form A</t>
  </si>
  <si>
    <t>Form A*</t>
  </si>
  <si>
    <t>Month</t>
  </si>
  <si>
    <t>Line 3</t>
  </si>
  <si>
    <t>(4)</t>
  </si>
  <si>
    <t>*</t>
  </si>
  <si>
    <t>Undistributed</t>
  </si>
  <si>
    <t>To Adjust Mismatch in Fuel Cost Recovery</t>
  </si>
  <si>
    <t>Adjustment to Annualize Year-End Customers</t>
  </si>
  <si>
    <t>Adjustment for Injuries and Damages FERC Account 925</t>
  </si>
  <si>
    <t>Other</t>
  </si>
  <si>
    <t>Adjustment to eliminate unbilled revenues</t>
  </si>
  <si>
    <t xml:space="preserve"> </t>
  </si>
  <si>
    <t xml:space="preserve">  Emission Allowances (b)</t>
  </si>
  <si>
    <t>1.  Prior Year Income Tax True-up:</t>
  </si>
  <si>
    <t>2.     Federal Tax expense (benefit)</t>
  </si>
  <si>
    <t xml:space="preserve">3.     State Tax expense (benefit) </t>
  </si>
  <si>
    <t>4.  Total Income Tax True-up</t>
  </si>
  <si>
    <t>8.  Federal benefit for State Tax adjustments</t>
  </si>
  <si>
    <t>9.  Total adjustments (Line 4 + Line 7 + Line 8)</t>
  </si>
  <si>
    <t>11.  Kentucky Jurisdiction amount (Line 9 x Line 10)</t>
  </si>
  <si>
    <t>12.  Kentucky Jurisdiction adjustment</t>
  </si>
  <si>
    <t>3.  Taxable income for Federal income tax before production deduction</t>
  </si>
  <si>
    <t xml:space="preserve">     Allocation to Production Income</t>
  </si>
  <si>
    <t>Adjustment to reflect annualized depreciation expenses</t>
  </si>
  <si>
    <t>Supporting Schedule-Exhibit 3</t>
  </si>
  <si>
    <t xml:space="preserve"> 4.   Kentucky Jurisdictional Interest per books (excluding other interest)</t>
  </si>
  <si>
    <t>Kentucky Jurisdictional Allocators</t>
  </si>
  <si>
    <t>ECR Operating Expense</t>
  </si>
  <si>
    <t>Composite rate developed from steam depreciation allocator</t>
  </si>
  <si>
    <t>Ratio of Kentucky retail kilowatt-hour sales to Total Company</t>
  </si>
  <si>
    <t>kilowatt-hour sales</t>
  </si>
  <si>
    <t>Depreciation</t>
  </si>
  <si>
    <t>Labor</t>
  </si>
  <si>
    <t>Advertising Expense</t>
  </si>
  <si>
    <t>Retail energy</t>
  </si>
  <si>
    <t>Title</t>
  </si>
  <si>
    <t>Injuries/Damages</t>
  </si>
  <si>
    <t>Rule 807 KAR 5:016</t>
  </si>
  <si>
    <t>(a)</t>
  </si>
  <si>
    <t>Title of Account</t>
  </si>
  <si>
    <t>Add:</t>
  </si>
  <si>
    <t>Deduct:</t>
  </si>
  <si>
    <t xml:space="preserve">  Investment Tax Credit</t>
  </si>
  <si>
    <t>Line 8</t>
  </si>
  <si>
    <t>Consumers</t>
  </si>
  <si>
    <t xml:space="preserve">  2.  Account No. 913 Advertising Expenses</t>
  </si>
  <si>
    <t xml:space="preserve"> 1.  Adjusted Jurisdictional Capitalization - Exhibit 2</t>
  </si>
  <si>
    <t>1.  Revenue adjustment</t>
  </si>
  <si>
    <t>2.  Expense adjustment</t>
  </si>
  <si>
    <t>3.  Net adjustment</t>
  </si>
  <si>
    <t xml:space="preserve">5.  Kentucky Jurisdictional adjustment </t>
  </si>
  <si>
    <t>2. Injury/Damage expenses incurred during the 12 months ended</t>
  </si>
  <si>
    <t xml:space="preserve"> 2.  Weighted Cost of Debt - Exhibit 2</t>
  </si>
  <si>
    <t>Allocation Based On</t>
  </si>
  <si>
    <t>Direct labor</t>
  </si>
  <si>
    <t>Distribution plant</t>
  </si>
  <si>
    <t>Income tax expense</t>
  </si>
  <si>
    <t>Composite rate developed by dividing Kentucky retail</t>
  </si>
  <si>
    <t>depreciation by Total Company depreciation</t>
  </si>
  <si>
    <t xml:space="preserve">* NOTE : Expenses are recovered in the second succeeding month. For example, </t>
  </si>
  <si>
    <t>Off-System Sales Revenue Adjustment for the ECR Calculation</t>
  </si>
  <si>
    <t>CPI-All Urban</t>
  </si>
  <si>
    <t>From "Interest Synchronization"</t>
  </si>
  <si>
    <t xml:space="preserve"> 3.  "Interest Synchronization"</t>
  </si>
  <si>
    <t xml:space="preserve"> 6.  Composite Federal and State tax rate</t>
  </si>
  <si>
    <t xml:space="preserve"> 7.  Current tax adjustment from "Interest Synchronization"</t>
  </si>
  <si>
    <t>Adjustment for Prior Period Income Tax True-Ups and Adjustments</t>
  </si>
  <si>
    <t>Utility Plant at Original Cost</t>
  </si>
  <si>
    <t xml:space="preserve">  Reserve for Depreciation</t>
  </si>
  <si>
    <t>Net Utility Plant</t>
  </si>
  <si>
    <t xml:space="preserve">  Customer Advances for Construction</t>
  </si>
  <si>
    <t xml:space="preserve">  Accumulated Deferred Income Taxes</t>
  </si>
  <si>
    <t>Total Deductions</t>
  </si>
  <si>
    <t>Net Plant Deductions</t>
  </si>
  <si>
    <t>Average for 13 months.</t>
  </si>
  <si>
    <t xml:space="preserve">     Total Additions</t>
  </si>
  <si>
    <t>Total Net Original Cost Rate Base</t>
  </si>
  <si>
    <t>Net Original Cost Kentucky Jurisdictional Rate Base</t>
  </si>
  <si>
    <t>Adjustment</t>
  </si>
  <si>
    <t xml:space="preserve">  6.  Kentucky Jurisdictional adjustment </t>
  </si>
  <si>
    <t xml:space="preserve">  5.  Kentucky Jurisdictional amount</t>
  </si>
  <si>
    <t>1.  DSM Revenue adjustment</t>
  </si>
  <si>
    <t>2.  DSM Expense adjustment</t>
  </si>
  <si>
    <t>Jurisdictional amount per books</t>
  </si>
  <si>
    <t xml:space="preserve">  Cash Working Capital</t>
  </si>
  <si>
    <t>(b)</t>
  </si>
  <si>
    <t>Net ECR</t>
  </si>
  <si>
    <t>(3 - 4)</t>
  </si>
  <si>
    <t xml:space="preserve">Brokered and Off-System Energy </t>
  </si>
  <si>
    <t xml:space="preserve"> 11.  Net Kentucky Jurisdictional adjustment (Line 6 - Line 10)</t>
  </si>
  <si>
    <t>May</t>
  </si>
  <si>
    <t>Page 5 of 6</t>
  </si>
  <si>
    <t>Feb</t>
  </si>
  <si>
    <t>Mar</t>
  </si>
  <si>
    <t>Apr</t>
  </si>
  <si>
    <t>Jun</t>
  </si>
  <si>
    <t>Aug</t>
  </si>
  <si>
    <t>Sep</t>
  </si>
  <si>
    <t>Nov</t>
  </si>
  <si>
    <t>Percent</t>
  </si>
  <si>
    <t>Weighted</t>
  </si>
  <si>
    <t>Cost of</t>
  </si>
  <si>
    <t>(c)</t>
  </si>
  <si>
    <t>(d)</t>
  </si>
  <si>
    <t>Net Operating Income / Total Capitalization</t>
  </si>
  <si>
    <t>Notes:</t>
  </si>
  <si>
    <t>Page 1 of 4</t>
  </si>
  <si>
    <t>Adjustment to Reflect Increases in Labor and Labor-Related Costs</t>
  </si>
  <si>
    <t xml:space="preserve">     upon ten year average</t>
  </si>
  <si>
    <t xml:space="preserve">  3.  FAC Accrued Revenue in Accounts 440-445</t>
  </si>
  <si>
    <t xml:space="preserve">  4.  DSM Accrued Revenue in Accounts 440-445</t>
  </si>
  <si>
    <t xml:space="preserve">  5.  Total Kentucky Jurisdictional Accrued Revenues</t>
  </si>
  <si>
    <t>Wages (Page 2)</t>
  </si>
  <si>
    <t>Payroll Taxes  (Page 3)</t>
  </si>
  <si>
    <t>401(k) (Page 4)</t>
  </si>
  <si>
    <t>Excludes PSC fees.</t>
  </si>
  <si>
    <t xml:space="preserve"> (1) ECR Roll-in pursuant to Commission's Order dated December 2, 2009 in Case No. 2009-00310. </t>
  </si>
  <si>
    <t>(Col. 1 * 3)</t>
  </si>
  <si>
    <t xml:space="preserve">  2.  Pension, Post Retirement, and Post Employment expenses annualized for</t>
  </si>
  <si>
    <t xml:space="preserve">  5.  Kentucky Jurisdictional adjustment </t>
  </si>
  <si>
    <t>Post Employment</t>
  </si>
  <si>
    <t xml:space="preserve">  1.  Pension, Post Retirement and Post Employment expenses in test year</t>
  </si>
  <si>
    <t xml:space="preserve">Income Taxes </t>
  </si>
  <si>
    <t xml:space="preserve">  1.  Adjustment to base rate revenues to reflect a full year of the</t>
  </si>
  <si>
    <t>Compliance</t>
  </si>
  <si>
    <t>Plans (a)</t>
  </si>
  <si>
    <t>2.  Amortization period in years</t>
  </si>
  <si>
    <t>3.  Amortization per year</t>
  </si>
  <si>
    <t>Pro Forma Adjustments to Kentucky Jurisdictional Rate Base</t>
  </si>
  <si>
    <t>Compliance Plans</t>
  </si>
  <si>
    <t>Total Kentucky</t>
  </si>
  <si>
    <t>Adjustments (b)</t>
  </si>
  <si>
    <t xml:space="preserve">Adjustment To Reflect Annualized Depreciation Expenses </t>
  </si>
  <si>
    <t>(Exhibit 3 Line 19)</t>
  </si>
  <si>
    <t>Total Net Reproduction Cost Rate Base</t>
  </si>
  <si>
    <t>Utility Plant at Estimated Reproduction Cost</t>
  </si>
  <si>
    <t>3. Net Adjustment</t>
  </si>
  <si>
    <t xml:space="preserve">  6.  Total Adjustment</t>
  </si>
  <si>
    <t xml:space="preserve">     All other years expenses are for calendar year.</t>
  </si>
  <si>
    <t>Exhibit 3, Column 2</t>
  </si>
  <si>
    <t>Kentucky Jurisdiction (Ref. Sch. Allocators)</t>
  </si>
  <si>
    <t xml:space="preserve">  8.  Kentucky Jurisdiction (Ref. Sch. Allocators)</t>
  </si>
  <si>
    <t xml:space="preserve">  4.  Kentucky Jurisdiction (Ref. Sch. Allocators)</t>
  </si>
  <si>
    <t>4.  Kentucky Jurisdiction (Ref. Sch. Allocators)</t>
  </si>
  <si>
    <t>10.  Kentucky Jurisdiction (Ref. Sch. Allocators)</t>
  </si>
  <si>
    <t>Rate Base (a)</t>
  </si>
  <si>
    <t xml:space="preserve">      2009 Winter Storm expenses that were recorded as regulatory assets.</t>
  </si>
  <si>
    <t>To Eliminate Net Brokered and Financial Swap Revenues and Expenses</t>
  </si>
  <si>
    <t xml:space="preserve">  1.  Brokered and Financial Swap Revenues</t>
  </si>
  <si>
    <t xml:space="preserve">  2.  Brokered and Financial Swap Expenses recorded in revenues</t>
  </si>
  <si>
    <t xml:space="preserve">  3.  Net Brokered and Financial Swap Revenues</t>
  </si>
  <si>
    <t xml:space="preserve">  5.  Kentucky Jurisdiction Net Brokered and Financial Swap Revenues</t>
  </si>
  <si>
    <t xml:space="preserve">  6.  Kentucky Jurisdiction Net Brokered and Financial </t>
  </si>
  <si>
    <t xml:space="preserve">             Swap Revenues adjustment</t>
  </si>
  <si>
    <t xml:space="preserve">  7.  Operating Expenses related to Brokered and Financial Swap</t>
  </si>
  <si>
    <t xml:space="preserve">  9.  Kentucky Jurisdiction Brokered and Financial Swap Operating Expenses</t>
  </si>
  <si>
    <t>To eliminate net brokered and financial swap revenues and expenses</t>
  </si>
  <si>
    <t xml:space="preserve"> 10.  Kentucky Jurisdiction Net Brokered and Financial Swap Operating Expenses</t>
  </si>
  <si>
    <t>(Page 3 Col 2)</t>
  </si>
  <si>
    <t>4.  Kentucky Jurisdiction</t>
  </si>
  <si>
    <t>Kentucky Utilities Company</t>
  </si>
  <si>
    <t>Adjustment to federal and state income taxes resulting from interest synchronization</t>
  </si>
  <si>
    <t>ELECTRIC</t>
  </si>
  <si>
    <t>To adjust mismatch in fuel cost recovery</t>
  </si>
  <si>
    <t>Adjustment to reflect increases in labor and labor related costs</t>
  </si>
  <si>
    <t>Adjustment to reflect normalized storm damage expense</t>
  </si>
  <si>
    <t>Dec</t>
  </si>
  <si>
    <t>PLANS AS OF</t>
  </si>
  <si>
    <t>Jul</t>
  </si>
  <si>
    <t>3.  Increase/(Decrease) in book revenues due to unbilled revenues</t>
  </si>
  <si>
    <t>To Adjust Base Rates and FAC to Reflect a Full Year of the FAC Roll-In</t>
  </si>
  <si>
    <t xml:space="preserve">  2.  Adjustment to FAC revenues to reflect a full year of the </t>
  </si>
  <si>
    <t xml:space="preserve">  3.  Net adjustment </t>
  </si>
  <si>
    <t>8.  Taxable income for Federal income tax</t>
  </si>
  <si>
    <t>9.  Federal income tax at 35%</t>
  </si>
  <si>
    <t>10.  Total Bad Debt, PSC Assessment, State and Federal income taxes</t>
  </si>
  <si>
    <t xml:space="preserve">     (Line 2 + Line 3 + Line 6 + Line 9)</t>
  </si>
  <si>
    <t xml:space="preserve">11.  Assume pre-tax income of </t>
  </si>
  <si>
    <t>12.  Gross Up Revenue Factor</t>
  </si>
  <si>
    <t xml:space="preserve">             the amount of domestic production activities deduction calculated at six percent (6%) as allowed in </t>
  </si>
  <si>
    <t xml:space="preserve">             Section 199(a)(2) of the Internal Revenue Code for taxable years beginning before 2010.</t>
  </si>
  <si>
    <t xml:space="preserve">Notes: (1) Pursuant to KRS 141.010(11)(c) and (13)(c), for taxable years beginning on or after January 1, 2010, </t>
  </si>
  <si>
    <t>(Includes KU to KU/Servco to KU/LGE to KU)</t>
  </si>
  <si>
    <t>(Includes KU to KU/Servco to KU/LGE to KU/KU to Other)</t>
  </si>
  <si>
    <t xml:space="preserve">Base </t>
  </si>
  <si>
    <t>Union - KU</t>
  </si>
  <si>
    <t>of total</t>
  </si>
  <si>
    <t>Exempt - KU</t>
  </si>
  <si>
    <t>Non-Exempt - KU</t>
  </si>
  <si>
    <t>Hourly - KU</t>
  </si>
  <si>
    <t>Exempt - Servco (allocated to KU)</t>
  </si>
  <si>
    <t>Non-Exempt -  Servco (allocated to KU)</t>
  </si>
  <si>
    <t>Union - LGE (allocated to KU)</t>
  </si>
  <si>
    <t>Exempt - LGE (allocated to KU)</t>
  </si>
  <si>
    <t>Non-Exempt - LGE (allocated to KU)</t>
  </si>
  <si>
    <t>Overtime &amp; Premiums - (increases allocated as noted):</t>
  </si>
  <si>
    <t xml:space="preserve">3. PSC Assessment at .1529% </t>
  </si>
  <si>
    <t>Calculation of Composite Federal and Kentucky Income tax rate</t>
  </si>
  <si>
    <t>Allocators</t>
  </si>
  <si>
    <t>Oct</t>
  </si>
  <si>
    <t>To adjust base rates and FAC to reflect a full year of the FAC roll-in</t>
  </si>
  <si>
    <t>Adjustment to annualize year-end customers</t>
  </si>
  <si>
    <t>Adjustment for pension, post retirement, and post employment costs</t>
  </si>
  <si>
    <t>(Based on Law in Effect January 1, 2012)</t>
  </si>
  <si>
    <t xml:space="preserve">       2012 Mercer Study</t>
  </si>
  <si>
    <t>Environmental Compliance</t>
  </si>
  <si>
    <t>Revenues Collected in</t>
  </si>
  <si>
    <t>Total Expenses</t>
  </si>
  <si>
    <t>ECR Rate Base</t>
  </si>
  <si>
    <t xml:space="preserve">Rate Base </t>
  </si>
  <si>
    <t>Page 2 of 2</t>
  </si>
  <si>
    <t>Page 1 of 2</t>
  </si>
  <si>
    <t>Adjustment to remove out-of-period items</t>
  </si>
  <si>
    <t>Adjustment to Remove Out-of-Period Items</t>
  </si>
  <si>
    <t>To Eliminate Rate Mechanism Revenue Accruals</t>
  </si>
  <si>
    <t>Demand Non-Ferc</t>
  </si>
  <si>
    <t xml:space="preserve">Total O&amp;M </t>
  </si>
  <si>
    <t>Total O&amp;M</t>
  </si>
  <si>
    <t xml:space="preserve">            FAC Roll-In (a)</t>
  </si>
  <si>
    <t xml:space="preserve">(a) FAC roll-in pursuant to Commission's Order dated May 31, 2011 in Case No. 2010-00492. </t>
  </si>
  <si>
    <t>Base Rates (a)</t>
  </si>
  <si>
    <t>Environmental Surcharge (b)</t>
  </si>
  <si>
    <t>E(m) (a)</t>
  </si>
  <si>
    <t xml:space="preserve">  (a)  ES Form 1.10</t>
  </si>
  <si>
    <t>Adjustment to eliminate advertising expenses pursuant to Commission Rule 807 KAR 5:016</t>
  </si>
  <si>
    <t>1.03</t>
  </si>
  <si>
    <t>E(m)</t>
  </si>
  <si>
    <t>ECR RATE BASE JURIS FACTORS</t>
  </si>
  <si>
    <t>ALLOCATIONS (PER PSC 98-474)</t>
  </si>
  <si>
    <t>SUPPORT FOR PER BOOKS INTEREST CALCULATION</t>
  </si>
  <si>
    <t>Total Interest per books (a)</t>
  </si>
  <si>
    <t>Less: Customer Deposits Interest</t>
  </si>
  <si>
    <t>Less: Other Tax Deficiences Interest</t>
  </si>
  <si>
    <t>Less: Interest on DSM Recovery</t>
  </si>
  <si>
    <t>Less: AFUDC Borrowed Funds</t>
  </si>
  <si>
    <t>Total Interest per books excluding other interest</t>
  </si>
  <si>
    <t>Kentucky Jurisdiction Percent (b)</t>
  </si>
  <si>
    <t>Kentucky Jurisdictional Interest</t>
  </si>
  <si>
    <t>(a) Financial Report page 12</t>
  </si>
  <si>
    <t>(b) Supporting Schedule-Exhibit 3, Page 1, Col 4, Line 20</t>
  </si>
  <si>
    <t>March 31, 2012</t>
  </si>
  <si>
    <t>March 31, 2011</t>
  </si>
  <si>
    <t>Sponsoring Witness:</t>
  </si>
  <si>
    <t>Exhibit 4</t>
  </si>
  <si>
    <t>Exhibit 7</t>
  </si>
  <si>
    <t>Blake</t>
  </si>
  <si>
    <t>Supporting Schedule-Exhibit 4</t>
  </si>
  <si>
    <t>Bellar</t>
  </si>
  <si>
    <t>Conroy</t>
  </si>
  <si>
    <t>Scott</t>
  </si>
  <si>
    <t>Arbough</t>
  </si>
  <si>
    <t>Jan</t>
  </si>
  <si>
    <t>(a) 2012 expense is for 12 months ended March 31, 2012.</t>
  </si>
  <si>
    <t>(b) 2008 and 2009 expenses do not include 2008 Wind Storm and</t>
  </si>
  <si>
    <t>Expense (a)</t>
  </si>
  <si>
    <t>TME Mar 2012</t>
  </si>
  <si>
    <t>Amount (a)</t>
  </si>
  <si>
    <t>1.00</t>
  </si>
  <si>
    <t>1.10</t>
  </si>
  <si>
    <t>1.20</t>
  </si>
  <si>
    <t>1.01</t>
  </si>
  <si>
    <t>1.02</t>
  </si>
  <si>
    <t>1.04</t>
  </si>
  <si>
    <t>1.05</t>
  </si>
  <si>
    <t>1.06</t>
  </si>
  <si>
    <t>1.07</t>
  </si>
  <si>
    <t>1.08</t>
  </si>
  <si>
    <t>1.09</t>
  </si>
  <si>
    <t>1.11</t>
  </si>
  <si>
    <t>1.12</t>
  </si>
  <si>
    <t>1.13</t>
  </si>
  <si>
    <t>1.15</t>
  </si>
  <si>
    <t>1.14</t>
  </si>
  <si>
    <t>1.18</t>
  </si>
  <si>
    <t>1.19</t>
  </si>
  <si>
    <t xml:space="preserve">                 January 2012 would be reflected in March 2012.</t>
  </si>
  <si>
    <t>Recommended Rate of Return on Common Equity</t>
  </si>
  <si>
    <t>ECR Elimination</t>
  </si>
  <si>
    <t>1.  Kentucky Jurisdiction MISO Exit Fee Regulatory Asset at March 31, 2012</t>
  </si>
  <si>
    <t>4.  Less Amortization accrual for post test year (April 2012 - December 2012)</t>
  </si>
  <si>
    <t>5.  Less Regulatory Liability accrual for post test year (April 2012 - December 2012)</t>
  </si>
  <si>
    <t>7.  Amortization period in years</t>
  </si>
  <si>
    <t>8.  Amortization per year</t>
  </si>
  <si>
    <t>9. Less Amortization recorded in test year (April 2011 - March 2012)</t>
  </si>
  <si>
    <t>10. Adjustment to Test Year Amortization</t>
  </si>
  <si>
    <t xml:space="preserve">     at March 31, 2012 (Line 1 + Line 2)</t>
  </si>
  <si>
    <t>3.  Kentucky Jurisdiction Net MISO Exit Fee Regulatory Asset / (Liability)</t>
  </si>
  <si>
    <t>Adjustment for MISO exit regulatory asset / liability</t>
  </si>
  <si>
    <t>1.16</t>
  </si>
  <si>
    <t>Adjustment for General Management Audit Regulatory Asset</t>
  </si>
  <si>
    <t>1.  General Management Audit Regulatory Asset</t>
  </si>
  <si>
    <t xml:space="preserve">Adjustment for General Management audit regulatory asset </t>
  </si>
  <si>
    <t>1.17</t>
  </si>
  <si>
    <t>Adjustment for General Management audit regulatory asset</t>
  </si>
  <si>
    <t>2.  Property Insurance renewal premium for 2012/2013</t>
  </si>
  <si>
    <t>Property Insurance</t>
  </si>
  <si>
    <t>Plant</t>
  </si>
  <si>
    <t>3.  Total Adjustment (Line 2 - Line 1)</t>
  </si>
  <si>
    <t>Adjustment to reflect increase in property insurance expense</t>
  </si>
  <si>
    <t>Adjustment for Transfer of Independent Transmission Operator Functions</t>
  </si>
  <si>
    <t>1.  SPP ITO Expenses in test year</t>
  </si>
  <si>
    <t>2.  TranServ ITO Expenses (12 months)</t>
  </si>
  <si>
    <t>Adjustment for transfer of Independent Transmission Operator functions</t>
  </si>
  <si>
    <t>ITO Transfer</t>
  </si>
  <si>
    <t>Demand 12CP</t>
  </si>
  <si>
    <t xml:space="preserve">5.  Kentucky Jurisdictional Adjustment </t>
  </si>
  <si>
    <t>1. Total Estimated cost of 2012 Rate Case</t>
  </si>
  <si>
    <t>4. 2012 Rate Case amortization included in test year</t>
  </si>
  <si>
    <t>5. Net Adjustment for 2012 Rate Case expenses</t>
  </si>
  <si>
    <t>6. 2009 Rate Case Annual amortization</t>
  </si>
  <si>
    <t>7. 2009 Rate Case Annual amortization included in test year</t>
  </si>
  <si>
    <t>8. Net Adjustment for 2009 Rate Case expenses</t>
  </si>
  <si>
    <t>9. 2008 Rate Case Annual amortization</t>
  </si>
  <si>
    <t>10. 2008 Rate Case Annual amortization included in test year</t>
  </si>
  <si>
    <t>11. Net Adjustment for 2008 Rate Case expenses</t>
  </si>
  <si>
    <t>12. Total Adjustment (Line 5 + Line 8 + Line 11)</t>
  </si>
  <si>
    <t>Adjustment for rate case expense amortization</t>
  </si>
  <si>
    <t>05 &amp; '06</t>
  </si>
  <si>
    <t>03/31/12</t>
  </si>
  <si>
    <t>ECR '05 &amp; '06</t>
  </si>
  <si>
    <t>(2 - 5)</t>
  </si>
  <si>
    <t>(Page 3 Col 5)</t>
  </si>
  <si>
    <t>Supporting Schedule-Exhibit 3, Page 1, Line 19, Column 5</t>
  </si>
  <si>
    <t>Base Rate Base</t>
  </si>
  <si>
    <t>(5 + 6 + 7)</t>
  </si>
  <si>
    <t xml:space="preserve"> 2005-2006 Environmental</t>
  </si>
  <si>
    <t>Net Revenues</t>
  </si>
  <si>
    <t>Net Expenses</t>
  </si>
  <si>
    <t xml:space="preserve">Expense  </t>
  </si>
  <si>
    <t>O&amp;M Expenses</t>
  </si>
  <si>
    <t>Jurisdictional Revenues (c)</t>
  </si>
  <si>
    <t>Compliance Plans (d)</t>
  </si>
  <si>
    <t>2005 Plan</t>
  </si>
  <si>
    <t>2006 Plan</t>
  </si>
  <si>
    <t>(Col. 1 + 2 - 3)</t>
  </si>
  <si>
    <t>(Col. 5 - 6)</t>
  </si>
  <si>
    <t xml:space="preserve">  (a)  ES Form 1.10, Line 13 for Apr-Nov; Line 17 for Dec, Line 13 for Jan-Mar expense month filings.</t>
  </si>
  <si>
    <t xml:space="preserve">  (b)  ES Form 3.00, Column 5 for Apr-Nov, Column 6 for Dec-Mar expense month filings.</t>
  </si>
  <si>
    <t xml:space="preserve">  (d)  ES Form 2.00, Total Pollution Control Operations Expense and Net Beneficial Reuse Operations Expense </t>
  </si>
  <si>
    <t xml:space="preserve">          less Proceeds from By-Product and Allowance Sales.  </t>
  </si>
  <si>
    <t>1.21</t>
  </si>
  <si>
    <t>1.29</t>
  </si>
  <si>
    <t xml:space="preserve"> '05-'06 Environmental</t>
  </si>
  <si>
    <t>Net</t>
  </si>
  <si>
    <t>(Col. 1 - 2)</t>
  </si>
  <si>
    <t>(Col. 3 / 4)</t>
  </si>
  <si>
    <t>(5)</t>
  </si>
  <si>
    <t>(Page 2, Col. 5)</t>
  </si>
  <si>
    <t>*NOTE: Reflects 0.17% of total labor and labor related costs from</t>
  </si>
  <si>
    <t>1.22</t>
  </si>
  <si>
    <t>1.30</t>
  </si>
  <si>
    <t>(86.549%), steam plant O&amp;M allocator (85.898%),energy allocator</t>
  </si>
  <si>
    <t xml:space="preserve"> (86.757%) and net plant allocator for property tax (87.436%) </t>
  </si>
  <si>
    <t>1.31</t>
  </si>
  <si>
    <t>These adjustments left intentionally blank</t>
  </si>
  <si>
    <t>6.     Removal of expired federal credit</t>
  </si>
  <si>
    <t>Revenues (b)</t>
  </si>
  <si>
    <t xml:space="preserve">  (c)  ES Form 1.10 (Apr-11 through Dec-11); ES Form 3.00 (Jan-12 through Mar-12)</t>
  </si>
  <si>
    <t>R(m) (c)</t>
  </si>
  <si>
    <t>Expenses (c)</t>
  </si>
  <si>
    <t xml:space="preserve">  1. Annualized direct depreciation expense under proposed rates</t>
  </si>
  <si>
    <t xml:space="preserve">  2. Annualized depreciation for 2005 and 2006 ECR plans to be eliminated</t>
  </si>
  <si>
    <t xml:space="preserve">(1) Reflects the elimination of the 2005 and 2006 ECR Plans.  Only reflects ECR plan amounts </t>
  </si>
  <si>
    <t xml:space="preserve">     which will continue after effective date of new base rates in this proceeding.</t>
  </si>
  <si>
    <t>Labor for 12 months ended March 31, 2012</t>
  </si>
  <si>
    <t>Annualized base labor at March 31, 2012:</t>
  </si>
  <si>
    <t>Total 401(k) Company Match for 12 months ended 03/31/2012</t>
  </si>
  <si>
    <t xml:space="preserve">  2.  Annualized Off-System Sales Margins for 2012 (Line 1 x 4)</t>
  </si>
  <si>
    <t>To Adjust Off-System Sales Margins</t>
  </si>
  <si>
    <t xml:space="preserve">  3.  Off-System Sales Margins in test year</t>
  </si>
  <si>
    <t xml:space="preserve">  5.  Kentucky Jurisdiction (Ref. Sch. Allocators)</t>
  </si>
  <si>
    <t xml:space="preserve">  6.  Kentucky Jurisdictional adjustment</t>
  </si>
  <si>
    <t xml:space="preserve">  4.  Off-System Sales Margins adjustment (Line 2 - Line 3)</t>
  </si>
  <si>
    <t>To adjust Off-system sales margins</t>
  </si>
  <si>
    <t xml:space="preserve">     at March 31, 2012</t>
  </si>
  <si>
    <t>2.  Kentucky Jurisdiction Cumulative MISO Exit Fee Refund Regulatory Liability</t>
  </si>
  <si>
    <t xml:space="preserve">     (before amortization) at December 31, 2012 (Line 3 - Line 4 - Line 5)</t>
  </si>
  <si>
    <t>6.  Kentucky Jurisdiction Net MISO Exit Fee Regulatory Asset / (Liability)</t>
  </si>
  <si>
    <t>Using the 1/8th formula and change in Operation and Maintenance Expenses adjusted for FAC roll-in and ECR expense</t>
  </si>
  <si>
    <t>3-31-2012</t>
  </si>
  <si>
    <t>5. Adjustment to Test Year Amortization</t>
  </si>
  <si>
    <t>4.  Less Amortization recorded in test year</t>
  </si>
  <si>
    <t>1.  Rate Switch - to RS</t>
  </si>
  <si>
    <t>2.  Rate Switch - to GS</t>
  </si>
  <si>
    <t>3.  Rate Switch - to PS</t>
  </si>
  <si>
    <t>4.  Rate Switch - to TODS</t>
  </si>
  <si>
    <t>5.  Rate Switch - to TODP</t>
  </si>
  <si>
    <t>6.  Rate Switch - to AES</t>
  </si>
  <si>
    <t>7.  Rate Switch - to TE</t>
  </si>
  <si>
    <t xml:space="preserve">Adjustment to reflect changes to FAC calculations </t>
  </si>
  <si>
    <t>1.23</t>
  </si>
  <si>
    <t>1.24 - 1.28</t>
  </si>
  <si>
    <t>1.32</t>
  </si>
  <si>
    <t>Adjustment to reflect changes to FAC calculations</t>
  </si>
  <si>
    <t>Adjustment to Reflect Changes to FAC Calculations</t>
  </si>
  <si>
    <t>2. Bad Debt at .4200%</t>
  </si>
  <si>
    <t>Income Taxes - Exhibit 1, Reference Schedule 1.29</t>
  </si>
  <si>
    <t>Adjustment to reflect annualized depreciation expenses (Reference Schedule 1.12).</t>
  </si>
  <si>
    <t>(Col 14 x Col 13)</t>
  </si>
  <si>
    <t>(Col 9 + Col 11)</t>
  </si>
  <si>
    <t>(Col 10 x Col 11 Line 4)</t>
  </si>
  <si>
    <t>(Col 7 x Col 8)</t>
  </si>
  <si>
    <t>(Col 1 + Col 6)</t>
  </si>
  <si>
    <t>(Sum of Col 3 - Col 5)</t>
  </si>
  <si>
    <t>(Col 2 x Col 4 Line 4)</t>
  </si>
  <si>
    <t xml:space="preserve">  3. Total annualized depreciation expense</t>
  </si>
  <si>
    <t xml:space="preserve">  4. Depreciation expense per books for test year</t>
  </si>
  <si>
    <t xml:space="preserve">  5. Depreciation expense for asset retirement costs (ARO)</t>
  </si>
  <si>
    <t xml:space="preserve">  6. Depreciation for environmental cost recovery (ECR) plans (1)</t>
  </si>
  <si>
    <t xml:space="preserve">  7. Depreciation expense per books excluding ARO and ECR</t>
  </si>
  <si>
    <t xml:space="preserve">  8. Total Adjustment to reflect annualized depreciation expense</t>
  </si>
  <si>
    <t xml:space="preserve">      (Line 3 - Line 7)</t>
  </si>
  <si>
    <t>9.  Kentucky Jurisdiction (Ref. Sch. Allocators)</t>
  </si>
  <si>
    <t xml:space="preserve">10. Kentucky Jurisdictional adjustment </t>
  </si>
  <si>
    <t>Supporting Schedule-Exhibit 4, Column 4</t>
  </si>
  <si>
    <t>(Exhibit 2 Col 12)</t>
  </si>
  <si>
    <t>(Exhibit 2 Col 14)</t>
  </si>
  <si>
    <t>(c) - Exhibit 1, Line 33, Column 4</t>
  </si>
  <si>
    <t>Adjusted Kentucky Jurisdictional Capitalization (Exhibit 2, Col 12)</t>
  </si>
  <si>
    <t>Total Cost of Capital (Exhibit 2, Col 15)</t>
  </si>
  <si>
    <t>To Adjust for Customer Rate Switching and Bill Adjustments</t>
  </si>
  <si>
    <t>8.  Bill Adjustments</t>
  </si>
  <si>
    <t>9.  Total Adjustment</t>
  </si>
  <si>
    <t>To adjust for customer rate switching and bill adjustments</t>
  </si>
  <si>
    <t>2.  Less: Production tax deduction (6% x 0.6717) (1)</t>
  </si>
  <si>
    <t>4.  Less: Production tax deduction (6.05% of Line 3)</t>
  </si>
  <si>
    <t>1.  Out of Period adjustments:</t>
  </si>
  <si>
    <t>2.  Prepaid Insurance</t>
  </si>
  <si>
    <t>3.  Reclassify from Capital to O&amp;M</t>
  </si>
  <si>
    <t>4.  Transportation Management System</t>
  </si>
  <si>
    <t>Wage increase applied to KU union and hourly overtime annualized (04/01/11 - 07/16/11 OT Labor x 3.0%)</t>
  </si>
  <si>
    <t>Wage increase applied to KU non-exempt overtime annualized (04/01/11 - 02/25/2012 OT Labor x 3.0%)</t>
  </si>
  <si>
    <t xml:space="preserve">Wage increase applied to LG&amp;E union overtime annualized (04/01/11 -11/13/2011 OT labor x 2.5%) </t>
  </si>
  <si>
    <t>Wage increase applied to LG&amp;E non-exempt overtime annualized (04/01/2011 - 02/19/12 OT Labor x 3.0%)</t>
  </si>
  <si>
    <t xml:space="preserve">Wage increase applied to Servco non-exempt overtime annualized (04/01/11 - 02/19/12 OT Labor x 3.0%) </t>
  </si>
  <si>
    <t>5.  Injuries and Damages</t>
  </si>
  <si>
    <t>6.  Other</t>
  </si>
  <si>
    <t>7.  Total Out of Period adjustments</t>
  </si>
  <si>
    <t>8.  Kentucky Jurisdiction (Ref. Sch. Allocators)</t>
  </si>
  <si>
    <t xml:space="preserve">9.  Kentucky Jurisdictional adjustment </t>
  </si>
  <si>
    <t>Miscellaneous Revenue</t>
  </si>
  <si>
    <t xml:space="preserve">  1.  Off-System Sales Margins for 2012 (January - March 2012)</t>
  </si>
  <si>
    <t>Construction/</t>
  </si>
  <si>
    <t>State</t>
  </si>
  <si>
    <t>Federal</t>
  </si>
  <si>
    <t>NOTE: Off-System sales margins defined as Total OSS revenues less assigned fuel</t>
  </si>
  <si>
    <t>and purchase power expense, transmission costs, environmental costs, and cost of losses.</t>
  </si>
  <si>
    <t>adjustments ((Exhibit 1 Col 3, Line 28 - Line 7 - Line 15 - Ref Sch 1.02 Line 2) / 8).</t>
  </si>
  <si>
    <t>Adjustment to remove Environmental Compliance Plans (Exhibit 2 Col 11).</t>
  </si>
  <si>
    <t>Adjustment for Pension, Post Retirement, and Post Employment Costs</t>
  </si>
  <si>
    <t>Adjustment to Reflect Increase in Property Insurance Expense</t>
  </si>
  <si>
    <t>Adjustment for Rate Case Expense Amortization</t>
  </si>
  <si>
    <t>To eliminate DSM revenues and expenses</t>
  </si>
  <si>
    <t>Adjustment for MISO Exit Regulatory Asset / Liability</t>
  </si>
  <si>
    <t>To eliminate rate mechanism revenue accruals</t>
  </si>
  <si>
    <t>Adjustment for tax basis depreciation reduction</t>
  </si>
  <si>
    <t>This adjustment left intentionally blank</t>
  </si>
  <si>
    <t>1.33</t>
  </si>
  <si>
    <t>1.34</t>
  </si>
  <si>
    <t>THIS ADJUSTMENT LEFT INTENTIONALLY BLANK</t>
  </si>
  <si>
    <t xml:space="preserve">Adjustment for Tax Basis Depreciation Reduction </t>
  </si>
  <si>
    <t xml:space="preserve">  1.  Permanent difference due to loss of depreciable tax basis</t>
  </si>
  <si>
    <t/>
  </si>
  <si>
    <t xml:space="preserve">  3.  Total Adjustment (Line 1 - Line 2)</t>
  </si>
  <si>
    <t xml:space="preserve">  2.  Permanent diff. due to loss of depreciable tax basis in test year</t>
  </si>
  <si>
    <t>Total Labor (Sum of Lines 2 - 3)</t>
  </si>
  <si>
    <t>Total Annualized Base Labor (Sum of Lines 7 - 15)</t>
  </si>
  <si>
    <t>Total Annualized Labor (Sum of Lines 16 - 22)</t>
  </si>
  <si>
    <t>Less:  Test Year Operating Labor for 12 months ending 03/31/2012 (Line 4)</t>
  </si>
  <si>
    <t>Labor Adjustment Total (Line 24 - Line 25)</t>
  </si>
  <si>
    <t>Operating Labor increase (Page 2 Line 26)</t>
  </si>
  <si>
    <t>Total Labor (Page 2 Line 4)</t>
  </si>
  <si>
    <t>Total TIA for 12 months ended 03/31/2012</t>
  </si>
  <si>
    <t>Direct total payroll for 12 months ended 03/31/2012 (Line 1 + Line 2)</t>
  </si>
  <si>
    <r>
      <t xml:space="preserve">401(k) Company Match as a percent of payroll (Line 4 </t>
    </r>
    <r>
      <rPr>
        <sz val="12"/>
        <rFont val="Arial"/>
        <family val="2"/>
      </rPr>
      <t>÷</t>
    </r>
    <r>
      <rPr>
        <sz val="12"/>
        <rFont val="Times New Roman"/>
        <family val="1"/>
      </rPr>
      <t xml:space="preserve"> Line 3)</t>
    </r>
  </si>
  <si>
    <t>401(k) Company Match operating increase (Line 5 x Line 6)</t>
  </si>
  <si>
    <t xml:space="preserve">  2.  MSR and VDT Accrued Revenue in Accounts 440-445</t>
  </si>
  <si>
    <t xml:space="preserve">  (c)  Conroy Exhibit P4, Page 2, Lines 22 and 23</t>
  </si>
  <si>
    <t xml:space="preserve">  (b)  Conroy Exhibit P4, Page 2, Line 22</t>
  </si>
  <si>
    <t>Charnas</t>
  </si>
  <si>
    <t>At March 31, 2012</t>
  </si>
  <si>
    <t>As Applied to the Twelve Months Ended March 31, 2012</t>
  </si>
  <si>
    <t>Total Labor (Sum of Lines 2 - 4)</t>
  </si>
  <si>
    <t>Total Annualized Base Labor (Sum of Lines 10 - 18)</t>
  </si>
  <si>
    <t>Total Annualized Labor (Sum of Lines 19 - 25)</t>
  </si>
  <si>
    <t>Less:  Test Year Operating Labor for 12 months ending 03/31/2012 (Line 7)</t>
  </si>
  <si>
    <t>Labor Adjustment Total (Line 27 - Line 28)</t>
  </si>
  <si>
    <t>Operating Labor increase (Page 2 Line 29)</t>
  </si>
  <si>
    <t>Direct total payroll for 12 months ended 03/31/2012 (Page 2 Line 5)</t>
  </si>
  <si>
    <t>Total TIA for 12 months ended 3/31/2012</t>
  </si>
  <si>
    <t>Direct total payroll for 12 months ended 3/31/2012  (Line 1 + Line 2)</t>
  </si>
  <si>
    <r>
      <t xml:space="preserve">401(k) Company Match as a percent of payroll (Line 2 </t>
    </r>
    <r>
      <rPr>
        <sz val="12"/>
        <rFont val="Arial"/>
        <family val="2"/>
      </rPr>
      <t>÷</t>
    </r>
    <r>
      <rPr>
        <sz val="12"/>
        <rFont val="Times New Roman"/>
        <family val="1"/>
      </rPr>
      <t xml:space="preserve"> Line 1)</t>
    </r>
  </si>
  <si>
    <t>401(k) Company Match operating increase (Line 3 x Line 4)</t>
  </si>
  <si>
    <t>Adjustment to Remove Charges Incorrectly Booked Above-the-Line</t>
  </si>
  <si>
    <t xml:space="preserve">  1.  Charges for Activities booked above-the-line</t>
  </si>
  <si>
    <t>1.35</t>
  </si>
  <si>
    <t>UPDATED-To adjust Off-system sales margins</t>
  </si>
  <si>
    <t>REVISED-Adjustment to reflect increases in labor and labor related costs</t>
  </si>
  <si>
    <t>NEW-Adjustment to remove charges incorrectly booked above-the-line</t>
  </si>
  <si>
    <t xml:space="preserve">REVISED-Adjustment to eliminate advertising expenses pursuant to Commission </t>
  </si>
  <si>
    <t>Revised per PSC 2-52</t>
  </si>
  <si>
    <t xml:space="preserve">      were recorded as regulatory assets.</t>
  </si>
  <si>
    <t xml:space="preserve">      2009 Winter Storm and December 2009 Virginia Storm expenses that</t>
  </si>
  <si>
    <t>REVISED-Adjustment to reflect normalized storm damage expense</t>
  </si>
  <si>
    <t>REVISED</t>
  </si>
  <si>
    <t>AS FILED</t>
  </si>
  <si>
    <t>DIFFERENCE</t>
  </si>
  <si>
    <t>Revised Exhibit 8</t>
  </si>
  <si>
    <t>(2) - (1)</t>
  </si>
  <si>
    <t>with Annual Cost Rate as of August 31, 2012</t>
  </si>
  <si>
    <t>Embedded cost as of August 31, 2012</t>
  </si>
  <si>
    <t>Revised Exhibit 1</t>
  </si>
  <si>
    <t>Revised Exhibit 2</t>
  </si>
  <si>
    <t>Revised Exhibit 4</t>
  </si>
  <si>
    <t>Revised Exhibit 7</t>
  </si>
  <si>
    <t>Revised Exhibit 9</t>
  </si>
  <si>
    <t xml:space="preserve">Composite O&amp;M </t>
  </si>
  <si>
    <t>Composite rate developed from accounts 566 and 921.</t>
  </si>
  <si>
    <t xml:space="preserve">  2.  Charges for Expense-report items booked above-the-line</t>
  </si>
  <si>
    <t xml:space="preserve">  4.  Total Adjustment </t>
  </si>
  <si>
    <t xml:space="preserve">  7. Depreciation booked above the line for below the line items (2)</t>
  </si>
  <si>
    <t xml:space="preserve">  8. Depreciation expense per books excluding ARO and ECR</t>
  </si>
  <si>
    <t xml:space="preserve">  9. Total Adjustment to reflect annualized depreciation expense</t>
  </si>
  <si>
    <t xml:space="preserve">11. Kentucky Jurisdictional adjustment </t>
  </si>
  <si>
    <t xml:space="preserve">      (Line 3 - Line 8)</t>
  </si>
  <si>
    <t>(2) See response to AG 2-9.</t>
  </si>
  <si>
    <t>REVISED-Adjustment to reflect annualized depreciation expenses</t>
  </si>
  <si>
    <t>REVISED-Adjustment to remove out-of-period items</t>
  </si>
  <si>
    <t>Updated to reflect actual Off-System Sales Margins through August 2012</t>
  </si>
  <si>
    <t xml:space="preserve">  1.  Off-System Sales Margins for 2012 (January - August 2012)</t>
  </si>
  <si>
    <t xml:space="preserve">  2.  Annualized Off-System Sales Margins for 2012 (Line 1 x 12/8)</t>
  </si>
  <si>
    <t>UPDATED-Adjustment for rate case expense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</si>
</sst>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%"/>
    <numFmt numFmtId="166" formatCode="0_)"/>
    <numFmt numFmtId="167" formatCode="0.0000%"/>
    <numFmt numFmtId="168" formatCode="#,##0.0000_);\(#,##0.000\)"/>
    <numFmt numFmtId="169" formatCode="_(* #,##0_);_(* \(#,##0\);_(* &quot;-&quot;??_);_(@_)"/>
    <numFmt numFmtId="170" formatCode="#,##0.0000_);\(#,##0.0000\)"/>
    <numFmt numFmtId="171" formatCode="_(&quot;$&quot;* #,##0_);_(&quot;$&quot;* \(#,##0\);_(&quot;$&quot;* &quot;-&quot;??_);_(@_)"/>
    <numFmt numFmtId="172" formatCode="0.0%"/>
    <numFmt numFmtId="173" formatCode="_(* #,##0.000000_);_(* \(#,##0.000000\);_(* &quot;-&quot;??_);_(@_)"/>
    <numFmt numFmtId="174" formatCode="_(&quot;$&quot;* #,##0.0000_);_(&quot;$&quot;* \(#,##0.0000\);_(&quot;$&quot;* &quot;-&quot;??_);_(@_)"/>
    <numFmt numFmtId="175" formatCode="0."/>
    <numFmt numFmtId="176" formatCode="0.00;[Red]0.00"/>
    <numFmt numFmtId="177" formatCode="0.00_);\(0.00\)"/>
    <numFmt numFmtId="178" formatCode="mmmm\ d\,\ yyyy"/>
    <numFmt numFmtId="179" formatCode="_(* #,##0.0000_);_(* \(#,##0.0000\);_(* &quot;-&quot;??_);_(@_)"/>
    <numFmt numFmtId="180" formatCode="#,##0.000000_);\(#,##0.000000\)"/>
    <numFmt numFmtId="181" formatCode="."/>
    <numFmt numFmtId="182" formatCode="_(* #,##0.00000000_);_(* \(#,##0.00000000\);_(* &quot;-&quot;??_);_(@_)"/>
    <numFmt numFmtId="183" formatCode="_(&quot;$&quot;* #,##0.000000_);_(&quot;$&quot;* \(#,##0.000000\);_(&quot;$&quot;* &quot;-&quot;??_);_(@_)"/>
    <numFmt numFmtId="184" formatCode="mmm\-yyyy"/>
    <numFmt numFmtId="185" formatCode="#,##0.00000_);\(#,##0.00000\)"/>
    <numFmt numFmtId="186" formatCode="[$-409]mmm\-yy;@"/>
    <numFmt numFmtId="187" formatCode="_(* #,##0.000_);_(* \(#,##0.000\);_(* &quot;-&quot;???_);_(@_)"/>
    <numFmt numFmtId="188" formatCode="_([$€-2]* #,##0.00_);_([$€-2]* \(#,##0.00\);_([$€-2]* &quot;-&quot;??_)"/>
    <numFmt numFmtId="189" formatCode="&quot;$&quot;#,##0\ ;\(&quot;$&quot;#,##0\)"/>
    <numFmt numFmtId="190" formatCode="_(* #,##0.00000_);_(* \(#,##0.00000\);_(* &quot;-&quot;??_);_(@_)"/>
    <numFmt numFmtId="191" formatCode="0.00000"/>
    <numFmt numFmtId="192" formatCode="0.0000"/>
    <numFmt numFmtId="193" formatCode="0\ 00\ 000\ 000"/>
    <numFmt numFmtId="194" formatCode="[$-409]mmmm\-yy;@"/>
    <numFmt numFmtId="195" formatCode="#,##0.0000000_);\(#,##0.0000000\)"/>
    <numFmt numFmtId="196" formatCode="0.000000"/>
    <numFmt numFmtId="197" formatCode="_(* #,##0_);_(* \(#,##0\);_(* &quot;-&quot;???_);_(@_)"/>
  </numFmts>
  <fonts count="13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0"/>
      <name val="Times New Roman"/>
      <family val="1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2"/>
      <color indexed="12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sz val="8"/>
      <name val="Times New Roman"/>
      <family val="1"/>
    </font>
    <font>
      <sz val="12"/>
      <color indexed="63"/>
      <name val="Times New Roman"/>
      <family val="1"/>
    </font>
    <font>
      <u val="singleAccounting"/>
      <sz val="12"/>
      <color indexed="10"/>
      <name val="Times New Roman"/>
      <family val="1"/>
    </font>
    <font>
      <sz val="9"/>
      <name val="Times New Roman"/>
      <family val="1"/>
    </font>
    <font>
      <sz val="12"/>
      <name val="Helv"/>
    </font>
    <font>
      <u/>
      <sz val="10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8"/>
      <name val="Courier"/>
      <family val="3"/>
    </font>
    <font>
      <b/>
      <u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2"/>
      <color indexed="48"/>
      <name val="Times New Roman"/>
      <family val="1"/>
    </font>
    <font>
      <b/>
      <sz val="12"/>
      <name val="Arial"/>
      <family val="2"/>
    </font>
    <font>
      <sz val="12"/>
      <color indexed="9"/>
      <name val="Times New Roman"/>
      <family val="1"/>
    </font>
    <font>
      <b/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b/>
      <sz val="12"/>
      <color indexed="10"/>
      <name val="Times New Roman"/>
      <family val="1"/>
    </font>
    <font>
      <sz val="8"/>
      <name val="Courier"/>
      <family val="3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8"/>
      <name val="Courier"/>
      <family val="3"/>
    </font>
    <font>
      <sz val="10"/>
      <color rgb="FF0000FF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theme="0"/>
      <name val="Calibri"/>
      <family val="2"/>
      <scheme val="minor"/>
    </font>
    <font>
      <sz val="11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sz val="11"/>
      <color rgb="FF9C6500"/>
      <name val="Calibri"/>
      <family val="2"/>
      <scheme val="minor"/>
    </font>
    <font>
      <sz val="11"/>
      <color indexed="8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30"/>
      <color indexed="10"/>
      <name val="Times New Roman"/>
      <family val="1"/>
    </font>
    <font>
      <sz val="1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1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17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57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8">
    <xf numFmtId="37" fontId="0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3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6" borderId="0" applyNumberFormat="0" applyBorder="0" applyAlignment="0" applyProtection="0"/>
    <xf numFmtId="0" fontId="42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8" borderId="0" applyNumberFormat="0" applyBorder="0" applyAlignment="0" applyProtection="0"/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4" fillId="15" borderId="0" applyNumberFormat="0" applyBorder="0" applyAlignment="0" applyProtection="0"/>
    <xf numFmtId="169" fontId="71" fillId="0" borderId="1"/>
    <xf numFmtId="0" fontId="45" fillId="16" borderId="2" applyNumberFormat="0" applyAlignment="0" applyProtection="0"/>
    <xf numFmtId="0" fontId="46" fillId="17" borderId="3" applyNumberFormat="0" applyAlignment="0" applyProtection="0"/>
    <xf numFmtId="0" fontId="47" fillId="18" borderId="0">
      <alignment horizontal="left"/>
    </xf>
    <xf numFmtId="0" fontId="48" fillId="18" borderId="0">
      <alignment horizontal="right"/>
    </xf>
    <xf numFmtId="0" fontId="49" fillId="16" borderId="0">
      <alignment horizontal="center"/>
    </xf>
    <xf numFmtId="0" fontId="48" fillId="18" borderId="0">
      <alignment horizontal="right"/>
    </xf>
    <xf numFmtId="0" fontId="50" fillId="16" borderId="0">
      <alignment horizontal="left"/>
    </xf>
    <xf numFmtId="43" fontId="5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4" fillId="0" borderId="0" applyProtection="0"/>
    <xf numFmtId="0" fontId="20" fillId="0" borderId="0" applyProtection="0"/>
    <xf numFmtId="0" fontId="21" fillId="0" borderId="0" applyProtection="0"/>
    <xf numFmtId="0" fontId="17" fillId="0" borderId="0" applyProtection="0"/>
    <xf numFmtId="0" fontId="5" fillId="0" borderId="0" applyProtection="0"/>
    <xf numFmtId="0" fontId="4" fillId="0" borderId="0" applyProtection="0"/>
    <xf numFmtId="0" fontId="22" fillId="0" borderId="0" applyProtection="0"/>
    <xf numFmtId="2" fontId="5" fillId="0" borderId="0" applyFont="0" applyFill="0" applyBorder="0" applyAlignment="0" applyProtection="0"/>
    <xf numFmtId="0" fontId="52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4" applyNumberFormat="0" applyFill="0" applyAlignment="0" applyProtection="0"/>
    <xf numFmtId="0" fontId="53" fillId="0" borderId="0" applyNumberFormat="0" applyFill="0" applyBorder="0" applyAlignment="0" applyProtection="0"/>
    <xf numFmtId="0" fontId="54" fillId="7" borderId="2" applyNumberFormat="0" applyAlignment="0" applyProtection="0"/>
    <xf numFmtId="0" fontId="47" fillId="18" borderId="0">
      <alignment horizontal="left"/>
    </xf>
    <xf numFmtId="0" fontId="55" fillId="16" borderId="0">
      <alignment horizontal="left"/>
    </xf>
    <xf numFmtId="0" fontId="56" fillId="0" borderId="5" applyNumberFormat="0" applyFill="0" applyAlignment="0" applyProtection="0"/>
    <xf numFmtId="0" fontId="57" fillId="7" borderId="0" applyNumberFormat="0" applyBorder="0" applyAlignment="0" applyProtection="0"/>
    <xf numFmtId="0" fontId="5" fillId="0" borderId="0"/>
    <xf numFmtId="0" fontId="18" fillId="0" borderId="0"/>
    <xf numFmtId="0" fontId="18" fillId="0" borderId="0"/>
    <xf numFmtId="37" fontId="16" fillId="0" borderId="0"/>
    <xf numFmtId="0" fontId="5" fillId="0" borderId="0"/>
    <xf numFmtId="37" fontId="16" fillId="0" borderId="0"/>
    <xf numFmtId="0" fontId="5" fillId="0" borderId="0"/>
    <xf numFmtId="0" fontId="17" fillId="0" borderId="0"/>
    <xf numFmtId="0" fontId="11" fillId="0" borderId="0"/>
    <xf numFmtId="0" fontId="11" fillId="0" borderId="0"/>
    <xf numFmtId="37" fontId="16" fillId="0" borderId="0"/>
    <xf numFmtId="39" fontId="28" fillId="0" borderId="0"/>
    <xf numFmtId="37" fontId="16" fillId="0" borderId="0"/>
    <xf numFmtId="0" fontId="11" fillId="4" borderId="6" applyNumberFormat="0" applyFont="0" applyAlignment="0" applyProtection="0"/>
    <xf numFmtId="0" fontId="58" fillId="16" borderId="7" applyNumberFormat="0" applyAlignment="0" applyProtection="0"/>
    <xf numFmtId="4" fontId="59" fillId="19" borderId="0">
      <alignment horizontal="right"/>
    </xf>
    <xf numFmtId="0" fontId="60" fillId="19" borderId="0">
      <alignment horizontal="center" vertical="center"/>
    </xf>
    <xf numFmtId="0" fontId="55" fillId="19" borderId="8"/>
    <xf numFmtId="0" fontId="60" fillId="19" borderId="0" applyBorder="0">
      <alignment horizontal="centerContinuous"/>
    </xf>
    <xf numFmtId="0" fontId="61" fillId="19" borderId="0" applyBorder="0">
      <alignment horizontal="centerContinuous"/>
    </xf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73" fillId="0" borderId="9">
      <alignment horizontal="center"/>
    </xf>
    <xf numFmtId="3" fontId="72" fillId="0" borderId="0" applyFont="0" applyFill="0" applyBorder="0" applyAlignment="0" applyProtection="0"/>
    <xf numFmtId="0" fontId="72" fillId="20" borderId="0" applyNumberFormat="0" applyFont="0" applyBorder="0" applyAlignment="0" applyProtection="0"/>
    <xf numFmtId="0" fontId="55" fillId="7" borderId="0">
      <alignment horizontal="center"/>
    </xf>
    <xf numFmtId="49" fontId="62" fillId="16" borderId="0">
      <alignment horizontal="center"/>
    </xf>
    <xf numFmtId="0" fontId="48" fillId="18" borderId="0">
      <alignment horizontal="center"/>
    </xf>
    <xf numFmtId="0" fontId="48" fillId="18" borderId="0">
      <alignment horizontal="centerContinuous"/>
    </xf>
    <xf numFmtId="0" fontId="63" fillId="16" borderId="0">
      <alignment horizontal="left"/>
    </xf>
    <xf numFmtId="49" fontId="63" fillId="16" borderId="0">
      <alignment horizontal="center"/>
    </xf>
    <xf numFmtId="0" fontId="47" fillId="18" borderId="0">
      <alignment horizontal="left"/>
    </xf>
    <xf numFmtId="49" fontId="63" fillId="16" borderId="0">
      <alignment horizontal="left"/>
    </xf>
    <xf numFmtId="0" fontId="47" fillId="18" borderId="0">
      <alignment horizontal="centerContinuous"/>
    </xf>
    <xf numFmtId="0" fontId="47" fillId="18" borderId="0">
      <alignment horizontal="right"/>
    </xf>
    <xf numFmtId="49" fontId="55" fillId="16" borderId="0">
      <alignment horizontal="left"/>
    </xf>
    <xf numFmtId="0" fontId="48" fillId="18" borderId="0">
      <alignment horizontal="right"/>
    </xf>
    <xf numFmtId="0" fontId="63" fillId="5" borderId="0">
      <alignment horizontal="center"/>
    </xf>
    <xf numFmtId="0" fontId="64" fillId="5" borderId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 applyNumberFormat="0" applyFill="0" applyBorder="0" applyAlignment="0" applyProtection="0"/>
    <xf numFmtId="0" fontId="5" fillId="0" borderId="10" applyNumberFormat="0" applyFont="0" applyFill="0" applyAlignment="0" applyProtection="0"/>
    <xf numFmtId="0" fontId="66" fillId="16" borderId="0">
      <alignment horizontal="center"/>
    </xf>
    <xf numFmtId="0" fontId="56" fillId="0" borderId="0" applyNumberFormat="0" applyFill="0" applyBorder="0" applyAlignment="0" applyProtection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43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" fontId="79" fillId="0" borderId="0" applyFont="0" applyFill="0" applyBorder="0" applyAlignment="0" applyProtection="0"/>
    <xf numFmtId="0" fontId="84" fillId="0" borderId="0" applyProtection="0"/>
    <xf numFmtId="0" fontId="78" fillId="0" borderId="0" applyProtection="0"/>
    <xf numFmtId="0" fontId="79" fillId="0" borderId="0" applyProtection="0"/>
    <xf numFmtId="0" fontId="81" fillId="0" borderId="0" applyProtection="0"/>
    <xf numFmtId="0" fontId="83" fillId="0" borderId="0" applyProtection="0"/>
    <xf numFmtId="0" fontId="82" fillId="0" borderId="0" applyProtection="0"/>
    <xf numFmtId="0" fontId="78" fillId="0" borderId="0" applyProtection="0"/>
    <xf numFmtId="18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89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189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88" fontId="79" fillId="0" borderId="0" applyFont="0" applyFill="0" applyBorder="0" applyAlignment="0" applyProtection="0"/>
    <xf numFmtId="0" fontId="78" fillId="0" borderId="0" applyProtection="0"/>
    <xf numFmtId="0" fontId="82" fillId="0" borderId="0" applyProtection="0"/>
    <xf numFmtId="0" fontId="83" fillId="0" borderId="0" applyProtection="0"/>
    <xf numFmtId="0" fontId="81" fillId="0" borderId="0" applyProtection="0"/>
    <xf numFmtId="0" fontId="79" fillId="0" borderId="0" applyProtection="0"/>
    <xf numFmtId="0" fontId="78" fillId="0" borderId="0" applyProtection="0"/>
    <xf numFmtId="0" fontId="84" fillId="0" borderId="0" applyProtection="0"/>
    <xf numFmtId="2" fontId="79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9" fillId="0" borderId="0"/>
    <xf numFmtId="0" fontId="80" fillId="4" borderId="6" applyNumberFormat="0" applyFont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10" applyNumberFormat="0" applyFont="0" applyFill="0" applyAlignment="0" applyProtection="0"/>
    <xf numFmtId="0" fontId="80" fillId="4" borderId="6" applyNumberFormat="0" applyFont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10" applyNumberFormat="0" applyFont="0" applyFill="0" applyAlignment="0" applyProtection="0"/>
    <xf numFmtId="0" fontId="5" fillId="0" borderId="0"/>
    <xf numFmtId="0" fontId="5" fillId="21" borderId="0"/>
    <xf numFmtId="193" fontId="87" fillId="0" borderId="8" applyBorder="0">
      <alignment horizontal="center"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8" fillId="0" borderId="0" applyFont="0" applyFill="0" applyBorder="0" applyAlignment="0" applyProtection="0"/>
    <xf numFmtId="0" fontId="5" fillId="22" borderId="15" applyNumberFormat="0" applyFont="0" applyAlignment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8" fillId="0" borderId="0"/>
    <xf numFmtId="4" fontId="4" fillId="23" borderId="16" applyNumberFormat="0" applyProtection="0">
      <alignment vertical="center"/>
    </xf>
    <xf numFmtId="4" fontId="89" fillId="23" borderId="17" applyNumberFormat="0" applyProtection="0">
      <alignment vertical="center"/>
    </xf>
    <xf numFmtId="4" fontId="4" fillId="23" borderId="16" applyNumberFormat="0" applyProtection="0">
      <alignment horizontal="left" vertical="center" indent="1"/>
    </xf>
    <xf numFmtId="0" fontId="4" fillId="24" borderId="17" applyNumberFormat="0" applyProtection="0">
      <alignment horizontal="left" vertical="top" indent="1"/>
    </xf>
    <xf numFmtId="4" fontId="4" fillId="25" borderId="0" applyNumberFormat="0" applyProtection="0">
      <alignment horizontal="left" vertical="center" indent="1"/>
    </xf>
    <xf numFmtId="4" fontId="5" fillId="23" borderId="17" applyNumberFormat="0" applyProtection="0">
      <alignment horizontal="right" vertical="center"/>
    </xf>
    <xf numFmtId="4" fontId="90" fillId="26" borderId="17" applyNumberFormat="0" applyProtection="0">
      <alignment horizontal="right" vertical="center"/>
    </xf>
    <xf numFmtId="4" fontId="90" fillId="27" borderId="17" applyNumberFormat="0" applyProtection="0">
      <alignment horizontal="right" vertical="center"/>
    </xf>
    <xf numFmtId="4" fontId="5" fillId="7" borderId="17" applyNumberFormat="0" applyProtection="0">
      <alignment horizontal="right" vertical="center"/>
    </xf>
    <xf numFmtId="4" fontId="5" fillId="2" borderId="17" applyNumberFormat="0" applyProtection="0">
      <alignment horizontal="right" vertical="center"/>
    </xf>
    <xf numFmtId="4" fontId="5" fillId="8" borderId="17" applyNumberFormat="0" applyProtection="0">
      <alignment horizontal="right" vertical="center"/>
    </xf>
    <xf numFmtId="4" fontId="90" fillId="14" borderId="17" applyNumberFormat="0" applyProtection="0">
      <alignment horizontal="right" vertical="center"/>
    </xf>
    <xf numFmtId="4" fontId="90" fillId="28" borderId="17" applyNumberFormat="0" applyProtection="0">
      <alignment horizontal="right" vertical="center"/>
    </xf>
    <xf numFmtId="4" fontId="5" fillId="13" borderId="17" applyNumberFormat="0" applyProtection="0">
      <alignment horizontal="right" vertical="center"/>
    </xf>
    <xf numFmtId="4" fontId="4" fillId="29" borderId="0" applyNumberFormat="0" applyProtection="0">
      <alignment horizontal="left" vertical="center" indent="1"/>
    </xf>
    <xf numFmtId="4" fontId="5" fillId="9" borderId="0" applyNumberFormat="0" applyProtection="0">
      <alignment horizontal="left" vertical="center" indent="1"/>
    </xf>
    <xf numFmtId="4" fontId="62" fillId="30" borderId="0" applyNumberFormat="0" applyProtection="0">
      <alignment horizontal="left" vertical="center" indent="1"/>
    </xf>
    <xf numFmtId="4" fontId="5" fillId="9" borderId="16" applyNumberFormat="0" applyProtection="0">
      <alignment horizontal="right" vertical="center"/>
    </xf>
    <xf numFmtId="4" fontId="5" fillId="9" borderId="0" applyNumberFormat="0" applyProtection="0">
      <alignment horizontal="left" vertical="center" indent="1"/>
    </xf>
    <xf numFmtId="4" fontId="5" fillId="24" borderId="0" applyNumberFormat="0" applyProtection="0">
      <alignment horizontal="left" vertical="center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4" fontId="59" fillId="31" borderId="17" applyNumberFormat="0" applyProtection="0">
      <alignment vertical="center"/>
    </xf>
    <xf numFmtId="4" fontId="91" fillId="31" borderId="17" applyNumberFormat="0" applyProtection="0">
      <alignment vertical="center"/>
    </xf>
    <xf numFmtId="4" fontId="5" fillId="9" borderId="17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4" fontId="5" fillId="32" borderId="16" applyNumberFormat="0" applyProtection="0">
      <alignment horizontal="right" vertical="center"/>
    </xf>
    <xf numFmtId="4" fontId="4" fillId="32" borderId="16" applyNumberFormat="0" applyProtection="0">
      <alignment horizontal="right" vertical="center"/>
    </xf>
    <xf numFmtId="4" fontId="5" fillId="9" borderId="16" applyNumberFormat="0" applyProtection="0">
      <alignment horizontal="left" vertical="center" indent="1"/>
    </xf>
    <xf numFmtId="0" fontId="5" fillId="9" borderId="16" applyNumberFormat="0" applyProtection="0">
      <alignment horizontal="left" vertical="top" indent="1"/>
    </xf>
    <xf numFmtId="4" fontId="92" fillId="0" borderId="0" applyNumberFormat="0" applyProtection="0">
      <alignment horizontal="left" vertical="center" indent="1"/>
    </xf>
    <xf numFmtId="4" fontId="5" fillId="0" borderId="17" applyNumberFormat="0" applyProtection="0">
      <alignment horizontal="right" vertical="center"/>
    </xf>
    <xf numFmtId="0" fontId="5" fillId="0" borderId="18" applyNumberFormat="0" applyFont="0" applyFill="0" applyBorder="0" applyAlignment="0" applyProtection="0"/>
    <xf numFmtId="0" fontId="5" fillId="0" borderId="0"/>
    <xf numFmtId="0" fontId="16" fillId="0" borderId="0"/>
    <xf numFmtId="0" fontId="6" fillId="0" borderId="0"/>
    <xf numFmtId="37" fontId="16" fillId="0" borderId="0"/>
    <xf numFmtId="0" fontId="95" fillId="0" borderId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186" fontId="96" fillId="34" borderId="0" applyNumberFormat="0" applyBorder="0" applyAlignment="0" applyProtection="0"/>
    <xf numFmtId="186" fontId="96" fillId="34" borderId="0" applyNumberFormat="0" applyBorder="0" applyAlignment="0" applyProtection="0"/>
    <xf numFmtId="0" fontId="3" fillId="34" borderId="0" applyNumberFormat="0" applyBorder="0" applyAlignment="0" applyProtection="0"/>
    <xf numFmtId="194" fontId="42" fillId="33" borderId="0" applyNumberFormat="0" applyBorder="0" applyAlignment="0" applyProtection="0"/>
    <xf numFmtId="194" fontId="42" fillId="33" borderId="0" applyNumberFormat="0" applyBorder="0" applyAlignment="0" applyProtection="0"/>
    <xf numFmtId="194" fontId="42" fillId="33" borderId="0" applyNumberFormat="0" applyBorder="0" applyAlignment="0" applyProtection="0"/>
    <xf numFmtId="194" fontId="42" fillId="33" borderId="0" applyNumberFormat="0" applyBorder="0" applyAlignment="0" applyProtection="0"/>
    <xf numFmtId="194" fontId="42" fillId="33" borderId="0" applyNumberFormat="0" applyBorder="0" applyAlignment="0" applyProtection="0"/>
    <xf numFmtId="194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186" fontId="96" fillId="35" borderId="0" applyNumberFormat="0" applyBorder="0" applyAlignment="0" applyProtection="0"/>
    <xf numFmtId="186" fontId="96" fillId="35" borderId="0" applyNumberFormat="0" applyBorder="0" applyAlignment="0" applyProtection="0"/>
    <xf numFmtId="0" fontId="3" fillId="35" borderId="0" applyNumberFormat="0" applyBorder="0" applyAlignment="0" applyProtection="0"/>
    <xf numFmtId="194" fontId="42" fillId="8" borderId="0" applyNumberFormat="0" applyBorder="0" applyAlignment="0" applyProtection="0"/>
    <xf numFmtId="194" fontId="42" fillId="8" borderId="0" applyNumberFormat="0" applyBorder="0" applyAlignment="0" applyProtection="0"/>
    <xf numFmtId="194" fontId="42" fillId="8" borderId="0" applyNumberFormat="0" applyBorder="0" applyAlignment="0" applyProtection="0"/>
    <xf numFmtId="194" fontId="42" fillId="8" borderId="0" applyNumberFormat="0" applyBorder="0" applyAlignment="0" applyProtection="0"/>
    <xf numFmtId="194" fontId="42" fillId="8" borderId="0" applyNumberFormat="0" applyBorder="0" applyAlignment="0" applyProtection="0"/>
    <xf numFmtId="194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186" fontId="96" fillId="37" borderId="0" applyNumberFormat="0" applyBorder="0" applyAlignment="0" applyProtection="0"/>
    <xf numFmtId="186" fontId="96" fillId="37" borderId="0" applyNumberFormat="0" applyBorder="0" applyAlignment="0" applyProtection="0"/>
    <xf numFmtId="0" fontId="3" fillId="37" borderId="0" applyNumberFormat="0" applyBorder="0" applyAlignment="0" applyProtection="0"/>
    <xf numFmtId="194" fontId="42" fillId="36" borderId="0" applyNumberFormat="0" applyBorder="0" applyAlignment="0" applyProtection="0"/>
    <xf numFmtId="194" fontId="42" fillId="36" borderId="0" applyNumberFormat="0" applyBorder="0" applyAlignment="0" applyProtection="0"/>
    <xf numFmtId="194" fontId="42" fillId="36" borderId="0" applyNumberFormat="0" applyBorder="0" applyAlignment="0" applyProtection="0"/>
    <xf numFmtId="194" fontId="42" fillId="36" borderId="0" applyNumberFormat="0" applyBorder="0" applyAlignment="0" applyProtection="0"/>
    <xf numFmtId="194" fontId="42" fillId="36" borderId="0" applyNumberFormat="0" applyBorder="0" applyAlignment="0" applyProtection="0"/>
    <xf numFmtId="194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186" fontId="96" fillId="38" borderId="0" applyNumberFormat="0" applyBorder="0" applyAlignment="0" applyProtection="0"/>
    <xf numFmtId="186" fontId="96" fillId="38" borderId="0" applyNumberFormat="0" applyBorder="0" applyAlignment="0" applyProtection="0"/>
    <xf numFmtId="0" fontId="3" fillId="38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186" fontId="96" fillId="39" borderId="0" applyNumberFormat="0" applyBorder="0" applyAlignment="0" applyProtection="0"/>
    <xf numFmtId="186" fontId="96" fillId="39" borderId="0" applyNumberFormat="0" applyBorder="0" applyAlignment="0" applyProtection="0"/>
    <xf numFmtId="0" fontId="3" fillId="39" borderId="0" applyNumberFormat="0" applyBorder="0" applyAlignment="0" applyProtection="0"/>
    <xf numFmtId="194" fontId="42" fillId="6" borderId="0" applyNumberFormat="0" applyBorder="0" applyAlignment="0" applyProtection="0"/>
    <xf numFmtId="194" fontId="42" fillId="6" borderId="0" applyNumberFormat="0" applyBorder="0" applyAlignment="0" applyProtection="0"/>
    <xf numFmtId="194" fontId="42" fillId="6" borderId="0" applyNumberFormat="0" applyBorder="0" applyAlignment="0" applyProtection="0"/>
    <xf numFmtId="194" fontId="42" fillId="6" borderId="0" applyNumberFormat="0" applyBorder="0" applyAlignment="0" applyProtection="0"/>
    <xf numFmtId="194" fontId="42" fillId="6" borderId="0" applyNumberFormat="0" applyBorder="0" applyAlignment="0" applyProtection="0"/>
    <xf numFmtId="194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186" fontId="96" fillId="40" borderId="0" applyNumberFormat="0" applyBorder="0" applyAlignment="0" applyProtection="0"/>
    <xf numFmtId="186" fontId="96" fillId="40" borderId="0" applyNumberFormat="0" applyBorder="0" applyAlignment="0" applyProtection="0"/>
    <xf numFmtId="0" fontId="3" fillId="40" borderId="0" applyNumberFormat="0" applyBorder="0" applyAlignment="0" applyProtection="0"/>
    <xf numFmtId="194" fontId="42" fillId="5" borderId="0" applyNumberFormat="0" applyBorder="0" applyAlignment="0" applyProtection="0"/>
    <xf numFmtId="194" fontId="42" fillId="5" borderId="0" applyNumberFormat="0" applyBorder="0" applyAlignment="0" applyProtection="0"/>
    <xf numFmtId="194" fontId="42" fillId="5" borderId="0" applyNumberFormat="0" applyBorder="0" applyAlignment="0" applyProtection="0"/>
    <xf numFmtId="194" fontId="42" fillId="5" borderId="0" applyNumberFormat="0" applyBorder="0" applyAlignment="0" applyProtection="0"/>
    <xf numFmtId="194" fontId="42" fillId="5" borderId="0" applyNumberFormat="0" applyBorder="0" applyAlignment="0" applyProtection="0"/>
    <xf numFmtId="194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186" fontId="96" fillId="41" borderId="0" applyNumberFormat="0" applyBorder="0" applyAlignment="0" applyProtection="0"/>
    <xf numFmtId="186" fontId="96" fillId="41" borderId="0" applyNumberFormat="0" applyBorder="0" applyAlignment="0" applyProtection="0"/>
    <xf numFmtId="0" fontId="3" fillId="41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86" fontId="96" fillId="42" borderId="0" applyNumberFormat="0" applyBorder="0" applyAlignment="0" applyProtection="0"/>
    <xf numFmtId="186" fontId="96" fillId="42" borderId="0" applyNumberFormat="0" applyBorder="0" applyAlignment="0" applyProtection="0"/>
    <xf numFmtId="0" fontId="3" fillId="42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186" fontId="96" fillId="43" borderId="0" applyNumberFormat="0" applyBorder="0" applyAlignment="0" applyProtection="0"/>
    <xf numFmtId="186" fontId="96" fillId="43" borderId="0" applyNumberFormat="0" applyBorder="0" applyAlignment="0" applyProtection="0"/>
    <xf numFmtId="0" fontId="3" fillId="43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186" fontId="96" fillId="44" borderId="0" applyNumberFormat="0" applyBorder="0" applyAlignment="0" applyProtection="0"/>
    <xf numFmtId="186" fontId="96" fillId="44" borderId="0" applyNumberFormat="0" applyBorder="0" applyAlignment="0" applyProtection="0"/>
    <xf numFmtId="0" fontId="3" fillId="44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194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186" fontId="96" fillId="45" borderId="0" applyNumberFormat="0" applyBorder="0" applyAlignment="0" applyProtection="0"/>
    <xf numFmtId="186" fontId="96" fillId="45" borderId="0" applyNumberFormat="0" applyBorder="0" applyAlignment="0" applyProtection="0"/>
    <xf numFmtId="0" fontId="3" fillId="45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194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186" fontId="96" fillId="46" borderId="0" applyNumberFormat="0" applyBorder="0" applyAlignment="0" applyProtection="0"/>
    <xf numFmtId="186" fontId="96" fillId="46" borderId="0" applyNumberFormat="0" applyBorder="0" applyAlignment="0" applyProtection="0"/>
    <xf numFmtId="0" fontId="3" fillId="46" borderId="0" applyNumberFormat="0" applyBorder="0" applyAlignment="0" applyProtection="0"/>
    <xf numFmtId="194" fontId="42" fillId="10" borderId="0" applyNumberFormat="0" applyBorder="0" applyAlignment="0" applyProtection="0"/>
    <xf numFmtId="194" fontId="42" fillId="10" borderId="0" applyNumberFormat="0" applyBorder="0" applyAlignment="0" applyProtection="0"/>
    <xf numFmtId="194" fontId="42" fillId="10" borderId="0" applyNumberFormat="0" applyBorder="0" applyAlignment="0" applyProtection="0"/>
    <xf numFmtId="194" fontId="42" fillId="10" borderId="0" applyNumberFormat="0" applyBorder="0" applyAlignment="0" applyProtection="0"/>
    <xf numFmtId="194" fontId="42" fillId="10" borderId="0" applyNumberFormat="0" applyBorder="0" applyAlignment="0" applyProtection="0"/>
    <xf numFmtId="194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186" fontId="97" fillId="48" borderId="0" applyNumberFormat="0" applyBorder="0" applyAlignment="0" applyProtection="0"/>
    <xf numFmtId="186" fontId="97" fillId="48" borderId="0" applyNumberFormat="0" applyBorder="0" applyAlignment="0" applyProtection="0"/>
    <xf numFmtId="0" fontId="98" fillId="48" borderId="0" applyNumberFormat="0" applyBorder="0" applyAlignment="0" applyProtection="0"/>
    <xf numFmtId="194" fontId="43" fillId="47" borderId="0" applyNumberFormat="0" applyBorder="0" applyAlignment="0" applyProtection="0"/>
    <xf numFmtId="194" fontId="43" fillId="47" borderId="0" applyNumberFormat="0" applyBorder="0" applyAlignment="0" applyProtection="0"/>
    <xf numFmtId="194" fontId="43" fillId="47" borderId="0" applyNumberFormat="0" applyBorder="0" applyAlignment="0" applyProtection="0"/>
    <xf numFmtId="194" fontId="43" fillId="47" borderId="0" applyNumberFormat="0" applyBorder="0" applyAlignment="0" applyProtection="0"/>
    <xf numFmtId="194" fontId="43" fillId="47" borderId="0" applyNumberFormat="0" applyBorder="0" applyAlignment="0" applyProtection="0"/>
    <xf numFmtId="194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186" fontId="97" fillId="49" borderId="0" applyNumberFormat="0" applyBorder="0" applyAlignment="0" applyProtection="0"/>
    <xf numFmtId="186" fontId="97" fillId="49" borderId="0" applyNumberFormat="0" applyBorder="0" applyAlignment="0" applyProtection="0"/>
    <xf numFmtId="0" fontId="98" fillId="49" borderId="0" applyNumberFormat="0" applyBorder="0" applyAlignment="0" applyProtection="0"/>
    <xf numFmtId="194" fontId="43" fillId="3" borderId="0" applyNumberFormat="0" applyBorder="0" applyAlignment="0" applyProtection="0"/>
    <xf numFmtId="194" fontId="43" fillId="3" borderId="0" applyNumberFormat="0" applyBorder="0" applyAlignment="0" applyProtection="0"/>
    <xf numFmtId="194" fontId="43" fillId="3" borderId="0" applyNumberFormat="0" applyBorder="0" applyAlignment="0" applyProtection="0"/>
    <xf numFmtId="194" fontId="43" fillId="3" borderId="0" applyNumberFormat="0" applyBorder="0" applyAlignment="0" applyProtection="0"/>
    <xf numFmtId="194" fontId="43" fillId="3" borderId="0" applyNumberFormat="0" applyBorder="0" applyAlignment="0" applyProtection="0"/>
    <xf numFmtId="194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186" fontId="97" fillId="50" borderId="0" applyNumberFormat="0" applyBorder="0" applyAlignment="0" applyProtection="0"/>
    <xf numFmtId="186" fontId="97" fillId="50" borderId="0" applyNumberFormat="0" applyBorder="0" applyAlignment="0" applyProtection="0"/>
    <xf numFmtId="0" fontId="98" fillId="50" borderId="0" applyNumberFormat="0" applyBorder="0" applyAlignment="0" applyProtection="0"/>
    <xf numFmtId="194" fontId="43" fillId="22" borderId="0" applyNumberFormat="0" applyBorder="0" applyAlignment="0" applyProtection="0"/>
    <xf numFmtId="194" fontId="43" fillId="22" borderId="0" applyNumberFormat="0" applyBorder="0" applyAlignment="0" applyProtection="0"/>
    <xf numFmtId="194" fontId="43" fillId="22" borderId="0" applyNumberFormat="0" applyBorder="0" applyAlignment="0" applyProtection="0"/>
    <xf numFmtId="194" fontId="43" fillId="22" borderId="0" applyNumberFormat="0" applyBorder="0" applyAlignment="0" applyProtection="0"/>
    <xf numFmtId="194" fontId="43" fillId="22" borderId="0" applyNumberFormat="0" applyBorder="0" applyAlignment="0" applyProtection="0"/>
    <xf numFmtId="194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186" fontId="97" fillId="52" borderId="0" applyNumberFormat="0" applyBorder="0" applyAlignment="0" applyProtection="0"/>
    <xf numFmtId="186" fontId="97" fillId="52" borderId="0" applyNumberFormat="0" applyBorder="0" applyAlignment="0" applyProtection="0"/>
    <xf numFmtId="0" fontId="98" fillId="52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186" fontId="97" fillId="53" borderId="0" applyNumberFormat="0" applyBorder="0" applyAlignment="0" applyProtection="0"/>
    <xf numFmtId="186" fontId="97" fillId="53" borderId="0" applyNumberFormat="0" applyBorder="0" applyAlignment="0" applyProtection="0"/>
    <xf numFmtId="0" fontId="98" fillId="5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186" fontId="97" fillId="54" borderId="0" applyNumberFormat="0" applyBorder="0" applyAlignment="0" applyProtection="0"/>
    <xf numFmtId="186" fontId="97" fillId="54" borderId="0" applyNumberFormat="0" applyBorder="0" applyAlignment="0" applyProtection="0"/>
    <xf numFmtId="0" fontId="98" fillId="54" borderId="0" applyNumberFormat="0" applyBorder="0" applyAlignment="0" applyProtection="0"/>
    <xf numFmtId="194" fontId="43" fillId="28" borderId="0" applyNumberFormat="0" applyBorder="0" applyAlignment="0" applyProtection="0"/>
    <xf numFmtId="194" fontId="43" fillId="28" borderId="0" applyNumberFormat="0" applyBorder="0" applyAlignment="0" applyProtection="0"/>
    <xf numFmtId="194" fontId="43" fillId="28" borderId="0" applyNumberFormat="0" applyBorder="0" applyAlignment="0" applyProtection="0"/>
    <xf numFmtId="194" fontId="43" fillId="28" borderId="0" applyNumberFormat="0" applyBorder="0" applyAlignment="0" applyProtection="0"/>
    <xf numFmtId="194" fontId="43" fillId="28" borderId="0" applyNumberFormat="0" applyBorder="0" applyAlignment="0" applyProtection="0"/>
    <xf numFmtId="194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55" borderId="0" applyNumberFormat="0" applyBorder="0" applyAlignment="0" applyProtection="0"/>
    <xf numFmtId="186" fontId="97" fillId="56" borderId="0" applyNumberFormat="0" applyBorder="0" applyAlignment="0" applyProtection="0"/>
    <xf numFmtId="186" fontId="97" fillId="56" borderId="0" applyNumberFormat="0" applyBorder="0" applyAlignment="0" applyProtection="0"/>
    <xf numFmtId="0" fontId="98" fillId="56" borderId="0" applyNumberFormat="0" applyBorder="0" applyAlignment="0" applyProtection="0"/>
    <xf numFmtId="194" fontId="43" fillId="55" borderId="0" applyNumberFormat="0" applyBorder="0" applyAlignment="0" applyProtection="0"/>
    <xf numFmtId="194" fontId="43" fillId="55" borderId="0" applyNumberFormat="0" applyBorder="0" applyAlignment="0" applyProtection="0"/>
    <xf numFmtId="194" fontId="43" fillId="55" borderId="0" applyNumberFormat="0" applyBorder="0" applyAlignment="0" applyProtection="0"/>
    <xf numFmtId="194" fontId="43" fillId="55" borderId="0" applyNumberFormat="0" applyBorder="0" applyAlignment="0" applyProtection="0"/>
    <xf numFmtId="194" fontId="43" fillId="55" borderId="0" applyNumberFormat="0" applyBorder="0" applyAlignment="0" applyProtection="0"/>
    <xf numFmtId="194" fontId="43" fillId="55" borderId="0" applyNumberFormat="0" applyBorder="0" applyAlignment="0" applyProtection="0"/>
    <xf numFmtId="0" fontId="43" fillId="55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186" fontId="97" fillId="57" borderId="0" applyNumberFormat="0" applyBorder="0" applyAlignment="0" applyProtection="0"/>
    <xf numFmtId="186" fontId="97" fillId="57" borderId="0" applyNumberFormat="0" applyBorder="0" applyAlignment="0" applyProtection="0"/>
    <xf numFmtId="0" fontId="98" fillId="57" borderId="0" applyNumberFormat="0" applyBorder="0" applyAlignment="0" applyProtection="0"/>
    <xf numFmtId="194" fontId="43" fillId="14" borderId="0" applyNumberFormat="0" applyBorder="0" applyAlignment="0" applyProtection="0"/>
    <xf numFmtId="194" fontId="43" fillId="14" borderId="0" applyNumberFormat="0" applyBorder="0" applyAlignment="0" applyProtection="0"/>
    <xf numFmtId="194" fontId="43" fillId="14" borderId="0" applyNumberFormat="0" applyBorder="0" applyAlignment="0" applyProtection="0"/>
    <xf numFmtId="194" fontId="43" fillId="14" borderId="0" applyNumberFormat="0" applyBorder="0" applyAlignment="0" applyProtection="0"/>
    <xf numFmtId="194" fontId="43" fillId="14" borderId="0" applyNumberFormat="0" applyBorder="0" applyAlignment="0" applyProtection="0"/>
    <xf numFmtId="194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186" fontId="97" fillId="59" borderId="0" applyNumberFormat="0" applyBorder="0" applyAlignment="0" applyProtection="0"/>
    <xf numFmtId="186" fontId="97" fillId="59" borderId="0" applyNumberFormat="0" applyBorder="0" applyAlignment="0" applyProtection="0"/>
    <xf numFmtId="0" fontId="98" fillId="59" borderId="0" applyNumberFormat="0" applyBorder="0" applyAlignment="0" applyProtection="0"/>
    <xf numFmtId="194" fontId="43" fillId="58" borderId="0" applyNumberFormat="0" applyBorder="0" applyAlignment="0" applyProtection="0"/>
    <xf numFmtId="194" fontId="43" fillId="58" borderId="0" applyNumberFormat="0" applyBorder="0" applyAlignment="0" applyProtection="0"/>
    <xf numFmtId="194" fontId="43" fillId="58" borderId="0" applyNumberFormat="0" applyBorder="0" applyAlignment="0" applyProtection="0"/>
    <xf numFmtId="194" fontId="43" fillId="58" borderId="0" applyNumberFormat="0" applyBorder="0" applyAlignment="0" applyProtection="0"/>
    <xf numFmtId="194" fontId="43" fillId="58" borderId="0" applyNumberFormat="0" applyBorder="0" applyAlignment="0" applyProtection="0"/>
    <xf numFmtId="194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186" fontId="97" fillId="60" borderId="0" applyNumberFormat="0" applyBorder="0" applyAlignment="0" applyProtection="0"/>
    <xf numFmtId="186" fontId="97" fillId="60" borderId="0" applyNumberFormat="0" applyBorder="0" applyAlignment="0" applyProtection="0"/>
    <xf numFmtId="0" fontId="98" fillId="60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194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186" fontId="97" fillId="61" borderId="0" applyNumberFormat="0" applyBorder="0" applyAlignment="0" applyProtection="0"/>
    <xf numFmtId="186" fontId="97" fillId="61" borderId="0" applyNumberFormat="0" applyBorder="0" applyAlignment="0" applyProtection="0"/>
    <xf numFmtId="0" fontId="98" fillId="61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194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186" fontId="97" fillId="62" borderId="0" applyNumberFormat="0" applyBorder="0" applyAlignment="0" applyProtection="0"/>
    <xf numFmtId="186" fontId="97" fillId="62" borderId="0" applyNumberFormat="0" applyBorder="0" applyAlignment="0" applyProtection="0"/>
    <xf numFmtId="0" fontId="98" fillId="62" borderId="0" applyNumberFormat="0" applyBorder="0" applyAlignment="0" applyProtection="0"/>
    <xf numFmtId="194" fontId="43" fillId="9" borderId="0" applyNumberFormat="0" applyBorder="0" applyAlignment="0" applyProtection="0"/>
    <xf numFmtId="194" fontId="43" fillId="9" borderId="0" applyNumberFormat="0" applyBorder="0" applyAlignment="0" applyProtection="0"/>
    <xf numFmtId="194" fontId="43" fillId="9" borderId="0" applyNumberFormat="0" applyBorder="0" applyAlignment="0" applyProtection="0"/>
    <xf numFmtId="194" fontId="43" fillId="9" borderId="0" applyNumberFormat="0" applyBorder="0" applyAlignment="0" applyProtection="0"/>
    <xf numFmtId="194" fontId="43" fillId="9" borderId="0" applyNumberFormat="0" applyBorder="0" applyAlignment="0" applyProtection="0"/>
    <xf numFmtId="194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186" fontId="99" fillId="63" borderId="0" applyNumberFormat="0" applyBorder="0" applyAlignment="0" applyProtection="0"/>
    <xf numFmtId="186" fontId="99" fillId="63" borderId="0" applyNumberFormat="0" applyBorder="0" applyAlignment="0" applyProtection="0"/>
    <xf numFmtId="0" fontId="100" fillId="63" borderId="0" applyNumberFormat="0" applyBorder="0" applyAlignment="0" applyProtection="0"/>
    <xf numFmtId="194" fontId="44" fillId="8" borderId="0" applyNumberFormat="0" applyBorder="0" applyAlignment="0" applyProtection="0"/>
    <xf numFmtId="194" fontId="44" fillId="8" borderId="0" applyNumberFormat="0" applyBorder="0" applyAlignment="0" applyProtection="0"/>
    <xf numFmtId="194" fontId="44" fillId="8" borderId="0" applyNumberFormat="0" applyBorder="0" applyAlignment="0" applyProtection="0"/>
    <xf numFmtId="194" fontId="44" fillId="8" borderId="0" applyNumberFormat="0" applyBorder="0" applyAlignment="0" applyProtection="0"/>
    <xf numFmtId="194" fontId="44" fillId="8" borderId="0" applyNumberFormat="0" applyBorder="0" applyAlignment="0" applyProtection="0"/>
    <xf numFmtId="194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101" fillId="64" borderId="2" applyNumberFormat="0" applyAlignment="0" applyProtection="0"/>
    <xf numFmtId="0" fontId="101" fillId="64" borderId="2" applyNumberFormat="0" applyAlignment="0" applyProtection="0"/>
    <xf numFmtId="0" fontId="101" fillId="64" borderId="2" applyNumberFormat="0" applyAlignment="0" applyProtection="0"/>
    <xf numFmtId="0" fontId="101" fillId="64" borderId="2" applyNumberFormat="0" applyAlignment="0" applyProtection="0"/>
    <xf numFmtId="0" fontId="101" fillId="64" borderId="2" applyNumberFormat="0" applyAlignment="0" applyProtection="0"/>
    <xf numFmtId="186" fontId="102" fillId="65" borderId="19" applyNumberFormat="0" applyAlignment="0" applyProtection="0"/>
    <xf numFmtId="186" fontId="102" fillId="65" borderId="19" applyNumberFormat="0" applyAlignment="0" applyProtection="0"/>
    <xf numFmtId="0" fontId="103" fillId="65" borderId="19" applyNumberFormat="0" applyAlignment="0" applyProtection="0"/>
    <xf numFmtId="194" fontId="101" fillId="64" borderId="2" applyNumberFormat="0" applyAlignment="0" applyProtection="0"/>
    <xf numFmtId="194" fontId="101" fillId="64" borderId="2" applyNumberFormat="0" applyAlignment="0" applyProtection="0"/>
    <xf numFmtId="194" fontId="101" fillId="64" borderId="2" applyNumberFormat="0" applyAlignment="0" applyProtection="0"/>
    <xf numFmtId="194" fontId="101" fillId="64" borderId="2" applyNumberFormat="0" applyAlignment="0" applyProtection="0"/>
    <xf numFmtId="194" fontId="101" fillId="64" borderId="2" applyNumberFormat="0" applyAlignment="0" applyProtection="0"/>
    <xf numFmtId="194" fontId="101" fillId="64" borderId="2" applyNumberFormat="0" applyAlignment="0" applyProtection="0"/>
    <xf numFmtId="0" fontId="101" fillId="64" borderId="2" applyNumberFormat="0" applyAlignment="0" applyProtection="0"/>
    <xf numFmtId="0" fontId="46" fillId="17" borderId="3" applyNumberFormat="0" applyAlignment="0" applyProtection="0"/>
    <xf numFmtId="0" fontId="46" fillId="17" borderId="3" applyNumberFormat="0" applyAlignment="0" applyProtection="0"/>
    <xf numFmtId="0" fontId="46" fillId="17" borderId="3" applyNumberFormat="0" applyAlignment="0" applyProtection="0"/>
    <xf numFmtId="0" fontId="46" fillId="17" borderId="3" applyNumberFormat="0" applyAlignment="0" applyProtection="0"/>
    <xf numFmtId="0" fontId="46" fillId="17" borderId="3" applyNumberFormat="0" applyAlignment="0" applyProtection="0"/>
    <xf numFmtId="186" fontId="104" fillId="66" borderId="20" applyNumberFormat="0" applyAlignment="0" applyProtection="0"/>
    <xf numFmtId="186" fontId="104" fillId="66" borderId="20" applyNumberFormat="0" applyAlignment="0" applyProtection="0"/>
    <xf numFmtId="0" fontId="105" fillId="66" borderId="20" applyNumberFormat="0" applyAlignment="0" applyProtection="0"/>
    <xf numFmtId="194" fontId="46" fillId="17" borderId="3" applyNumberFormat="0" applyAlignment="0" applyProtection="0"/>
    <xf numFmtId="194" fontId="46" fillId="17" borderId="3" applyNumberFormat="0" applyAlignment="0" applyProtection="0"/>
    <xf numFmtId="194" fontId="46" fillId="17" borderId="3" applyNumberFormat="0" applyAlignment="0" applyProtection="0"/>
    <xf numFmtId="194" fontId="46" fillId="17" borderId="3" applyNumberFormat="0" applyAlignment="0" applyProtection="0"/>
    <xf numFmtId="194" fontId="46" fillId="17" borderId="3" applyNumberFormat="0" applyAlignment="0" applyProtection="0"/>
    <xf numFmtId="194" fontId="46" fillId="17" borderId="3" applyNumberFormat="0" applyAlignment="0" applyProtection="0"/>
    <xf numFmtId="0" fontId="46" fillId="17" borderId="3" applyNumberFormat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67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6" fontId="106" fillId="0" borderId="0" applyNumberFormat="0" applyFill="0" applyBorder="0" applyAlignment="0" applyProtection="0"/>
    <xf numFmtId="186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194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6" fontId="4" fillId="0" borderId="0" applyProtection="0"/>
    <xf numFmtId="186" fontId="4" fillId="0" borderId="0" applyProtection="0"/>
    <xf numFmtId="0" fontId="4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86" fontId="20" fillId="0" borderId="0" applyProtection="0"/>
    <xf numFmtId="186" fontId="20" fillId="0" borderId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186" fontId="21" fillId="0" borderId="0" applyProtection="0"/>
    <xf numFmtId="186" fontId="21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186" fontId="17" fillId="0" borderId="0" applyProtection="0"/>
    <xf numFmtId="186" fontId="17" fillId="0" borderId="0" applyProtection="0"/>
    <xf numFmtId="0" fontId="17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186" fontId="5" fillId="0" borderId="0" applyProtection="0"/>
    <xf numFmtId="186" fontId="5" fillId="0" borderId="0" applyProtection="0"/>
    <xf numFmtId="0" fontId="5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6" fontId="4" fillId="0" borderId="0" applyProtection="0"/>
    <xf numFmtId="186" fontId="4" fillId="0" borderId="0" applyProtection="0"/>
    <xf numFmtId="0" fontId="4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186" fontId="22" fillId="0" borderId="0" applyProtection="0"/>
    <xf numFmtId="186" fontId="22" fillId="0" borderId="0" applyProtection="0"/>
    <xf numFmtId="0" fontId="22" fillId="0" borderId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186" fontId="108" fillId="68" borderId="0" applyNumberFormat="0" applyBorder="0" applyAlignment="0" applyProtection="0"/>
    <xf numFmtId="186" fontId="108" fillId="68" borderId="0" applyNumberFormat="0" applyBorder="0" applyAlignment="0" applyProtection="0"/>
    <xf numFmtId="0" fontId="109" fillId="68" borderId="0" applyNumberFormat="0" applyBorder="0" applyAlignment="0" applyProtection="0"/>
    <xf numFmtId="194" fontId="52" fillId="36" borderId="0" applyNumberFormat="0" applyBorder="0" applyAlignment="0" applyProtection="0"/>
    <xf numFmtId="194" fontId="52" fillId="36" borderId="0" applyNumberFormat="0" applyBorder="0" applyAlignment="0" applyProtection="0"/>
    <xf numFmtId="194" fontId="52" fillId="36" borderId="0" applyNumberFormat="0" applyBorder="0" applyAlignment="0" applyProtection="0"/>
    <xf numFmtId="194" fontId="52" fillId="36" borderId="0" applyNumberFormat="0" applyBorder="0" applyAlignment="0" applyProtection="0"/>
    <xf numFmtId="194" fontId="52" fillId="36" borderId="0" applyNumberFormat="0" applyBorder="0" applyAlignment="0" applyProtection="0"/>
    <xf numFmtId="194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186" fontId="111" fillId="0" borderId="22" applyNumberFormat="0" applyFill="0" applyAlignment="0" applyProtection="0"/>
    <xf numFmtId="186" fontId="111" fillId="0" borderId="22" applyNumberFormat="0" applyFill="0" applyAlignment="0" applyProtection="0"/>
    <xf numFmtId="194" fontId="110" fillId="0" borderId="21" applyNumberFormat="0" applyFill="0" applyAlignment="0" applyProtection="0"/>
    <xf numFmtId="194" fontId="110" fillId="0" borderId="21" applyNumberFormat="0" applyFill="0" applyAlignment="0" applyProtection="0"/>
    <xf numFmtId="194" fontId="110" fillId="0" borderId="21" applyNumberFormat="0" applyFill="0" applyAlignment="0" applyProtection="0"/>
    <xf numFmtId="194" fontId="110" fillId="0" borderId="21" applyNumberFormat="0" applyFill="0" applyAlignment="0" applyProtection="0"/>
    <xf numFmtId="194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2" fillId="0" borderId="23" applyNumberFormat="0" applyFill="0" applyAlignment="0" applyProtection="0"/>
    <xf numFmtId="0" fontId="112" fillId="0" borderId="23" applyNumberFormat="0" applyFill="0" applyAlignment="0" applyProtection="0"/>
    <xf numFmtId="0" fontId="112" fillId="0" borderId="23" applyNumberFormat="0" applyFill="0" applyAlignment="0" applyProtection="0"/>
    <xf numFmtId="0" fontId="112" fillId="0" borderId="23" applyNumberFormat="0" applyFill="0" applyAlignment="0" applyProtection="0"/>
    <xf numFmtId="0" fontId="112" fillId="0" borderId="23" applyNumberFormat="0" applyFill="0" applyAlignment="0" applyProtection="0"/>
    <xf numFmtId="186" fontId="113" fillId="0" borderId="24" applyNumberFormat="0" applyFill="0" applyAlignment="0" applyProtection="0"/>
    <xf numFmtId="186" fontId="113" fillId="0" borderId="24" applyNumberFormat="0" applyFill="0" applyAlignment="0" applyProtection="0"/>
    <xf numFmtId="194" fontId="112" fillId="0" borderId="23" applyNumberFormat="0" applyFill="0" applyAlignment="0" applyProtection="0"/>
    <xf numFmtId="194" fontId="112" fillId="0" borderId="23" applyNumberFormat="0" applyFill="0" applyAlignment="0" applyProtection="0"/>
    <xf numFmtId="194" fontId="112" fillId="0" borderId="23" applyNumberFormat="0" applyFill="0" applyAlignment="0" applyProtection="0"/>
    <xf numFmtId="194" fontId="112" fillId="0" borderId="23" applyNumberFormat="0" applyFill="0" applyAlignment="0" applyProtection="0"/>
    <xf numFmtId="194" fontId="112" fillId="0" borderId="23" applyNumberFormat="0" applyFill="0" applyAlignment="0" applyProtection="0"/>
    <xf numFmtId="0" fontId="112" fillId="0" borderId="23" applyNumberFormat="0" applyFill="0" applyAlignment="0" applyProtection="0"/>
    <xf numFmtId="0" fontId="114" fillId="0" borderId="25" applyNumberFormat="0" applyFill="0" applyAlignment="0" applyProtection="0"/>
    <xf numFmtId="0" fontId="114" fillId="0" borderId="25" applyNumberFormat="0" applyFill="0" applyAlignment="0" applyProtection="0"/>
    <xf numFmtId="0" fontId="114" fillId="0" borderId="25" applyNumberFormat="0" applyFill="0" applyAlignment="0" applyProtection="0"/>
    <xf numFmtId="0" fontId="114" fillId="0" borderId="25" applyNumberFormat="0" applyFill="0" applyAlignment="0" applyProtection="0"/>
    <xf numFmtId="0" fontId="114" fillId="0" borderId="25" applyNumberFormat="0" applyFill="0" applyAlignment="0" applyProtection="0"/>
    <xf numFmtId="186" fontId="115" fillId="0" borderId="26" applyNumberFormat="0" applyFill="0" applyAlignment="0" applyProtection="0"/>
    <xf numFmtId="186" fontId="115" fillId="0" borderId="26" applyNumberFormat="0" applyFill="0" applyAlignment="0" applyProtection="0"/>
    <xf numFmtId="0" fontId="116" fillId="0" borderId="26" applyNumberFormat="0" applyFill="0" applyAlignment="0" applyProtection="0"/>
    <xf numFmtId="194" fontId="114" fillId="0" borderId="25" applyNumberFormat="0" applyFill="0" applyAlignment="0" applyProtection="0"/>
    <xf numFmtId="194" fontId="114" fillId="0" borderId="25" applyNumberFormat="0" applyFill="0" applyAlignment="0" applyProtection="0"/>
    <xf numFmtId="194" fontId="114" fillId="0" borderId="25" applyNumberFormat="0" applyFill="0" applyAlignment="0" applyProtection="0"/>
    <xf numFmtId="194" fontId="114" fillId="0" borderId="25" applyNumberFormat="0" applyFill="0" applyAlignment="0" applyProtection="0"/>
    <xf numFmtId="194" fontId="114" fillId="0" borderId="25" applyNumberFormat="0" applyFill="0" applyAlignment="0" applyProtection="0"/>
    <xf numFmtId="194" fontId="114" fillId="0" borderId="25" applyNumberFormat="0" applyFill="0" applyAlignment="0" applyProtection="0"/>
    <xf numFmtId="0" fontId="114" fillId="0" borderId="25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86" fontId="115" fillId="0" borderId="0" applyNumberFormat="0" applyFill="0" applyBorder="0" applyAlignment="0" applyProtection="0"/>
    <xf numFmtId="186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194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4" fillId="5" borderId="2" applyNumberFormat="0" applyAlignment="0" applyProtection="0"/>
    <xf numFmtId="0" fontId="54" fillId="5" borderId="2" applyNumberFormat="0" applyAlignment="0" applyProtection="0"/>
    <xf numFmtId="0" fontId="54" fillId="5" borderId="2" applyNumberFormat="0" applyAlignment="0" applyProtection="0"/>
    <xf numFmtId="0" fontId="54" fillId="5" borderId="2" applyNumberFormat="0" applyAlignment="0" applyProtection="0"/>
    <xf numFmtId="0" fontId="54" fillId="5" borderId="2" applyNumberFormat="0" applyAlignment="0" applyProtection="0"/>
    <xf numFmtId="186" fontId="117" fillId="69" borderId="19" applyNumberFormat="0" applyAlignment="0" applyProtection="0"/>
    <xf numFmtId="186" fontId="117" fillId="69" borderId="19" applyNumberFormat="0" applyAlignment="0" applyProtection="0"/>
    <xf numFmtId="0" fontId="118" fillId="69" borderId="19" applyNumberFormat="0" applyAlignment="0" applyProtection="0"/>
    <xf numFmtId="194" fontId="54" fillId="5" borderId="2" applyNumberFormat="0" applyAlignment="0" applyProtection="0"/>
    <xf numFmtId="194" fontId="54" fillId="5" borderId="2" applyNumberFormat="0" applyAlignment="0" applyProtection="0"/>
    <xf numFmtId="194" fontId="54" fillId="5" borderId="2" applyNumberFormat="0" applyAlignment="0" applyProtection="0"/>
    <xf numFmtId="194" fontId="54" fillId="5" borderId="2" applyNumberFormat="0" applyAlignment="0" applyProtection="0"/>
    <xf numFmtId="194" fontId="54" fillId="5" borderId="2" applyNumberFormat="0" applyAlignment="0" applyProtection="0"/>
    <xf numFmtId="194" fontId="54" fillId="5" borderId="2" applyNumberFormat="0" applyAlignment="0" applyProtection="0"/>
    <xf numFmtId="0" fontId="54" fillId="5" borderId="2" applyNumberFormat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19" fillId="0" borderId="27" applyNumberFormat="0" applyFill="0" applyAlignment="0" applyProtection="0"/>
    <xf numFmtId="186" fontId="120" fillId="0" borderId="28" applyNumberFormat="0" applyFill="0" applyAlignment="0" applyProtection="0"/>
    <xf numFmtId="186" fontId="120" fillId="0" borderId="28" applyNumberFormat="0" applyFill="0" applyAlignment="0" applyProtection="0"/>
    <xf numFmtId="0" fontId="121" fillId="0" borderId="28" applyNumberFormat="0" applyFill="0" applyAlignment="0" applyProtection="0"/>
    <xf numFmtId="194" fontId="119" fillId="0" borderId="27" applyNumberFormat="0" applyFill="0" applyAlignment="0" applyProtection="0"/>
    <xf numFmtId="194" fontId="119" fillId="0" borderId="27" applyNumberFormat="0" applyFill="0" applyAlignment="0" applyProtection="0"/>
    <xf numFmtId="194" fontId="119" fillId="0" borderId="27" applyNumberFormat="0" applyFill="0" applyAlignment="0" applyProtection="0"/>
    <xf numFmtId="194" fontId="119" fillId="0" borderId="27" applyNumberFormat="0" applyFill="0" applyAlignment="0" applyProtection="0"/>
    <xf numFmtId="194" fontId="119" fillId="0" borderId="27" applyNumberFormat="0" applyFill="0" applyAlignment="0" applyProtection="0"/>
    <xf numFmtId="194" fontId="119" fillId="0" borderId="27" applyNumberFormat="0" applyFill="0" applyAlignment="0" applyProtection="0"/>
    <xf numFmtId="0" fontId="119" fillId="0" borderId="27" applyNumberFormat="0" applyFill="0" applyAlignment="0" applyProtection="0"/>
    <xf numFmtId="0" fontId="122" fillId="7" borderId="0" applyNumberFormat="0" applyBorder="0" applyAlignment="0" applyProtection="0"/>
    <xf numFmtId="0" fontId="122" fillId="7" borderId="0" applyNumberFormat="0" applyBorder="0" applyAlignment="0" applyProtection="0"/>
    <xf numFmtId="0" fontId="122" fillId="7" borderId="0" applyNumberFormat="0" applyBorder="0" applyAlignment="0" applyProtection="0"/>
    <xf numFmtId="0" fontId="122" fillId="7" borderId="0" applyNumberFormat="0" applyBorder="0" applyAlignment="0" applyProtection="0"/>
    <xf numFmtId="0" fontId="122" fillId="7" borderId="0" applyNumberFormat="0" applyBorder="0" applyAlignment="0" applyProtection="0"/>
    <xf numFmtId="186" fontId="123" fillId="70" borderId="0" applyNumberFormat="0" applyBorder="0" applyAlignment="0" applyProtection="0"/>
    <xf numFmtId="186" fontId="123" fillId="70" borderId="0" applyNumberFormat="0" applyBorder="0" applyAlignment="0" applyProtection="0"/>
    <xf numFmtId="0" fontId="124" fillId="70" borderId="0" applyNumberFormat="0" applyBorder="0" applyAlignment="0" applyProtection="0"/>
    <xf numFmtId="194" fontId="122" fillId="7" borderId="0" applyNumberFormat="0" applyBorder="0" applyAlignment="0" applyProtection="0"/>
    <xf numFmtId="194" fontId="122" fillId="7" borderId="0" applyNumberFormat="0" applyBorder="0" applyAlignment="0" applyProtection="0"/>
    <xf numFmtId="194" fontId="122" fillId="7" borderId="0" applyNumberFormat="0" applyBorder="0" applyAlignment="0" applyProtection="0"/>
    <xf numFmtId="194" fontId="122" fillId="7" borderId="0" applyNumberFormat="0" applyBorder="0" applyAlignment="0" applyProtection="0"/>
    <xf numFmtId="194" fontId="122" fillId="7" borderId="0" applyNumberFormat="0" applyBorder="0" applyAlignment="0" applyProtection="0"/>
    <xf numFmtId="194" fontId="122" fillId="7" borderId="0" applyNumberFormat="0" applyBorder="0" applyAlignment="0" applyProtection="0"/>
    <xf numFmtId="0" fontId="122" fillId="7" borderId="0" applyNumberFormat="0" applyBorder="0" applyAlignment="0" applyProtection="0"/>
    <xf numFmtId="0" fontId="5" fillId="0" borderId="0"/>
    <xf numFmtId="0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86" fontId="5" fillId="0" borderId="0"/>
    <xf numFmtId="186" fontId="5" fillId="0" borderId="0"/>
    <xf numFmtId="0" fontId="6" fillId="0" borderId="0"/>
    <xf numFmtId="0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5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86" fontId="96" fillId="0" borderId="0"/>
    <xf numFmtId="186" fontId="96" fillId="0" borderId="0"/>
    <xf numFmtId="0" fontId="6" fillId="0" borderId="0"/>
    <xf numFmtId="0" fontId="5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194" fontId="72" fillId="0" borderId="0"/>
    <xf numFmtId="0" fontId="5" fillId="0" borderId="0"/>
    <xf numFmtId="186" fontId="96" fillId="0" borderId="0"/>
    <xf numFmtId="0" fontId="5" fillId="0" borderId="0"/>
    <xf numFmtId="186" fontId="96" fillId="0" borderId="0"/>
    <xf numFmtId="186" fontId="96" fillId="0" borderId="0"/>
    <xf numFmtId="0" fontId="5" fillId="0" borderId="0"/>
    <xf numFmtId="186" fontId="96" fillId="0" borderId="0"/>
    <xf numFmtId="0" fontId="3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186" fontId="96" fillId="0" borderId="0"/>
    <xf numFmtId="0" fontId="125" fillId="4" borderId="6" applyNumberFormat="0" applyFont="0" applyAlignment="0" applyProtection="0"/>
    <xf numFmtId="0" fontId="125" fillId="4" borderId="6" applyNumberFormat="0" applyFont="0" applyAlignment="0" applyProtection="0"/>
    <xf numFmtId="0" fontId="125" fillId="4" borderId="6" applyNumberFormat="0" applyFont="0" applyAlignment="0" applyProtection="0"/>
    <xf numFmtId="0" fontId="125" fillId="4" borderId="6" applyNumberFormat="0" applyFont="0" applyAlignment="0" applyProtection="0"/>
    <xf numFmtId="0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94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94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94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94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194" fontId="125" fillId="4" borderId="6" applyNumberFormat="0" applyFont="0" applyAlignment="0" applyProtection="0"/>
    <xf numFmtId="186" fontId="125" fillId="71" borderId="29" applyNumberFormat="0" applyFont="0" applyAlignment="0" applyProtection="0"/>
    <xf numFmtId="186" fontId="125" fillId="71" borderId="29" applyNumberFormat="0" applyFont="0" applyAlignment="0" applyProtection="0"/>
    <xf numFmtId="0" fontId="125" fillId="4" borderId="6" applyNumberFormat="0" applyFont="0" applyAlignment="0" applyProtection="0"/>
    <xf numFmtId="0" fontId="58" fillId="64" borderId="7" applyNumberFormat="0" applyAlignment="0" applyProtection="0"/>
    <xf numFmtId="0" fontId="58" fillId="64" borderId="7" applyNumberFormat="0" applyAlignment="0" applyProtection="0"/>
    <xf numFmtId="0" fontId="58" fillId="64" borderId="7" applyNumberFormat="0" applyAlignment="0" applyProtection="0"/>
    <xf numFmtId="0" fontId="58" fillId="64" borderId="7" applyNumberFormat="0" applyAlignment="0" applyProtection="0"/>
    <xf numFmtId="0" fontId="58" fillId="64" borderId="7" applyNumberFormat="0" applyAlignment="0" applyProtection="0"/>
    <xf numFmtId="186" fontId="126" fillId="65" borderId="30" applyNumberFormat="0" applyAlignment="0" applyProtection="0"/>
    <xf numFmtId="186" fontId="126" fillId="65" borderId="30" applyNumberFormat="0" applyAlignment="0" applyProtection="0"/>
    <xf numFmtId="0" fontId="127" fillId="65" borderId="30" applyNumberFormat="0" applyAlignment="0" applyProtection="0"/>
    <xf numFmtId="194" fontId="58" fillId="64" borderId="7" applyNumberFormat="0" applyAlignment="0" applyProtection="0"/>
    <xf numFmtId="194" fontId="58" fillId="64" borderId="7" applyNumberFormat="0" applyAlignment="0" applyProtection="0"/>
    <xf numFmtId="194" fontId="58" fillId="64" borderId="7" applyNumberFormat="0" applyAlignment="0" applyProtection="0"/>
    <xf numFmtId="194" fontId="58" fillId="64" borderId="7" applyNumberFormat="0" applyAlignment="0" applyProtection="0"/>
    <xf numFmtId="194" fontId="58" fillId="64" borderId="7" applyNumberFormat="0" applyAlignment="0" applyProtection="0"/>
    <xf numFmtId="194" fontId="58" fillId="64" borderId="7" applyNumberFormat="0" applyAlignment="0" applyProtection="0"/>
    <xf numFmtId="0" fontId="58" fillId="64" borderId="7" applyNumberFormat="0" applyAlignment="0" applyProtection="0"/>
    <xf numFmtId="0" fontId="60" fillId="19" borderId="0">
      <alignment horizontal="center" vertical="center"/>
    </xf>
    <xf numFmtId="0" fontId="60" fillId="19" borderId="0">
      <alignment horizontal="center" vertical="center"/>
    </xf>
    <xf numFmtId="0" fontId="60" fillId="19" borderId="0">
      <alignment horizontal="center" vertical="center"/>
    </xf>
    <xf numFmtId="0" fontId="60" fillId="19" borderId="0">
      <alignment horizontal="center" vertical="center"/>
    </xf>
    <xf numFmtId="0" fontId="60" fillId="19" borderId="0">
      <alignment horizontal="center" vertical="center"/>
    </xf>
    <xf numFmtId="0" fontId="60" fillId="19" borderId="0">
      <alignment horizontal="center" vertical="center"/>
    </xf>
    <xf numFmtId="186" fontId="60" fillId="19" borderId="0">
      <alignment horizontal="center" vertical="center"/>
    </xf>
    <xf numFmtId="186" fontId="60" fillId="19" borderId="0">
      <alignment horizontal="center" vertical="center"/>
    </xf>
    <xf numFmtId="0" fontId="60" fillId="19" borderId="0">
      <alignment horizontal="center" vertical="center"/>
    </xf>
    <xf numFmtId="0" fontId="55" fillId="19" borderId="8"/>
    <xf numFmtId="0" fontId="55" fillId="19" borderId="8"/>
    <xf numFmtId="0" fontId="55" fillId="19" borderId="8"/>
    <xf numFmtId="0" fontId="55" fillId="19" borderId="8"/>
    <xf numFmtId="0" fontId="55" fillId="19" borderId="8"/>
    <xf numFmtId="0" fontId="55" fillId="19" borderId="8"/>
    <xf numFmtId="186" fontId="55" fillId="19" borderId="8"/>
    <xf numFmtId="186" fontId="55" fillId="19" borderId="8"/>
    <xf numFmtId="0" fontId="55" fillId="19" borderId="8"/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186" fontId="60" fillId="19" borderId="0" applyBorder="0">
      <alignment horizontal="centerContinuous"/>
    </xf>
    <xf numFmtId="186" fontId="60" fillId="19" borderId="0" applyBorder="0">
      <alignment horizontal="centerContinuous"/>
    </xf>
    <xf numFmtId="0" fontId="60" fillId="19" borderId="0" applyBorder="0">
      <alignment horizontal="centerContinuous"/>
    </xf>
    <xf numFmtId="0" fontId="61" fillId="19" borderId="0" applyBorder="0">
      <alignment horizontal="centerContinuous"/>
    </xf>
    <xf numFmtId="0" fontId="61" fillId="19" borderId="0" applyBorder="0">
      <alignment horizontal="centerContinuous"/>
    </xf>
    <xf numFmtId="0" fontId="61" fillId="19" borderId="0" applyBorder="0">
      <alignment horizontal="centerContinuous"/>
    </xf>
    <xf numFmtId="0" fontId="61" fillId="19" borderId="0" applyBorder="0">
      <alignment horizontal="centerContinuous"/>
    </xf>
    <xf numFmtId="0" fontId="61" fillId="19" borderId="0" applyBorder="0">
      <alignment horizontal="centerContinuous"/>
    </xf>
    <xf numFmtId="0" fontId="61" fillId="19" borderId="0" applyBorder="0">
      <alignment horizontal="centerContinuous"/>
    </xf>
    <xf numFmtId="186" fontId="61" fillId="19" borderId="0" applyBorder="0">
      <alignment horizontal="centerContinuous"/>
    </xf>
    <xf numFmtId="186" fontId="61" fillId="19" borderId="0" applyBorder="0">
      <alignment horizontal="centerContinuous"/>
    </xf>
    <xf numFmtId="0" fontId="61" fillId="19" borderId="0" applyBorder="0">
      <alignment horizontal="centerContinuous"/>
    </xf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86" fontId="129" fillId="0" borderId="0" applyNumberFormat="0" applyFill="0" applyBorder="0" applyAlignment="0" applyProtection="0"/>
    <xf numFmtId="186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194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130" fillId="0" borderId="31" applyNumberFormat="0" applyFill="0" applyAlignment="0" applyProtection="0"/>
    <xf numFmtId="186" fontId="131" fillId="0" borderId="32" applyNumberFormat="0" applyFill="0" applyAlignment="0" applyProtection="0"/>
    <xf numFmtId="186" fontId="131" fillId="0" borderId="32" applyNumberFormat="0" applyFill="0" applyAlignment="0" applyProtection="0"/>
    <xf numFmtId="194" fontId="130" fillId="0" borderId="31" applyNumberFormat="0" applyFill="0" applyAlignment="0" applyProtection="0"/>
    <xf numFmtId="194" fontId="130" fillId="0" borderId="31" applyNumberFormat="0" applyFill="0" applyAlignment="0" applyProtection="0"/>
    <xf numFmtId="194" fontId="130" fillId="0" borderId="31" applyNumberFormat="0" applyFill="0" applyAlignment="0" applyProtection="0"/>
    <xf numFmtId="194" fontId="130" fillId="0" borderId="31" applyNumberFormat="0" applyFill="0" applyAlignment="0" applyProtection="0"/>
    <xf numFmtId="194" fontId="130" fillId="0" borderId="31" applyNumberFormat="0" applyFill="0" applyAlignment="0" applyProtection="0"/>
    <xf numFmtId="0" fontId="130" fillId="0" borderId="31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6" fontId="132" fillId="0" borderId="0" applyNumberFormat="0" applyFill="0" applyBorder="0" applyAlignment="0" applyProtection="0"/>
    <xf numFmtId="186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194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21" borderId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2" borderId="15" applyNumberFormat="0" applyFont="0" applyAlignment="0">
      <protection locked="0"/>
    </xf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4" fillId="0" borderId="0" applyProtection="0"/>
    <xf numFmtId="0" fontId="4" fillId="0" borderId="0" applyProtection="0"/>
    <xf numFmtId="0" fontId="20" fillId="0" borderId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5" fillId="0" borderId="0" applyProtection="0"/>
    <xf numFmtId="0" fontId="5" fillId="0" borderId="0" applyProtection="0"/>
    <xf numFmtId="0" fontId="4" fillId="0" borderId="0" applyProtection="0"/>
    <xf numFmtId="0" fontId="4" fillId="0" borderId="0" applyProtection="0"/>
    <xf numFmtId="0" fontId="22" fillId="0" borderId="0" applyProtection="0"/>
    <xf numFmtId="0" fontId="22" fillId="0" borderId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62" fillId="30" borderId="0" applyNumberFormat="0" applyProtection="0">
      <alignment horizontal="left" vertical="center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9" borderId="16" applyNumberFormat="0" applyProtection="0">
      <alignment horizontal="left" vertical="center" indent="1"/>
    </xf>
    <xf numFmtId="0" fontId="5" fillId="9" borderId="17" applyNumberFormat="0" applyProtection="0">
      <alignment horizontal="left" vertical="top" inden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0" applyNumberFormat="0" applyFont="0" applyFill="0" applyAlignment="0" applyProtection="0"/>
    <xf numFmtId="0" fontId="5" fillId="0" borderId="10" applyNumberFormat="0" applyFont="0" applyFill="0" applyAlignment="0" applyProtection="0"/>
    <xf numFmtId="0" fontId="16" fillId="0" borderId="0"/>
    <xf numFmtId="37" fontId="16" fillId="0" borderId="0"/>
    <xf numFmtId="0" fontId="1" fillId="0" borderId="0"/>
    <xf numFmtId="43" fontId="1" fillId="0" borderId="0" applyFont="0" applyFill="0" applyBorder="0" applyAlignment="0" applyProtection="0"/>
  </cellStyleXfs>
  <cellXfs count="833">
    <xf numFmtId="37" fontId="0" fillId="0" borderId="0" xfId="0"/>
    <xf numFmtId="37" fontId="6" fillId="0" borderId="0" xfId="0" applyFont="1" applyAlignment="1">
      <alignment horizontal="left"/>
    </xf>
    <xf numFmtId="37" fontId="6" fillId="0" borderId="0" xfId="0" applyFont="1"/>
    <xf numFmtId="37" fontId="6" fillId="0" borderId="0" xfId="0" applyFont="1" applyAlignment="1">
      <alignment horizontal="right"/>
    </xf>
    <xf numFmtId="37" fontId="7" fillId="0" borderId="0" xfId="0" applyFont="1" applyAlignment="1">
      <alignment horizontal="centerContinuous"/>
    </xf>
    <xf numFmtId="37" fontId="8" fillId="0" borderId="0" xfId="0" applyFont="1" applyAlignment="1">
      <alignment horizontal="centerContinuous"/>
    </xf>
    <xf numFmtId="37" fontId="6" fillId="0" borderId="0" xfId="0" applyFont="1" applyAlignment="1">
      <alignment horizontal="centerContinuous"/>
    </xf>
    <xf numFmtId="37" fontId="8" fillId="0" borderId="0" xfId="0" applyFont="1" applyAlignment="1">
      <alignment horizontal="right"/>
    </xf>
    <xf numFmtId="37" fontId="6" fillId="0" borderId="0" xfId="0" applyFont="1" applyAlignment="1">
      <alignment horizontal="center"/>
    </xf>
    <xf numFmtId="37" fontId="6" fillId="0" borderId="0" xfId="0" applyNumberFormat="1" applyFont="1" applyProtection="1"/>
    <xf numFmtId="37" fontId="6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6" fillId="0" borderId="0" xfId="0" applyNumberFormat="1" applyFont="1" applyAlignment="1" applyProtection="1">
      <alignment horizontal="right"/>
    </xf>
    <xf numFmtId="37" fontId="6" fillId="0" borderId="0" xfId="0" applyFont="1" applyAlignment="1"/>
    <xf numFmtId="37" fontId="6" fillId="0" borderId="0" xfId="0" quotePrefix="1" applyFont="1" applyAlignment="1">
      <alignment horizontal="left"/>
    </xf>
    <xf numFmtId="37" fontId="9" fillId="0" borderId="0" xfId="0" applyFont="1" applyAlignment="1">
      <alignment horizontal="centerContinuous"/>
    </xf>
    <xf numFmtId="37" fontId="9" fillId="0" borderId="0" xfId="0" quotePrefix="1" applyFont="1" applyAlignment="1">
      <alignment horizontal="centerContinuous"/>
    </xf>
    <xf numFmtId="37" fontId="7" fillId="0" borderId="0" xfId="0" quotePrefix="1" applyFont="1" applyAlignment="1">
      <alignment horizontal="centerContinuous"/>
    </xf>
    <xf numFmtId="37" fontId="6" fillId="0" borderId="11" xfId="0" applyFont="1" applyBorder="1" applyAlignment="1">
      <alignment horizontal="center"/>
    </xf>
    <xf numFmtId="37" fontId="6" fillId="0" borderId="11" xfId="0" applyFont="1" applyBorder="1"/>
    <xf numFmtId="37" fontId="6" fillId="0" borderId="0" xfId="0" quotePrefix="1" applyFont="1" applyAlignment="1">
      <alignment horizontal="center"/>
    </xf>
    <xf numFmtId="37" fontId="6" fillId="0" borderId="0" xfId="0" applyFont="1" applyBorder="1" applyAlignment="1">
      <alignment horizontal="center"/>
    </xf>
    <xf numFmtId="37" fontId="9" fillId="0" borderId="0" xfId="0" applyFont="1" applyAlignment="1">
      <alignment horizontal="right"/>
    </xf>
    <xf numFmtId="37" fontId="6" fillId="0" borderId="0" xfId="0" applyNumberFormat="1" applyFont="1" applyBorder="1" applyProtection="1"/>
    <xf numFmtId="37" fontId="6" fillId="0" borderId="0" xfId="0" applyFont="1" applyBorder="1" applyAlignment="1">
      <alignment horizontal="right"/>
    </xf>
    <xf numFmtId="37" fontId="6" fillId="0" borderId="0" xfId="0" applyFont="1" applyBorder="1"/>
    <xf numFmtId="37" fontId="6" fillId="0" borderId="0" xfId="0" applyFont="1" applyBorder="1" applyAlignment="1">
      <alignment horizontal="fill"/>
    </xf>
    <xf numFmtId="37" fontId="6" fillId="0" borderId="11" xfId="0" quotePrefix="1" applyFont="1" applyBorder="1" applyAlignment="1">
      <alignment horizontal="center"/>
    </xf>
    <xf numFmtId="5" fontId="6" fillId="0" borderId="0" xfId="0" applyNumberFormat="1" applyFont="1" applyBorder="1" applyProtection="1"/>
    <xf numFmtId="37" fontId="6" fillId="0" borderId="0" xfId="0" applyFont="1" applyBorder="1" applyAlignment="1">
      <alignment horizontal="left"/>
    </xf>
    <xf numFmtId="37" fontId="9" fillId="0" borderId="0" xfId="0" quotePrefix="1" applyFont="1" applyAlignment="1">
      <alignment horizontal="right"/>
    </xf>
    <xf numFmtId="169" fontId="6" fillId="0" borderId="0" xfId="34" applyNumberFormat="1" applyFont="1" applyProtection="1"/>
    <xf numFmtId="169" fontId="6" fillId="0" borderId="11" xfId="34" applyNumberFormat="1" applyFont="1" applyBorder="1" applyProtection="1"/>
    <xf numFmtId="37" fontId="6" fillId="0" borderId="0" xfId="0" quotePrefix="1" applyFont="1" applyBorder="1" applyAlignment="1">
      <alignment horizontal="left"/>
    </xf>
    <xf numFmtId="169" fontId="6" fillId="0" borderId="0" xfId="34" applyNumberFormat="1" applyFont="1" applyBorder="1" applyAlignment="1">
      <alignment horizontal="centerContinuous"/>
    </xf>
    <xf numFmtId="169" fontId="10" fillId="0" borderId="0" xfId="34" applyNumberFormat="1" applyFont="1" applyBorder="1" applyAlignment="1">
      <alignment horizontal="centerContinuous"/>
    </xf>
    <xf numFmtId="169" fontId="6" fillId="0" borderId="0" xfId="34" applyNumberFormat="1" applyFont="1" applyBorder="1"/>
    <xf numFmtId="169" fontId="6" fillId="0" borderId="0" xfId="34" applyNumberFormat="1" applyFont="1" applyBorder="1" applyAlignment="1">
      <alignment horizontal="fill"/>
    </xf>
    <xf numFmtId="169" fontId="6" fillId="0" borderId="0" xfId="34" applyNumberFormat="1" applyFont="1" applyBorder="1" applyProtection="1"/>
    <xf numFmtId="169" fontId="6" fillId="0" borderId="0" xfId="34" applyNumberFormat="1" applyFont="1" applyBorder="1" applyAlignment="1">
      <alignment horizontal="right"/>
    </xf>
    <xf numFmtId="171" fontId="6" fillId="0" borderId="0" xfId="40" applyNumberFormat="1" applyFont="1"/>
    <xf numFmtId="10" fontId="6" fillId="0" borderId="0" xfId="84" applyNumberFormat="1" applyFont="1"/>
    <xf numFmtId="37" fontId="9" fillId="0" borderId="0" xfId="0" applyFont="1"/>
    <xf numFmtId="37" fontId="9" fillId="0" borderId="0" xfId="0" applyFont="1" applyAlignment="1">
      <alignment horizontal="left"/>
    </xf>
    <xf numFmtId="37" fontId="12" fillId="0" borderId="0" xfId="0" applyFont="1" applyAlignment="1">
      <alignment horizontal="centerContinuous"/>
    </xf>
    <xf numFmtId="37" fontId="6" fillId="0" borderId="0" xfId="0" quotePrefix="1" applyFont="1"/>
    <xf numFmtId="171" fontId="6" fillId="0" borderId="0" xfId="40" applyNumberFormat="1" applyFont="1" applyProtection="1"/>
    <xf numFmtId="171" fontId="6" fillId="0" borderId="12" xfId="40" applyNumberFormat="1" applyFont="1" applyBorder="1" applyProtection="1"/>
    <xf numFmtId="43" fontId="6" fillId="0" borderId="0" xfId="34" applyFont="1" applyBorder="1"/>
    <xf numFmtId="171" fontId="6" fillId="0" borderId="0" xfId="40" applyNumberFormat="1" applyFont="1" applyBorder="1"/>
    <xf numFmtId="10" fontId="6" fillId="0" borderId="0" xfId="84" applyNumberFormat="1" applyFont="1" applyBorder="1"/>
    <xf numFmtId="169" fontId="6" fillId="0" borderId="11" xfId="34" applyNumberFormat="1" applyFont="1" applyBorder="1"/>
    <xf numFmtId="169" fontId="6" fillId="0" borderId="0" xfId="34" applyNumberFormat="1" applyFont="1"/>
    <xf numFmtId="43" fontId="14" fillId="0" borderId="0" xfId="34" applyFont="1" applyAlignment="1">
      <alignment horizontal="center"/>
    </xf>
    <xf numFmtId="43" fontId="14" fillId="0" borderId="0" xfId="34" applyFont="1"/>
    <xf numFmtId="171" fontId="6" fillId="0" borderId="12" xfId="40" applyNumberFormat="1" applyFont="1" applyBorder="1"/>
    <xf numFmtId="171" fontId="6" fillId="0" borderId="0" xfId="40" applyNumberFormat="1" applyFont="1" applyBorder="1" applyProtection="1"/>
    <xf numFmtId="43" fontId="14" fillId="0" borderId="0" xfId="34" applyFont="1" applyBorder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Protection="1"/>
    <xf numFmtId="164" fontId="6" fillId="0" borderId="0" xfId="0" applyNumberFormat="1" applyFont="1" applyAlignment="1">
      <alignment horizontal="fill"/>
    </xf>
    <xf numFmtId="174" fontId="6" fillId="0" borderId="0" xfId="40" applyNumberFormat="1" applyFont="1"/>
    <xf numFmtId="174" fontId="6" fillId="0" borderId="0" xfId="0" applyNumberFormat="1" applyFont="1" applyProtection="1"/>
    <xf numFmtId="174" fontId="6" fillId="0" borderId="12" xfId="0" applyNumberFormat="1" applyFont="1" applyBorder="1"/>
    <xf numFmtId="167" fontId="6" fillId="0" borderId="0" xfId="84" applyNumberFormat="1" applyFont="1" applyBorder="1"/>
    <xf numFmtId="167" fontId="6" fillId="0" borderId="11" xfId="84" applyNumberFormat="1" applyFont="1" applyBorder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9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37" fontId="10" fillId="0" borderId="0" xfId="0" applyFont="1" applyAlignment="1">
      <alignment horizontal="right"/>
    </xf>
    <xf numFmtId="171" fontId="6" fillId="0" borderId="0" xfId="4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37" fontId="6" fillId="0" borderId="0" xfId="0" quotePrefix="1" applyFont="1" applyBorder="1" applyAlignment="1">
      <alignment horizontal="center"/>
    </xf>
    <xf numFmtId="169" fontId="6" fillId="0" borderId="0" xfId="34" applyNumberFormat="1" applyFont="1" applyBorder="1" applyAlignment="1">
      <alignment horizontal="center"/>
    </xf>
    <xf numFmtId="10" fontId="6" fillId="0" borderId="0" xfId="0" applyNumberFormat="1" applyFont="1" applyBorder="1" applyProtection="1"/>
    <xf numFmtId="174" fontId="6" fillId="0" borderId="0" xfId="0" applyNumberFormat="1" applyFont="1" applyBorder="1"/>
    <xf numFmtId="37" fontId="6" fillId="0" borderId="0" xfId="0" applyFont="1" applyBorder="1" applyAlignment="1">
      <alignment horizontal="centerContinuous"/>
    </xf>
    <xf numFmtId="37" fontId="8" fillId="0" borderId="0" xfId="0" applyFont="1" applyAlignment="1">
      <alignment horizontal="left"/>
    </xf>
    <xf numFmtId="37" fontId="8" fillId="0" borderId="0" xfId="0" applyFont="1"/>
    <xf numFmtId="169" fontId="6" fillId="0" borderId="0" xfId="34" applyNumberFormat="1" applyFont="1" applyBorder="1" applyProtection="1">
      <protection locked="0"/>
    </xf>
    <xf numFmtId="37" fontId="7" fillId="0" borderId="0" xfId="0" applyFont="1" applyAlignment="1">
      <alignment horizontal="center"/>
    </xf>
    <xf numFmtId="10" fontId="6" fillId="0" borderId="13" xfId="84" applyNumberFormat="1" applyFont="1" applyBorder="1"/>
    <xf numFmtId="169" fontId="6" fillId="0" borderId="0" xfId="34" applyNumberFormat="1" applyFont="1" applyProtection="1">
      <protection locked="0"/>
    </xf>
    <xf numFmtId="37" fontId="8" fillId="0" borderId="0" xfId="0" applyFont="1" applyBorder="1"/>
    <xf numFmtId="37" fontId="7" fillId="0" borderId="0" xfId="0" applyFont="1"/>
    <xf numFmtId="37" fontId="6" fillId="0" borderId="14" xfId="0" applyFont="1" applyBorder="1"/>
    <xf numFmtId="43" fontId="6" fillId="0" borderId="0" xfId="34" applyFont="1" applyBorder="1" applyAlignment="1">
      <alignment horizontal="center"/>
    </xf>
    <xf numFmtId="169" fontId="6" fillId="0" borderId="0" xfId="34" applyNumberFormat="1" applyFont="1" applyAlignment="1">
      <alignment horizontal="right"/>
    </xf>
    <xf numFmtId="169" fontId="6" fillId="0" borderId="0" xfId="34" applyNumberFormat="1" applyFont="1" applyFill="1"/>
    <xf numFmtId="169" fontId="6" fillId="0" borderId="11" xfId="34" applyNumberFormat="1" applyFont="1" applyBorder="1" applyAlignment="1">
      <alignment horizontal="right"/>
    </xf>
    <xf numFmtId="171" fontId="6" fillId="0" borderId="12" xfId="4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167" fontId="6" fillId="0" borderId="0" xfId="0" applyNumberFormat="1" applyFont="1" applyBorder="1" applyProtection="1"/>
    <xf numFmtId="37" fontId="10" fillId="0" borderId="0" xfId="0" applyFont="1" applyBorder="1" applyAlignment="1">
      <alignment horizontal="center"/>
    </xf>
    <xf numFmtId="10" fontId="6" fillId="0" borderId="0" xfId="84" applyNumberFormat="1" applyFont="1" applyAlignment="1">
      <alignment horizontal="center"/>
    </xf>
    <xf numFmtId="10" fontId="6" fillId="0" borderId="0" xfId="84" applyNumberFormat="1" applyFont="1" applyBorder="1" applyAlignment="1">
      <alignment horizontal="center"/>
    </xf>
    <xf numFmtId="175" fontId="6" fillId="0" borderId="0" xfId="0" applyNumberFormat="1" applyFont="1" applyBorder="1"/>
    <xf numFmtId="176" fontId="6" fillId="0" borderId="0" xfId="34" applyNumberFormat="1" applyFont="1" applyAlignment="1">
      <alignment horizontal="center"/>
    </xf>
    <xf numFmtId="37" fontId="6" fillId="0" borderId="0" xfId="0" applyFont="1" applyFill="1"/>
    <xf numFmtId="37" fontId="7" fillId="0" borderId="0" xfId="0" quotePrefix="1" applyFont="1" applyAlignment="1">
      <alignment horizontal="center"/>
    </xf>
    <xf numFmtId="37" fontId="8" fillId="0" borderId="0" xfId="0" applyFont="1" applyAlignment="1">
      <alignment horizontal="center"/>
    </xf>
    <xf numFmtId="0" fontId="6" fillId="0" borderId="0" xfId="70" applyFont="1"/>
    <xf numFmtId="0" fontId="6" fillId="0" borderId="0" xfId="70" applyFont="1" applyAlignment="1">
      <alignment horizontal="right"/>
    </xf>
    <xf numFmtId="0" fontId="8" fillId="0" borderId="0" xfId="70" applyFont="1" applyAlignment="1">
      <alignment horizontal="center"/>
    </xf>
    <xf numFmtId="0" fontId="6" fillId="0" borderId="0" xfId="70" applyFont="1" applyAlignment="1"/>
    <xf numFmtId="0" fontId="6" fillId="0" borderId="0" xfId="70" applyFont="1" applyAlignment="1">
      <alignment horizontal="center"/>
    </xf>
    <xf numFmtId="17" fontId="6" fillId="0" borderId="0" xfId="70" quotePrefix="1" applyNumberFormat="1" applyFont="1" applyAlignment="1">
      <alignment horizontal="right"/>
    </xf>
    <xf numFmtId="165" fontId="6" fillId="0" borderId="11" xfId="84" applyNumberFormat="1" applyFont="1" applyBorder="1"/>
    <xf numFmtId="165" fontId="6" fillId="0" borderId="0" xfId="84" applyNumberFormat="1" applyFont="1" applyBorder="1" applyProtection="1"/>
    <xf numFmtId="171" fontId="6" fillId="0" borderId="0" xfId="40" applyNumberFormat="1" applyFont="1" applyBorder="1" applyAlignment="1">
      <alignment horizontal="right"/>
    </xf>
    <xf numFmtId="171" fontId="6" fillId="0" borderId="0" xfId="40" applyNumberFormat="1" applyFont="1" applyBorder="1" applyProtection="1">
      <protection locked="0"/>
    </xf>
    <xf numFmtId="0" fontId="6" fillId="0" borderId="0" xfId="71" applyFont="1"/>
    <xf numFmtId="0" fontId="6" fillId="0" borderId="0" xfId="71" applyFont="1" applyAlignment="1">
      <alignment horizontal="center"/>
    </xf>
    <xf numFmtId="0" fontId="6" fillId="0" borderId="0" xfId="71" applyFont="1" applyBorder="1" applyAlignment="1">
      <alignment horizontal="center"/>
    </xf>
    <xf numFmtId="17" fontId="6" fillId="0" borderId="0" xfId="71" applyNumberFormat="1" applyFont="1" applyAlignment="1">
      <alignment horizontal="center"/>
    </xf>
    <xf numFmtId="171" fontId="6" fillId="0" borderId="0" xfId="40" applyNumberFormat="1" applyFont="1" applyFill="1"/>
    <xf numFmtId="10" fontId="6" fillId="0" borderId="0" xfId="70" applyNumberFormat="1" applyFont="1" applyAlignment="1">
      <alignment horizontal="center"/>
    </xf>
    <xf numFmtId="171" fontId="6" fillId="0" borderId="0" xfId="40" applyNumberFormat="1" applyFont="1" applyAlignment="1">
      <alignment horizontal="right"/>
    </xf>
    <xf numFmtId="165" fontId="6" fillId="0" borderId="11" xfId="84" applyNumberFormat="1" applyFont="1" applyFill="1" applyBorder="1"/>
    <xf numFmtId="171" fontId="6" fillId="0" borderId="13" xfId="40" applyNumberFormat="1" applyFont="1" applyBorder="1"/>
    <xf numFmtId="0" fontId="6" fillId="0" borderId="0" xfId="70" applyFont="1" applyBorder="1" applyAlignment="1">
      <alignment horizontal="right"/>
    </xf>
    <xf numFmtId="0" fontId="6" fillId="0" borderId="0" xfId="70" quotePrefix="1" applyFont="1" applyAlignment="1">
      <alignment horizontal="center"/>
    </xf>
    <xf numFmtId="0" fontId="6" fillId="0" borderId="11" xfId="70" applyFont="1" applyBorder="1" applyAlignment="1">
      <alignment horizontal="center"/>
    </xf>
    <xf numFmtId="171" fontId="6" fillId="0" borderId="13" xfId="40" applyNumberFormat="1" applyFont="1" applyBorder="1" applyAlignment="1">
      <alignment horizontal="right"/>
    </xf>
    <xf numFmtId="165" fontId="6" fillId="0" borderId="11" xfId="84" applyNumberFormat="1" applyFont="1" applyBorder="1" applyProtection="1"/>
    <xf numFmtId="174" fontId="6" fillId="0" borderId="0" xfId="40" applyNumberFormat="1" applyFont="1" applyBorder="1" applyProtection="1"/>
    <xf numFmtId="167" fontId="6" fillId="0" borderId="13" xfId="84" applyNumberFormat="1" applyFont="1" applyBorder="1"/>
    <xf numFmtId="10" fontId="6" fillId="0" borderId="0" xfId="84" applyNumberFormat="1" applyFont="1" applyBorder="1" applyProtection="1"/>
    <xf numFmtId="10" fontId="6" fillId="0" borderId="11" xfId="84" applyNumberFormat="1" applyFont="1" applyBorder="1" applyProtection="1"/>
    <xf numFmtId="167" fontId="6" fillId="0" borderId="11" xfId="0" applyNumberFormat="1" applyFont="1" applyBorder="1" applyProtection="1"/>
    <xf numFmtId="174" fontId="6" fillId="0" borderId="0" xfId="0" applyNumberFormat="1" applyFont="1" applyBorder="1" applyProtection="1"/>
    <xf numFmtId="164" fontId="6" fillId="0" borderId="0" xfId="0" applyNumberFormat="1" applyFont="1" applyBorder="1"/>
    <xf numFmtId="177" fontId="6" fillId="0" borderId="0" xfId="0" applyNumberFormat="1" applyFont="1" applyAlignment="1">
      <alignment horizontal="center"/>
    </xf>
    <xf numFmtId="37" fontId="8" fillId="0" borderId="0" xfId="0" quotePrefix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6" fillId="0" borderId="11" xfId="7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179" fontId="6" fillId="0" borderId="11" xfId="34" applyNumberFormat="1" applyFont="1" applyBorder="1" applyProtection="1"/>
    <xf numFmtId="179" fontId="6" fillId="0" borderId="0" xfId="34" applyNumberFormat="1" applyFont="1" applyProtection="1"/>
    <xf numFmtId="179" fontId="6" fillId="0" borderId="0" xfId="34" applyNumberFormat="1" applyFont="1" applyBorder="1" applyProtection="1"/>
    <xf numFmtId="37" fontId="6" fillId="0" borderId="11" xfId="0" applyNumberFormat="1" applyFont="1" applyBorder="1" applyProtection="1">
      <protection locked="0"/>
    </xf>
    <xf numFmtId="5" fontId="6" fillId="0" borderId="0" xfId="0" applyNumberFormat="1" applyFont="1" applyBorder="1" applyProtection="1">
      <protection locked="0"/>
    </xf>
    <xf numFmtId="37" fontId="16" fillId="0" borderId="0" xfId="0" applyFont="1"/>
    <xf numFmtId="164" fontId="16" fillId="0" borderId="0" xfId="0" applyNumberFormat="1" applyFont="1"/>
    <xf numFmtId="171" fontId="6" fillId="0" borderId="0" xfId="40" applyNumberFormat="1" applyFont="1" applyBorder="1" applyAlignment="1">
      <alignment horizontal="left"/>
    </xf>
    <xf numFmtId="171" fontId="6" fillId="0" borderId="0" xfId="40" applyNumberFormat="1" applyFont="1" applyBorder="1" applyAlignment="1">
      <alignment horizontal="fill"/>
    </xf>
    <xf numFmtId="37" fontId="16" fillId="0" borderId="0" xfId="0" applyFont="1" applyBorder="1"/>
    <xf numFmtId="9" fontId="16" fillId="0" borderId="0" xfId="84" applyFont="1"/>
    <xf numFmtId="9" fontId="16" fillId="0" borderId="0" xfId="84" applyFont="1" applyFill="1"/>
    <xf numFmtId="165" fontId="6" fillId="0" borderId="0" xfId="84" applyNumberFormat="1" applyFont="1" applyBorder="1"/>
    <xf numFmtId="37" fontId="8" fillId="0" borderId="0" xfId="0" quotePrefix="1" applyFont="1" applyAlignment="1">
      <alignment horizontal="centerContinuous"/>
    </xf>
    <xf numFmtId="171" fontId="6" fillId="0" borderId="0" xfId="40" applyNumberFormat="1" applyFont="1" applyBorder="1" applyAlignment="1">
      <alignment horizontal="center"/>
    </xf>
    <xf numFmtId="169" fontId="6" fillId="0" borderId="14" xfId="34" applyNumberFormat="1" applyFont="1" applyBorder="1" applyProtection="1"/>
    <xf numFmtId="182" fontId="6" fillId="0" borderId="0" xfId="34" applyNumberFormat="1" applyFont="1"/>
    <xf numFmtId="180" fontId="6" fillId="0" borderId="12" xfId="0" applyNumberFormat="1" applyFont="1" applyBorder="1" applyProtection="1"/>
    <xf numFmtId="183" fontId="6" fillId="0" borderId="0" xfId="40" applyNumberFormat="1" applyFont="1"/>
    <xf numFmtId="173" fontId="6" fillId="0" borderId="0" xfId="34" applyNumberFormat="1" applyFont="1" applyProtection="1"/>
    <xf numFmtId="173" fontId="6" fillId="0" borderId="11" xfId="34" applyNumberFormat="1" applyFont="1" applyBorder="1" applyProtection="1"/>
    <xf numFmtId="173" fontId="6" fillId="0" borderId="0" xfId="34" applyNumberFormat="1" applyFont="1" applyBorder="1" applyProtection="1"/>
    <xf numFmtId="173" fontId="6" fillId="0" borderId="0" xfId="34" applyNumberFormat="1" applyFont="1" applyBorder="1"/>
    <xf numFmtId="183" fontId="6" fillId="0" borderId="11" xfId="0" applyNumberFormat="1" applyFont="1" applyBorder="1"/>
    <xf numFmtId="180" fontId="6" fillId="0" borderId="0" xfId="0" applyNumberFormat="1" applyFont="1"/>
    <xf numFmtId="171" fontId="19" fillId="0" borderId="0" xfId="40" applyNumberFormat="1" applyFont="1"/>
    <xf numFmtId="37" fontId="19" fillId="0" borderId="0" xfId="0" applyFont="1"/>
    <xf numFmtId="14" fontId="6" fillId="0" borderId="0" xfId="34" quotePrefix="1" applyNumberFormat="1" applyFont="1" applyBorder="1"/>
    <xf numFmtId="185" fontId="6" fillId="0" borderId="0" xfId="0" applyNumberFormat="1" applyFont="1"/>
    <xf numFmtId="0" fontId="11" fillId="0" borderId="0" xfId="72" applyBorder="1" applyAlignment="1">
      <alignment horizontal="center"/>
    </xf>
    <xf numFmtId="0" fontId="11" fillId="0" borderId="0" xfId="72" applyFont="1" applyBorder="1" applyAlignment="1">
      <alignment horizontal="center"/>
    </xf>
    <xf numFmtId="14" fontId="6" fillId="0" borderId="0" xfId="72" applyNumberFormat="1" applyFont="1" applyBorder="1" applyAlignment="1" applyProtection="1">
      <alignment horizontal="center"/>
      <protection locked="0"/>
    </xf>
    <xf numFmtId="0" fontId="11" fillId="0" borderId="0" xfId="72"/>
    <xf numFmtId="0" fontId="11" fillId="0" borderId="0" xfId="72" applyBorder="1"/>
    <xf numFmtId="14" fontId="19" fillId="0" borderId="0" xfId="72" applyNumberFormat="1" applyFont="1" applyBorder="1" applyAlignment="1" applyProtection="1">
      <alignment horizontal="center"/>
      <protection locked="0"/>
    </xf>
    <xf numFmtId="0" fontId="6" fillId="0" borderId="0" xfId="72" applyFont="1" applyBorder="1" applyAlignment="1"/>
    <xf numFmtId="5" fontId="25" fillId="0" borderId="0" xfId="72" applyNumberFormat="1" applyFont="1" applyBorder="1" applyAlignment="1" applyProtection="1">
      <alignment horizontal="center"/>
      <protection locked="0"/>
    </xf>
    <xf numFmtId="165" fontId="6" fillId="0" borderId="0" xfId="72" applyNumberFormat="1" applyFont="1" applyBorder="1" applyAlignment="1"/>
    <xf numFmtId="5" fontId="11" fillId="0" borderId="0" xfId="72" applyNumberFormat="1" applyBorder="1"/>
    <xf numFmtId="10" fontId="25" fillId="0" borderId="0" xfId="72" applyNumberFormat="1" applyFont="1" applyBorder="1" applyAlignment="1" applyProtection="1"/>
    <xf numFmtId="10" fontId="6" fillId="0" borderId="0" xfId="72" quotePrefix="1" applyNumberFormat="1" applyFont="1" applyBorder="1" applyAlignment="1" applyProtection="1">
      <alignment horizontal="center"/>
    </xf>
    <xf numFmtId="10" fontId="6" fillId="0" borderId="0" xfId="72" applyNumberFormat="1" applyFont="1" applyBorder="1" applyAlignment="1" applyProtection="1"/>
    <xf numFmtId="0" fontId="8" fillId="0" borderId="0" xfId="72" applyFont="1" applyBorder="1" applyAlignment="1">
      <alignment horizontal="center"/>
    </xf>
    <xf numFmtId="165" fontId="19" fillId="0" borderId="0" xfId="72" applyNumberFormat="1" applyFont="1" applyBorder="1" applyAlignment="1" applyProtection="1">
      <alignment horizontal="center"/>
      <protection locked="0"/>
    </xf>
    <xf numFmtId="17" fontId="19" fillId="0" borderId="0" xfId="72" applyNumberFormat="1" applyFont="1" applyBorder="1" applyAlignment="1" applyProtection="1">
      <alignment horizontal="center"/>
      <protection locked="0"/>
    </xf>
    <xf numFmtId="5" fontId="19" fillId="0" borderId="0" xfId="72" applyNumberFormat="1" applyFont="1" applyBorder="1" applyAlignment="1" applyProtection="1"/>
    <xf numFmtId="10" fontId="6" fillId="0" borderId="0" xfId="72" applyNumberFormat="1" applyFont="1" applyBorder="1" applyAlignment="1" applyProtection="1">
      <alignment horizontal="center"/>
    </xf>
    <xf numFmtId="5" fontId="6" fillId="0" borderId="0" xfId="72" applyNumberFormat="1" applyFont="1" applyBorder="1" applyAlignment="1" applyProtection="1"/>
    <xf numFmtId="5" fontId="6" fillId="0" borderId="0" xfId="72" applyNumberFormat="1" applyFont="1" applyBorder="1" applyAlignment="1" applyProtection="1">
      <alignment horizontal="center"/>
    </xf>
    <xf numFmtId="165" fontId="6" fillId="0" borderId="0" xfId="72" applyNumberFormat="1" applyFont="1" applyBorder="1" applyAlignment="1" applyProtection="1"/>
    <xf numFmtId="5" fontId="19" fillId="0" borderId="0" xfId="72" applyNumberFormat="1" applyFont="1" applyBorder="1" applyAlignment="1" applyProtection="1">
      <alignment horizontal="center"/>
      <protection locked="0"/>
    </xf>
    <xf numFmtId="37" fontId="6" fillId="0" borderId="0" xfId="76" applyFont="1"/>
    <xf numFmtId="37" fontId="7" fillId="0" borderId="0" xfId="76" quotePrefix="1" applyFont="1" applyAlignment="1">
      <alignment horizontal="centerContinuous"/>
    </xf>
    <xf numFmtId="37" fontId="9" fillId="0" borderId="0" xfId="76" applyFont="1" applyAlignment="1">
      <alignment horizontal="centerContinuous"/>
    </xf>
    <xf numFmtId="37" fontId="9" fillId="0" borderId="0" xfId="76" quotePrefix="1" applyFont="1" applyAlignment="1">
      <alignment horizontal="centerContinuous"/>
    </xf>
    <xf numFmtId="37" fontId="8" fillId="0" borderId="0" xfId="76" applyFont="1" applyAlignment="1">
      <alignment horizontal="centerContinuous"/>
    </xf>
    <xf numFmtId="37" fontId="7" fillId="0" borderId="0" xfId="76" applyFont="1" applyAlignment="1">
      <alignment horizontal="centerContinuous"/>
    </xf>
    <xf numFmtId="37" fontId="6" fillId="0" borderId="0" xfId="76" applyFont="1" applyAlignment="1">
      <alignment horizontal="left"/>
    </xf>
    <xf numFmtId="37" fontId="6" fillId="0" borderId="0" xfId="76" applyFont="1" applyBorder="1" applyAlignment="1">
      <alignment horizontal="right"/>
    </xf>
    <xf numFmtId="37" fontId="6" fillId="0" borderId="0" xfId="76" applyFont="1" applyAlignment="1">
      <alignment horizontal="right"/>
    </xf>
    <xf numFmtId="37" fontId="6" fillId="0" borderId="0" xfId="76" applyFont="1" applyBorder="1"/>
    <xf numFmtId="37" fontId="6" fillId="0" borderId="0" xfId="76" quotePrefix="1" applyFont="1" applyBorder="1" applyAlignment="1">
      <alignment horizontal="left"/>
    </xf>
    <xf numFmtId="37" fontId="6" fillId="0" borderId="0" xfId="76" applyNumberFormat="1" applyFont="1" applyBorder="1" applyProtection="1"/>
    <xf numFmtId="37" fontId="6" fillId="0" borderId="14" xfId="76" applyNumberFormat="1" applyFont="1" applyBorder="1" applyProtection="1"/>
    <xf numFmtId="37" fontId="15" fillId="0" borderId="0" xfId="0" quotePrefix="1" applyFont="1" applyAlignment="1">
      <alignment horizontal="center"/>
    </xf>
    <xf numFmtId="0" fontId="11" fillId="0" borderId="0" xfId="72" quotePrefix="1" applyFont="1" applyAlignment="1">
      <alignment horizontal="left"/>
    </xf>
    <xf numFmtId="37" fontId="6" fillId="0" borderId="0" xfId="0" quotePrefix="1" applyFont="1" applyFill="1" applyAlignment="1">
      <alignment horizontal="left"/>
    </xf>
    <xf numFmtId="37" fontId="6" fillId="0" borderId="0" xfId="0" applyFont="1" applyBorder="1" applyProtection="1">
      <protection locked="0"/>
    </xf>
    <xf numFmtId="169" fontId="6" fillId="0" borderId="11" xfId="34" applyNumberFormat="1" applyFont="1" applyBorder="1" applyAlignment="1" applyProtection="1">
      <alignment horizontal="center"/>
      <protection locked="0"/>
    </xf>
    <xf numFmtId="37" fontId="7" fillId="0" borderId="0" xfId="0" applyFont="1" applyAlignment="1"/>
    <xf numFmtId="37" fontId="8" fillId="0" borderId="0" xfId="0" quotePrefix="1" applyFont="1" applyBorder="1" applyAlignment="1">
      <alignment horizontal="center"/>
    </xf>
    <xf numFmtId="37" fontId="8" fillId="0" borderId="0" xfId="0" applyFont="1" applyBorder="1" applyAlignment="1">
      <alignment horizontal="center"/>
    </xf>
    <xf numFmtId="37" fontId="9" fillId="0" borderId="0" xfId="0" applyFont="1" applyBorder="1" applyAlignment="1">
      <alignment horizontal="center"/>
    </xf>
    <xf numFmtId="10" fontId="6" fillId="0" borderId="11" xfId="84" quotePrefix="1" applyNumberFormat="1" applyFont="1" applyFill="1" applyBorder="1"/>
    <xf numFmtId="49" fontId="7" fillId="0" borderId="0" xfId="0" applyNumberFormat="1" applyFont="1" applyAlignment="1">
      <alignment horizontal="center"/>
    </xf>
    <xf numFmtId="10" fontId="6" fillId="0" borderId="11" xfId="72" applyNumberFormat="1" applyFont="1" applyBorder="1" applyAlignment="1" applyProtection="1"/>
    <xf numFmtId="0" fontId="11" fillId="0" borderId="0" xfId="72" quotePrefix="1" applyFont="1" applyBorder="1"/>
    <xf numFmtId="0" fontId="11" fillId="0" borderId="14" xfId="72" applyBorder="1"/>
    <xf numFmtId="165" fontId="6" fillId="0" borderId="0" xfId="72" applyNumberFormat="1" applyFont="1" applyBorder="1" applyAlignment="1" applyProtection="1">
      <alignment horizontal="center"/>
    </xf>
    <xf numFmtId="49" fontId="7" fillId="0" borderId="0" xfId="0" applyNumberFormat="1" applyFont="1" applyAlignment="1">
      <alignment horizontal="right"/>
    </xf>
    <xf numFmtId="0" fontId="11" fillId="0" borderId="0" xfId="72" applyBorder="1" applyAlignment="1">
      <alignment horizontal="right"/>
    </xf>
    <xf numFmtId="0" fontId="27" fillId="0" borderId="0" xfId="72" applyFont="1" applyBorder="1" applyAlignment="1">
      <alignment horizontal="center"/>
    </xf>
    <xf numFmtId="14" fontId="6" fillId="0" borderId="11" xfId="72" applyNumberFormat="1" applyFont="1" applyBorder="1" applyAlignment="1" applyProtection="1">
      <alignment horizontal="center"/>
      <protection locked="0"/>
    </xf>
    <xf numFmtId="0" fontId="6" fillId="0" borderId="0" xfId="72" quotePrefix="1" applyFont="1" applyBorder="1" applyAlignment="1">
      <alignment horizontal="right"/>
    </xf>
    <xf numFmtId="0" fontId="6" fillId="0" borderId="0" xfId="72" applyFont="1" applyBorder="1" applyAlignment="1">
      <alignment horizontal="right"/>
    </xf>
    <xf numFmtId="5" fontId="11" fillId="0" borderId="12" xfId="72" applyNumberFormat="1" applyBorder="1" applyAlignment="1">
      <alignment horizontal="center"/>
    </xf>
    <xf numFmtId="10" fontId="11" fillId="0" borderId="12" xfId="84" applyNumberFormat="1" applyFont="1" applyBorder="1" applyAlignment="1">
      <alignment horizontal="center"/>
    </xf>
    <xf numFmtId="10" fontId="6" fillId="0" borderId="12" xfId="72" applyNumberFormat="1" applyFont="1" applyBorder="1" applyAlignment="1" applyProtection="1"/>
    <xf numFmtId="0" fontId="11" fillId="0" borderId="0" xfId="72" applyAlignment="1">
      <alignment horizontal="right"/>
    </xf>
    <xf numFmtId="10" fontId="19" fillId="0" borderId="0" xfId="72" applyNumberFormat="1" applyFont="1" applyBorder="1" applyAlignment="1" applyProtection="1"/>
    <xf numFmtId="37" fontId="6" fillId="0" borderId="0" xfId="0" applyNumberFormat="1" applyFont="1"/>
    <xf numFmtId="37" fontId="8" fillId="0" borderId="0" xfId="0" applyNumberFormat="1" applyFont="1" applyAlignment="1">
      <alignment horizontal="centerContinuous"/>
    </xf>
    <xf numFmtId="37" fontId="6" fillId="0" borderId="0" xfId="0" applyNumberFormat="1" applyFont="1" applyBorder="1" applyAlignment="1">
      <alignment horizontal="centerContinuous"/>
    </xf>
    <xf numFmtId="37" fontId="6" fillId="0" borderId="0" xfId="0" applyNumberFormat="1" applyFont="1" applyAlignment="1">
      <alignment horizontal="center"/>
    </xf>
    <xf numFmtId="37" fontId="6" fillId="0" borderId="11" xfId="0" quotePrefix="1" applyNumberFormat="1" applyFont="1" applyBorder="1" applyAlignment="1">
      <alignment horizontal="center"/>
    </xf>
    <xf numFmtId="37" fontId="6" fillId="0" borderId="11" xfId="0" applyNumberFormat="1" applyFont="1" applyBorder="1" applyAlignment="1">
      <alignment horizontal="center"/>
    </xf>
    <xf numFmtId="37" fontId="6" fillId="0" borderId="0" xfId="0" applyNumberFormat="1" applyFont="1" applyBorder="1" applyAlignment="1">
      <alignment horizontal="right"/>
    </xf>
    <xf numFmtId="37" fontId="6" fillId="0" borderId="0" xfId="34" applyNumberFormat="1" applyFont="1" applyBorder="1" applyProtection="1">
      <protection locked="0"/>
    </xf>
    <xf numFmtId="37" fontId="6" fillId="0" borderId="0" xfId="34" applyNumberFormat="1" applyFont="1" applyFill="1" applyProtection="1">
      <protection locked="0"/>
    </xf>
    <xf numFmtId="37" fontId="6" fillId="0" borderId="0" xfId="34" applyNumberFormat="1" applyFont="1" applyProtection="1">
      <protection locked="0"/>
    </xf>
    <xf numFmtId="37" fontId="6" fillId="0" borderId="0" xfId="34" applyNumberFormat="1" applyFont="1"/>
    <xf numFmtId="37" fontId="6" fillId="0" borderId="0" xfId="0" applyNumberFormat="1" applyFont="1" applyBorder="1"/>
    <xf numFmtId="37" fontId="6" fillId="0" borderId="0" xfId="0" applyNumberFormat="1" applyFont="1" applyAlignment="1">
      <alignment horizontal="centerContinuous"/>
    </xf>
    <xf numFmtId="37" fontId="6" fillId="0" borderId="0" xfId="0" applyNumberFormat="1" applyFont="1" applyAlignment="1">
      <alignment horizontal="left"/>
    </xf>
    <xf numFmtId="37" fontId="6" fillId="0" borderId="0" xfId="0" applyNumberFormat="1" applyFont="1" applyBorder="1" applyAlignment="1">
      <alignment horizontal="center"/>
    </xf>
    <xf numFmtId="37" fontId="6" fillId="0" borderId="1" xfId="40" applyNumberFormat="1" applyFont="1" applyBorder="1" applyProtection="1"/>
    <xf numFmtId="37" fontId="6" fillId="0" borderId="0" xfId="40" applyNumberFormat="1" applyFont="1" applyProtection="1"/>
    <xf numFmtId="37" fontId="6" fillId="0" borderId="0" xfId="0" applyNumberFormat="1" applyFont="1" applyAlignment="1">
      <alignment horizontal="right"/>
    </xf>
    <xf numFmtId="37" fontId="6" fillId="0" borderId="11" xfId="34" applyNumberFormat="1" applyFont="1" applyBorder="1" applyAlignment="1">
      <alignment horizontal="right"/>
    </xf>
    <xf numFmtId="37" fontId="6" fillId="0" borderId="0" xfId="34" applyNumberFormat="1" applyFont="1" applyAlignment="1">
      <alignment horizontal="right"/>
    </xf>
    <xf numFmtId="37" fontId="6" fillId="0" borderId="11" xfId="40" applyNumberFormat="1" applyFont="1" applyBorder="1" applyProtection="1"/>
    <xf numFmtId="37" fontId="6" fillId="0" borderId="12" xfId="40" applyNumberFormat="1" applyFont="1" applyBorder="1" applyProtection="1"/>
    <xf numFmtId="37" fontId="6" fillId="0" borderId="0" xfId="74" applyFont="1"/>
    <xf numFmtId="169" fontId="6" fillId="0" borderId="0" xfId="34" applyNumberFormat="1" applyFont="1" applyFill="1" applyBorder="1"/>
    <xf numFmtId="186" fontId="0" fillId="0" borderId="0" xfId="0" applyNumberFormat="1"/>
    <xf numFmtId="10" fontId="0" fillId="0" borderId="0" xfId="84" applyNumberFormat="1" applyFont="1"/>
    <xf numFmtId="10" fontId="5" fillId="0" borderId="0" xfId="84" applyNumberFormat="1"/>
    <xf numFmtId="10" fontId="0" fillId="0" borderId="0" xfId="0" applyNumberFormat="1"/>
    <xf numFmtId="186" fontId="0" fillId="0" borderId="0" xfId="0" applyNumberFormat="1" applyAlignment="1">
      <alignment horizontal="right"/>
    </xf>
    <xf numFmtId="37" fontId="0" fillId="0" borderId="0" xfId="0" applyAlignment="1">
      <alignment horizontal="right"/>
    </xf>
    <xf numFmtId="186" fontId="6" fillId="0" borderId="0" xfId="0" quotePrefix="1" applyNumberFormat="1" applyFont="1" applyAlignment="1">
      <alignment horizontal="center"/>
    </xf>
    <xf numFmtId="165" fontId="19" fillId="0" borderId="0" xfId="84" applyNumberFormat="1" applyFont="1" applyFill="1" applyBorder="1"/>
    <xf numFmtId="165" fontId="6" fillId="0" borderId="0" xfId="84" applyNumberFormat="1" applyFont="1" applyFill="1" applyBorder="1"/>
    <xf numFmtId="10" fontId="6" fillId="0" borderId="0" xfId="84" applyNumberFormat="1" applyFont="1" applyFill="1" applyBorder="1"/>
    <xf numFmtId="37" fontId="0" fillId="19" borderId="0" xfId="0" quotePrefix="1" applyFill="1" applyAlignment="1"/>
    <xf numFmtId="37" fontId="6" fillId="0" borderId="0" xfId="0" applyNumberFormat="1" applyFont="1" applyFill="1" applyProtection="1">
      <protection locked="0"/>
    </xf>
    <xf numFmtId="169" fontId="6" fillId="0" borderId="0" xfId="34" applyNumberFormat="1" applyFont="1" applyFill="1" applyBorder="1" applyAlignment="1">
      <alignment horizontal="right"/>
    </xf>
    <xf numFmtId="181" fontId="6" fillId="0" borderId="0" xfId="0" applyNumberFormat="1" applyFont="1" applyFill="1" applyAlignment="1">
      <alignment horizontal="right"/>
    </xf>
    <xf numFmtId="37" fontId="6" fillId="0" borderId="0" xfId="0" applyFont="1" applyFill="1" applyAlignment="1">
      <alignment horizontal="centerContinuous"/>
    </xf>
    <xf numFmtId="37" fontId="6" fillId="0" borderId="0" xfId="0" applyFont="1" applyFill="1" applyBorder="1" applyAlignment="1">
      <alignment horizontal="centerContinuous"/>
    </xf>
    <xf numFmtId="37" fontId="6" fillId="0" borderId="0" xfId="0" applyFont="1" applyFill="1" applyAlignment="1">
      <alignment horizontal="center"/>
    </xf>
    <xf numFmtId="37" fontId="6" fillId="0" borderId="11" xfId="0" applyFont="1" applyFill="1" applyBorder="1" applyAlignment="1">
      <alignment horizontal="centerContinuous"/>
    </xf>
    <xf numFmtId="37" fontId="6" fillId="0" borderId="11" xfId="0" applyFont="1" applyFill="1" applyBorder="1" applyAlignment="1">
      <alignment horizontal="center"/>
    </xf>
    <xf numFmtId="181" fontId="8" fillId="0" borderId="0" xfId="73" applyNumberFormat="1" applyFont="1" applyFill="1" applyAlignment="1">
      <alignment horizontal="right"/>
    </xf>
    <xf numFmtId="0" fontId="11" fillId="0" borderId="0" xfId="73" applyFont="1" applyFill="1"/>
    <xf numFmtId="0" fontId="11" fillId="0" borderId="0" xfId="73" applyFont="1" applyFill="1" applyBorder="1"/>
    <xf numFmtId="37" fontId="8" fillId="0" borderId="0" xfId="0" applyFont="1" applyFill="1" applyAlignment="1">
      <alignment horizontal="right"/>
    </xf>
    <xf numFmtId="181" fontId="6" fillId="0" borderId="0" xfId="0" applyNumberFormat="1" applyFont="1" applyFill="1" applyBorder="1" applyAlignment="1">
      <alignment horizontal="right"/>
    </xf>
    <xf numFmtId="37" fontId="6" fillId="0" borderId="0" xfId="0" applyFont="1" applyFill="1" applyAlignment="1">
      <alignment horizontal="left"/>
    </xf>
    <xf numFmtId="37" fontId="6" fillId="0" borderId="0" xfId="0" applyFont="1" applyFill="1" applyBorder="1" applyAlignment="1">
      <alignment horizontal="left"/>
    </xf>
    <xf numFmtId="171" fontId="6" fillId="0" borderId="0" xfId="40" applyNumberFormat="1" applyFont="1" applyFill="1" applyAlignment="1">
      <alignment horizontal="right"/>
    </xf>
    <xf numFmtId="169" fontId="6" fillId="0" borderId="0" xfId="34" applyNumberFormat="1" applyFont="1" applyFill="1" applyAlignment="1">
      <alignment horizontal="right"/>
    </xf>
    <xf numFmtId="169" fontId="6" fillId="0" borderId="14" xfId="34" applyNumberFormat="1" applyFont="1" applyFill="1" applyBorder="1" applyAlignment="1">
      <alignment horizontal="right"/>
    </xf>
    <xf numFmtId="37" fontId="6" fillId="0" borderId="0" xfId="0" quotePrefix="1" applyFont="1" applyFill="1"/>
    <xf numFmtId="165" fontId="6" fillId="0" borderId="0" xfId="84" applyNumberFormat="1" applyFont="1" applyFill="1" applyBorder="1" applyAlignment="1">
      <alignment horizontal="right"/>
    </xf>
    <xf numFmtId="171" fontId="6" fillId="0" borderId="13" xfId="40" applyNumberFormat="1" applyFont="1" applyFill="1" applyBorder="1" applyAlignment="1">
      <alignment horizontal="right"/>
    </xf>
    <xf numFmtId="171" fontId="6" fillId="0" borderId="0" xfId="40" applyNumberFormat="1" applyFont="1" applyFill="1" applyBorder="1" applyAlignment="1">
      <alignment horizontal="right"/>
    </xf>
    <xf numFmtId="181" fontId="11" fillId="0" borderId="0" xfId="73" applyNumberFormat="1" applyFont="1" applyFill="1"/>
    <xf numFmtId="10" fontId="6" fillId="0" borderId="12" xfId="84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39" fontId="6" fillId="0" borderId="0" xfId="75" applyFont="1" applyFill="1" applyAlignment="1">
      <alignment horizontal="left"/>
    </xf>
    <xf numFmtId="169" fontId="6" fillId="0" borderId="11" xfId="34" applyNumberFormat="1" applyFont="1" applyFill="1" applyBorder="1" applyAlignment="1">
      <alignment horizontal="right"/>
    </xf>
    <xf numFmtId="37" fontId="6" fillId="0" borderId="0" xfId="0" quotePrefix="1" applyFont="1" applyFill="1" applyBorder="1"/>
    <xf numFmtId="37" fontId="6" fillId="0" borderId="0" xfId="0" applyFont="1" applyFill="1" applyBorder="1"/>
    <xf numFmtId="0" fontId="11" fillId="0" borderId="11" xfId="73" applyFont="1" applyFill="1" applyBorder="1"/>
    <xf numFmtId="171" fontId="6" fillId="0" borderId="12" xfId="40" applyNumberFormat="1" applyFont="1" applyFill="1" applyBorder="1"/>
    <xf numFmtId="37" fontId="6" fillId="0" borderId="0" xfId="0" quotePrefix="1" applyFont="1" applyBorder="1"/>
    <xf numFmtId="37" fontId="19" fillId="0" borderId="0" xfId="40" applyNumberFormat="1" applyFont="1" applyFill="1" applyProtection="1">
      <protection locked="0"/>
    </xf>
    <xf numFmtId="181" fontId="8" fillId="0" borderId="0" xfId="73" applyNumberFormat="1" applyFont="1" applyAlignment="1">
      <alignment horizontal="right"/>
    </xf>
    <xf numFmtId="0" fontId="11" fillId="0" borderId="0" xfId="73" applyFont="1"/>
    <xf numFmtId="0" fontId="11" fillId="0" borderId="0" xfId="73" applyFont="1" applyBorder="1"/>
    <xf numFmtId="181" fontId="6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center"/>
    </xf>
    <xf numFmtId="37" fontId="6" fillId="0" borderId="11" xfId="0" applyFont="1" applyBorder="1" applyAlignment="1">
      <alignment horizontal="centerContinuous"/>
    </xf>
    <xf numFmtId="181" fontId="6" fillId="0" borderId="0" xfId="0" applyNumberFormat="1" applyFont="1" applyBorder="1" applyAlignment="1">
      <alignment horizontal="right"/>
    </xf>
    <xf numFmtId="169" fontId="6" fillId="0" borderId="14" xfId="34" applyNumberFormat="1" applyFont="1" applyBorder="1" applyAlignment="1">
      <alignment horizontal="right"/>
    </xf>
    <xf numFmtId="165" fontId="6" fillId="0" borderId="0" xfId="84" applyNumberFormat="1" applyFont="1" applyBorder="1" applyAlignment="1">
      <alignment horizontal="right"/>
    </xf>
    <xf numFmtId="181" fontId="11" fillId="0" borderId="0" xfId="73" applyNumberFormat="1" applyFont="1"/>
    <xf numFmtId="10" fontId="6" fillId="0" borderId="0" xfId="84" applyNumberFormat="1" applyFont="1" applyBorder="1" applyAlignment="1">
      <alignment horizontal="right"/>
    </xf>
    <xf numFmtId="10" fontId="6" fillId="0" borderId="12" xfId="84" applyNumberFormat="1" applyFont="1" applyBorder="1" applyAlignment="1">
      <alignment horizontal="right"/>
    </xf>
    <xf numFmtId="0" fontId="11" fillId="0" borderId="0" xfId="73" applyFont="1" applyAlignment="1">
      <alignment horizontal="center"/>
    </xf>
    <xf numFmtId="0" fontId="11" fillId="0" borderId="0" xfId="73" quotePrefix="1" applyFont="1" applyAlignment="1">
      <alignment horizontal="center"/>
    </xf>
    <xf numFmtId="49" fontId="6" fillId="0" borderId="0" xfId="0" applyNumberFormat="1" applyFont="1" applyBorder="1" applyAlignment="1">
      <alignment horizontal="right"/>
    </xf>
    <xf numFmtId="39" fontId="6" fillId="0" borderId="0" xfId="75" applyFont="1" applyAlignment="1">
      <alignment horizontal="left"/>
    </xf>
    <xf numFmtId="0" fontId="11" fillId="0" borderId="11" xfId="73" applyFont="1" applyBorder="1"/>
    <xf numFmtId="187" fontId="11" fillId="0" borderId="0" xfId="73" applyNumberFormat="1" applyFont="1"/>
    <xf numFmtId="181" fontId="6" fillId="0" borderId="0" xfId="0" quotePrefix="1" applyNumberFormat="1" applyFont="1" applyBorder="1" applyAlignment="1">
      <alignment horizontal="center"/>
    </xf>
    <xf numFmtId="37" fontId="11" fillId="0" borderId="0" xfId="73" applyNumberFormat="1" applyFont="1"/>
    <xf numFmtId="190" fontId="11" fillId="0" borderId="0" xfId="34" applyNumberFormat="1" applyFont="1"/>
    <xf numFmtId="180" fontId="6" fillId="0" borderId="0" xfId="0" applyNumberFormat="1" applyFont="1" applyAlignment="1">
      <alignment horizontal="left"/>
    </xf>
    <xf numFmtId="165" fontId="19" fillId="0" borderId="0" xfId="84" applyNumberFormat="1" applyFont="1" applyBorder="1"/>
    <xf numFmtId="181" fontId="7" fillId="0" borderId="0" xfId="0" applyNumberFormat="1" applyFont="1" applyFill="1" applyAlignment="1"/>
    <xf numFmtId="169" fontId="19" fillId="0" borderId="0" xfId="34" applyNumberFormat="1" applyFont="1" applyFill="1" applyBorder="1" applyAlignment="1">
      <alignment horizontal="right"/>
    </xf>
    <xf numFmtId="169" fontId="19" fillId="0" borderId="0" xfId="34" applyNumberFormat="1" applyFont="1" applyBorder="1" applyAlignment="1">
      <alignment horizontal="right"/>
    </xf>
    <xf numFmtId="5" fontId="6" fillId="0" borderId="0" xfId="72" applyNumberFormat="1" applyFont="1" applyBorder="1" applyAlignment="1" applyProtection="1">
      <alignment horizontal="center"/>
      <protection locked="0"/>
    </xf>
    <xf numFmtId="10" fontId="6" fillId="0" borderId="0" xfId="72" applyNumberFormat="1" applyFont="1" applyBorder="1" applyAlignment="1" applyProtection="1">
      <protection locked="0"/>
    </xf>
    <xf numFmtId="10" fontId="6" fillId="0" borderId="11" xfId="72" applyNumberFormat="1" applyFont="1" applyBorder="1" applyAlignment="1" applyProtection="1">
      <protection locked="0"/>
    </xf>
    <xf numFmtId="171" fontId="6" fillId="0" borderId="13" xfId="40" applyNumberFormat="1" applyFont="1" applyFill="1" applyBorder="1"/>
    <xf numFmtId="10" fontId="6" fillId="0" borderId="0" xfId="84" applyNumberFormat="1" applyFont="1" applyFill="1" applyAlignment="1">
      <alignment horizontal="center"/>
    </xf>
    <xf numFmtId="171" fontId="19" fillId="0" borderId="0" xfId="40" applyNumberFormat="1" applyFont="1" applyAlignment="1">
      <alignment horizontal="right"/>
    </xf>
    <xf numFmtId="169" fontId="19" fillId="0" borderId="0" xfId="34" applyNumberFormat="1" applyFont="1" applyAlignment="1">
      <alignment horizontal="right"/>
    </xf>
    <xf numFmtId="171" fontId="19" fillId="0" borderId="0" xfId="40" applyNumberFormat="1" applyFont="1" applyFill="1" applyAlignment="1">
      <alignment horizontal="right"/>
    </xf>
    <xf numFmtId="169" fontId="19" fillId="0" borderId="0" xfId="34" applyNumberFormat="1" applyFont="1" applyFill="1" applyAlignment="1">
      <alignment horizontal="right"/>
    </xf>
    <xf numFmtId="190" fontId="32" fillId="0" borderId="0" xfId="34" applyNumberFormat="1" applyFont="1"/>
    <xf numFmtId="190" fontId="33" fillId="0" borderId="0" xfId="34" applyNumberFormat="1" applyFont="1"/>
    <xf numFmtId="169" fontId="13" fillId="0" borderId="0" xfId="34" applyNumberFormat="1" applyFont="1" applyBorder="1" applyAlignment="1">
      <alignment horizontal="right"/>
    </xf>
    <xf numFmtId="169" fontId="19" fillId="0" borderId="11" xfId="34" applyNumberFormat="1" applyFont="1" applyBorder="1" applyAlignment="1">
      <alignment horizontal="right"/>
    </xf>
    <xf numFmtId="0" fontId="19" fillId="0" borderId="0" xfId="73" applyFont="1"/>
    <xf numFmtId="37" fontId="7" fillId="0" borderId="0" xfId="0" quotePrefix="1" applyFont="1" applyFill="1" applyAlignment="1">
      <alignment horizontal="centerContinuous"/>
    </xf>
    <xf numFmtId="181" fontId="7" fillId="0" borderId="0" xfId="0" applyNumberFormat="1" applyFont="1" applyAlignment="1"/>
    <xf numFmtId="37" fontId="35" fillId="0" borderId="0" xfId="0" applyFont="1"/>
    <xf numFmtId="37" fontId="36" fillId="0" borderId="0" xfId="0" quotePrefix="1" applyFont="1" applyAlignment="1">
      <alignment horizontal="center"/>
    </xf>
    <xf numFmtId="37" fontId="37" fillId="0" borderId="0" xfId="0" applyFont="1"/>
    <xf numFmtId="169" fontId="38" fillId="0" borderId="0" xfId="34" applyNumberFormat="1" applyFont="1" applyAlignment="1">
      <alignment horizontal="right"/>
    </xf>
    <xf numFmtId="179" fontId="0" fillId="0" borderId="0" xfId="34" applyNumberFormat="1" applyFont="1"/>
    <xf numFmtId="37" fontId="10" fillId="0" borderId="0" xfId="0" applyFont="1" applyBorder="1"/>
    <xf numFmtId="37" fontId="10" fillId="0" borderId="0" xfId="0" applyFont="1" applyBorder="1" applyAlignment="1">
      <alignment horizontal="right"/>
    </xf>
    <xf numFmtId="37" fontId="29" fillId="0" borderId="0" xfId="0" applyFont="1" applyBorder="1"/>
    <xf numFmtId="37" fontId="16" fillId="0" borderId="0" xfId="0" applyFont="1" applyFill="1" applyBorder="1"/>
    <xf numFmtId="37" fontId="36" fillId="0" borderId="0" xfId="0" quotePrefix="1" applyFont="1" applyAlignment="1">
      <alignment horizontal="left"/>
    </xf>
    <xf numFmtId="171" fontId="6" fillId="0" borderId="0" xfId="40" applyNumberFormat="1" applyFont="1" applyFill="1" applyBorder="1"/>
    <xf numFmtId="165" fontId="6" fillId="0" borderId="11" xfId="84" applyNumberFormat="1" applyFont="1" applyBorder="1" applyAlignment="1">
      <alignment horizontal="right"/>
    </xf>
    <xf numFmtId="49" fontId="6" fillId="0" borderId="0" xfId="0" applyNumberFormat="1" applyFont="1" applyAlignment="1">
      <alignment horizontal="fill"/>
    </xf>
    <xf numFmtId="49" fontId="8" fillId="0" borderId="0" xfId="0" applyNumberFormat="1" applyFont="1" applyAlignment="1">
      <alignment horizontal="centerContinuous"/>
    </xf>
    <xf numFmtId="10" fontId="6" fillId="0" borderId="12" xfId="84" applyNumberFormat="1" applyFont="1" applyBorder="1"/>
    <xf numFmtId="170" fontId="6" fillId="0" borderId="0" xfId="0" applyNumberFormat="1" applyFont="1"/>
    <xf numFmtId="14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6" fillId="0" borderId="0" xfId="0" applyNumberFormat="1" applyFont="1"/>
    <xf numFmtId="165" fontId="6" fillId="0" borderId="0" xfId="84" applyNumberFormat="1" applyFont="1"/>
    <xf numFmtId="37" fontId="6" fillId="0" borderId="0" xfId="0" applyFont="1" applyAlignment="1">
      <alignment horizontal="left" indent="2"/>
    </xf>
    <xf numFmtId="3" fontId="6" fillId="0" borderId="11" xfId="0" applyNumberFormat="1" applyFont="1" applyBorder="1"/>
    <xf numFmtId="3" fontId="6" fillId="0" borderId="0" xfId="0" applyNumberFormat="1" applyFont="1" applyBorder="1"/>
    <xf numFmtId="37" fontId="6" fillId="0" borderId="0" xfId="0" applyFont="1" applyAlignment="1">
      <alignment horizontal="left" indent="4"/>
    </xf>
    <xf numFmtId="37" fontId="6" fillId="0" borderId="0" xfId="0" quotePrefix="1" applyFont="1" applyAlignment="1">
      <alignment horizontal="left" indent="2"/>
    </xf>
    <xf numFmtId="37" fontId="6" fillId="0" borderId="0" xfId="69" quotePrefix="1" applyFont="1" applyAlignment="1">
      <alignment horizontal="left"/>
    </xf>
    <xf numFmtId="37" fontId="6" fillId="0" borderId="0" xfId="69" quotePrefix="1" applyFont="1" applyBorder="1" applyAlignment="1">
      <alignment horizontal="left"/>
    </xf>
    <xf numFmtId="9" fontId="6" fillId="0" borderId="0" xfId="34" applyNumberFormat="1" applyFont="1" applyBorder="1" applyProtection="1"/>
    <xf numFmtId="37" fontId="10" fillId="0" borderId="0" xfId="69" applyFont="1"/>
    <xf numFmtId="37" fontId="6" fillId="0" borderId="0" xfId="69" applyFont="1" applyBorder="1"/>
    <xf numFmtId="37" fontId="6" fillId="0" borderId="0" xfId="69" applyFont="1" applyBorder="1" applyAlignment="1">
      <alignment horizontal="left"/>
    </xf>
    <xf numFmtId="174" fontId="6" fillId="0" borderId="0" xfId="69" applyNumberFormat="1" applyFont="1" applyProtection="1"/>
    <xf numFmtId="167" fontId="6" fillId="0" borderId="11" xfId="84" applyNumberFormat="1" applyFont="1" applyBorder="1" applyProtection="1"/>
    <xf numFmtId="179" fontId="6" fillId="0" borderId="12" xfId="34" applyNumberFormat="1" applyFont="1" applyBorder="1" applyProtection="1"/>
    <xf numFmtId="171" fontId="6" fillId="0" borderId="0" xfId="40" applyNumberFormat="1" applyFont="1" applyFill="1" applyBorder="1" applyProtection="1">
      <protection locked="0"/>
    </xf>
    <xf numFmtId="0" fontId="11" fillId="0" borderId="0" xfId="73" quotePrefix="1" applyFont="1" applyAlignment="1">
      <alignment horizontal="left"/>
    </xf>
    <xf numFmtId="167" fontId="6" fillId="0" borderId="0" xfId="84" applyNumberFormat="1" applyFont="1" applyAlignment="1">
      <alignment horizontal="right"/>
    </xf>
    <xf numFmtId="167" fontId="6" fillId="0" borderId="0" xfId="84" applyNumberFormat="1" applyFont="1" applyBorder="1" applyAlignment="1">
      <alignment horizontal="right"/>
    </xf>
    <xf numFmtId="37" fontId="6" fillId="0" borderId="0" xfId="76" quotePrefix="1" applyFont="1" applyAlignment="1">
      <alignment horizontal="left"/>
    </xf>
    <xf numFmtId="184" fontId="8" fillId="0" borderId="0" xfId="73" quotePrefix="1" applyNumberFormat="1" applyFont="1" applyAlignment="1">
      <alignment horizontal="right"/>
    </xf>
    <xf numFmtId="0" fontId="11" fillId="0" borderId="0" xfId="72" quotePrefix="1" applyFont="1" applyBorder="1" applyAlignment="1">
      <alignment horizontal="left"/>
    </xf>
    <xf numFmtId="44" fontId="41" fillId="0" borderId="0" xfId="40" applyFont="1" applyFill="1" applyBorder="1"/>
    <xf numFmtId="44" fontId="39" fillId="0" borderId="0" xfId="40" applyFont="1" applyFill="1" applyBorder="1"/>
    <xf numFmtId="0" fontId="6" fillId="0" borderId="0" xfId="71" quotePrefix="1" applyFont="1" applyAlignment="1">
      <alignment horizontal="left"/>
    </xf>
    <xf numFmtId="178" fontId="6" fillId="0" borderId="0" xfId="0" quotePrefix="1" applyNumberFormat="1" applyFont="1" applyAlignment="1">
      <alignment horizontal="center"/>
    </xf>
    <xf numFmtId="0" fontId="6" fillId="0" borderId="0" xfId="70" quotePrefix="1" applyFont="1" applyAlignment="1">
      <alignment horizontal="right"/>
    </xf>
    <xf numFmtId="171" fontId="6" fillId="0" borderId="14" xfId="40" applyNumberFormat="1" applyFont="1" applyBorder="1"/>
    <xf numFmtId="37" fontId="6" fillId="0" borderId="0" xfId="0" applyFont="1" applyFill="1" applyBorder="1" applyAlignment="1">
      <alignment horizontal="right"/>
    </xf>
    <xf numFmtId="177" fontId="6" fillId="0" borderId="0" xfId="0" quotePrefix="1" applyNumberFormat="1" applyFont="1" applyAlignment="1">
      <alignment horizontal="center"/>
    </xf>
    <xf numFmtId="165" fontId="6" fillId="0" borderId="0" xfId="84" applyNumberFormat="1" applyFont="1" applyFill="1" applyAlignment="1">
      <alignment horizontal="center"/>
    </xf>
    <xf numFmtId="165" fontId="6" fillId="0" borderId="0" xfId="84" applyNumberFormat="1" applyFont="1" applyAlignment="1">
      <alignment horizontal="center"/>
    </xf>
    <xf numFmtId="37" fontId="16" fillId="0" borderId="0" xfId="0" applyFont="1" applyAlignment="1">
      <alignment horizontal="center"/>
    </xf>
    <xf numFmtId="37" fontId="6" fillId="0" borderId="0" xfId="0" applyFont="1" applyFill="1" applyBorder="1" applyAlignment="1">
      <alignment horizontal="center"/>
    </xf>
    <xf numFmtId="186" fontId="6" fillId="0" borderId="0" xfId="0" quotePrefix="1" applyNumberFormat="1" applyFont="1" applyBorder="1" applyAlignment="1">
      <alignment horizontal="center"/>
    </xf>
    <xf numFmtId="0" fontId="6" fillId="0" borderId="11" xfId="70" quotePrefix="1" applyFont="1" applyBorder="1" applyAlignment="1">
      <alignment horizontal="center"/>
    </xf>
    <xf numFmtId="42" fontId="6" fillId="0" borderId="12" xfId="34" applyNumberFormat="1" applyFont="1" applyBorder="1" applyProtection="1"/>
    <xf numFmtId="49" fontId="36" fillId="0" borderId="0" xfId="0" applyNumberFormat="1" applyFont="1"/>
    <xf numFmtId="49" fontId="6" fillId="0" borderId="0" xfId="0" quotePrefix="1" applyNumberFormat="1" applyFont="1" applyAlignment="1">
      <alignment horizontal="right"/>
    </xf>
    <xf numFmtId="37" fontId="8" fillId="0" borderId="0" xfId="0" quotePrefix="1" applyFont="1" applyFill="1" applyAlignment="1">
      <alignment horizontal="right"/>
    </xf>
    <xf numFmtId="171" fontId="6" fillId="0" borderId="12" xfId="40" applyNumberFormat="1" applyFont="1" applyFill="1" applyBorder="1" applyAlignment="1">
      <alignment horizontal="right"/>
    </xf>
    <xf numFmtId="10" fontId="19" fillId="0" borderId="0" xfId="84" applyNumberFormat="1" applyFont="1" applyAlignment="1">
      <alignment horizontal="center"/>
    </xf>
    <xf numFmtId="10" fontId="6" fillId="0" borderId="13" xfId="84" quotePrefix="1" applyNumberFormat="1" applyFont="1" applyFill="1" applyBorder="1" applyAlignment="1">
      <alignment horizontal="center"/>
    </xf>
    <xf numFmtId="37" fontId="6" fillId="0" borderId="0" xfId="0" quotePrefix="1" applyFont="1" applyFill="1" applyBorder="1" applyAlignment="1">
      <alignment horizontal="left"/>
    </xf>
    <xf numFmtId="0" fontId="6" fillId="0" borderId="0" xfId="68" applyFont="1"/>
    <xf numFmtId="0" fontId="8" fillId="0" borderId="0" xfId="68" applyFont="1" applyAlignment="1">
      <alignment horizontal="right"/>
    </xf>
    <xf numFmtId="0" fontId="7" fillId="0" borderId="0" xfId="68" applyFont="1" applyAlignment="1">
      <alignment horizontal="centerContinuous"/>
    </xf>
    <xf numFmtId="0" fontId="9" fillId="0" borderId="0" xfId="68" applyFont="1" applyAlignment="1">
      <alignment horizontal="centerContinuous"/>
    </xf>
    <xf numFmtId="0" fontId="8" fillId="0" borderId="0" xfId="68" applyFont="1" applyAlignment="1">
      <alignment horizontal="centerContinuous"/>
    </xf>
    <xf numFmtId="0" fontId="6" fillId="0" borderId="0" xfId="68" applyFont="1" applyAlignment="1">
      <alignment horizontal="center"/>
    </xf>
    <xf numFmtId="0" fontId="16" fillId="0" borderId="0" xfId="68" applyFont="1"/>
    <xf numFmtId="0" fontId="6" fillId="0" borderId="0" xfId="68" applyFont="1" applyBorder="1"/>
    <xf numFmtId="0" fontId="6" fillId="0" borderId="0" xfId="68" applyFont="1" applyAlignment="1">
      <alignment horizontal="right"/>
    </xf>
    <xf numFmtId="0" fontId="6" fillId="0" borderId="0" xfId="68" applyFont="1" applyAlignment="1">
      <alignment horizontal="left"/>
    </xf>
    <xf numFmtId="0" fontId="6" fillId="0" borderId="0" xfId="68" quotePrefix="1" applyFont="1" applyAlignment="1">
      <alignment horizontal="left"/>
    </xf>
    <xf numFmtId="0" fontId="16" fillId="0" borderId="0" xfId="68" applyFont="1" applyBorder="1"/>
    <xf numFmtId="3" fontId="6" fillId="0" borderId="11" xfId="68" applyNumberFormat="1" applyFont="1" applyBorder="1"/>
    <xf numFmtId="0" fontId="6" fillId="0" borderId="0" xfId="68" quotePrefix="1" applyFont="1" applyBorder="1" applyAlignment="1">
      <alignment horizontal="left"/>
    </xf>
    <xf numFmtId="37" fontId="6" fillId="0" borderId="0" xfId="68" applyNumberFormat="1" applyFont="1" applyBorder="1" applyProtection="1"/>
    <xf numFmtId="0" fontId="6" fillId="0" borderId="0" xfId="68" applyFont="1" applyBorder="1" applyAlignment="1">
      <alignment horizontal="left"/>
    </xf>
    <xf numFmtId="5" fontId="6" fillId="0" borderId="0" xfId="68" applyNumberFormat="1" applyFont="1" applyBorder="1" applyProtection="1"/>
    <xf numFmtId="191" fontId="11" fillId="0" borderId="0" xfId="73" applyNumberFormat="1" applyFont="1"/>
    <xf numFmtId="37" fontId="16" fillId="0" borderId="0" xfId="0" applyFont="1" applyFill="1"/>
    <xf numFmtId="169" fontId="6" fillId="0" borderId="11" xfId="34" applyNumberFormat="1" applyFont="1" applyFill="1" applyBorder="1" applyProtection="1"/>
    <xf numFmtId="169" fontId="6" fillId="0" borderId="0" xfId="34" applyNumberFormat="1" applyFont="1" applyFill="1" applyBorder="1" applyProtection="1"/>
    <xf numFmtId="0" fontId="6" fillId="0" borderId="0" xfId="73" applyFont="1"/>
    <xf numFmtId="169" fontId="6" fillId="0" borderId="11" xfId="34" applyNumberFormat="1" applyFont="1" applyFill="1" applyBorder="1"/>
    <xf numFmtId="171" fontId="6" fillId="0" borderId="0" xfId="40" applyNumberFormat="1" applyFont="1" applyFill="1" applyBorder="1" applyProtection="1"/>
    <xf numFmtId="0" fontId="16" fillId="0" borderId="0" xfId="0" applyNumberFormat="1" applyFont="1"/>
    <xf numFmtId="37" fontId="67" fillId="0" borderId="0" xfId="0" applyFont="1" applyAlignment="1">
      <alignment horizontal="center"/>
    </xf>
    <xf numFmtId="0" fontId="69" fillId="0" borderId="0" xfId="73" applyFont="1" applyAlignment="1">
      <alignment horizontal="center"/>
    </xf>
    <xf numFmtId="186" fontId="16" fillId="0" borderId="0" xfId="0" applyNumberFormat="1" applyFont="1"/>
    <xf numFmtId="43" fontId="16" fillId="0" borderId="0" xfId="0" applyNumberFormat="1" applyFont="1"/>
    <xf numFmtId="169" fontId="6" fillId="0" borderId="11" xfId="34" applyNumberFormat="1" applyFont="1" applyBorder="1" applyAlignment="1">
      <alignment horizontal="center"/>
    </xf>
    <xf numFmtId="43" fontId="6" fillId="0" borderId="0" xfId="34" applyFont="1" applyFill="1" applyBorder="1" applyAlignment="1">
      <alignment horizontal="center"/>
    </xf>
    <xf numFmtId="192" fontId="6" fillId="0" borderId="0" xfId="34" applyNumberFormat="1" applyFont="1" applyBorder="1" applyProtection="1"/>
    <xf numFmtId="37" fontId="19" fillId="0" borderId="0" xfId="0" applyFont="1" applyFill="1"/>
    <xf numFmtId="165" fontId="6" fillId="0" borderId="11" xfId="84" applyNumberFormat="1" applyFont="1" applyFill="1" applyBorder="1" applyProtection="1"/>
    <xf numFmtId="0" fontId="6" fillId="0" borderId="0" xfId="73" quotePrefix="1" applyFont="1" applyAlignment="1">
      <alignment horizontal="left"/>
    </xf>
    <xf numFmtId="190" fontId="70" fillId="0" borderId="0" xfId="34" applyNumberFormat="1" applyFont="1"/>
    <xf numFmtId="0" fontId="6" fillId="0" borderId="0" xfId="64" applyFont="1" applyFill="1"/>
    <xf numFmtId="37" fontId="6" fillId="0" borderId="0" xfId="67" applyFont="1"/>
    <xf numFmtId="37" fontId="8" fillId="0" borderId="0" xfId="67" applyFont="1" applyAlignment="1">
      <alignment horizontal="right"/>
    </xf>
    <xf numFmtId="37" fontId="7" fillId="0" borderId="0" xfId="67" quotePrefix="1" applyFont="1" applyAlignment="1">
      <alignment horizontal="centerContinuous"/>
    </xf>
    <xf numFmtId="37" fontId="8" fillId="0" borderId="0" xfId="67" applyFont="1" applyAlignment="1">
      <alignment horizontal="centerContinuous"/>
    </xf>
    <xf numFmtId="37" fontId="7" fillId="0" borderId="0" xfId="67" applyFont="1" applyAlignment="1">
      <alignment horizontal="centerContinuous"/>
    </xf>
    <xf numFmtId="37" fontId="6" fillId="0" borderId="0" xfId="67" applyFont="1" applyAlignment="1">
      <alignment horizontal="left"/>
    </xf>
    <xf numFmtId="37" fontId="6" fillId="0" borderId="0" xfId="67" applyFont="1" applyAlignment="1">
      <alignment horizontal="right"/>
    </xf>
    <xf numFmtId="37" fontId="6" fillId="0" borderId="0" xfId="67" quotePrefix="1" applyFont="1" applyAlignment="1">
      <alignment horizontal="left"/>
    </xf>
    <xf numFmtId="37" fontId="6" fillId="0" borderId="0" xfId="67" applyFont="1" applyBorder="1"/>
    <xf numFmtId="42" fontId="6" fillId="0" borderId="0" xfId="40" applyNumberFormat="1" applyFont="1" applyBorder="1" applyAlignment="1">
      <alignment horizontal="center"/>
    </xf>
    <xf numFmtId="169" fontId="16" fillId="0" borderId="0" xfId="34" applyNumberFormat="1" applyFont="1"/>
    <xf numFmtId="37" fontId="6" fillId="0" borderId="0" xfId="0" applyFont="1" applyAlignment="1">
      <alignment horizontal="left" indent="1"/>
    </xf>
    <xf numFmtId="0" fontId="6" fillId="0" borderId="0" xfId="64" applyFont="1" applyFill="1" applyAlignment="1">
      <alignment horizontal="left"/>
    </xf>
    <xf numFmtId="37" fontId="6" fillId="0" borderId="0" xfId="64" applyNumberFormat="1" applyFont="1" applyFill="1" applyProtection="1">
      <protection locked="0"/>
    </xf>
    <xf numFmtId="171" fontId="6" fillId="0" borderId="0" xfId="40" applyNumberFormat="1" applyFont="1" applyFill="1" applyProtection="1">
      <protection locked="0"/>
    </xf>
    <xf numFmtId="37" fontId="6" fillId="0" borderId="0" xfId="64" applyNumberFormat="1" applyFont="1" applyFill="1" applyBorder="1" applyProtection="1">
      <protection locked="0"/>
    </xf>
    <xf numFmtId="0" fontId="6" fillId="0" borderId="0" xfId="72" quotePrefix="1" applyFont="1" applyAlignment="1">
      <alignment horizontal="left"/>
    </xf>
    <xf numFmtId="0" fontId="20" fillId="0" borderId="0" xfId="68" applyFont="1" applyBorder="1"/>
    <xf numFmtId="37" fontId="6" fillId="0" borderId="0" xfId="67" applyFont="1" applyAlignment="1">
      <alignment horizontal="center"/>
    </xf>
    <xf numFmtId="37" fontId="12" fillId="0" borderId="0" xfId="0" applyFont="1" applyAlignment="1">
      <alignment horizontal="center"/>
    </xf>
    <xf numFmtId="181" fontId="7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6" fillId="0" borderId="11" xfId="0" applyFont="1" applyBorder="1" applyAlignment="1">
      <alignment horizontal="center"/>
    </xf>
    <xf numFmtId="37" fontId="75" fillId="0" borderId="0" xfId="0" applyFont="1"/>
    <xf numFmtId="171" fontId="19" fillId="0" borderId="13" xfId="40" applyNumberFormat="1" applyFont="1" applyFill="1" applyBorder="1"/>
    <xf numFmtId="0" fontId="6" fillId="0" borderId="11" xfId="70" applyFont="1" applyFill="1" applyBorder="1" applyAlignment="1">
      <alignment horizontal="center"/>
    </xf>
    <xf numFmtId="37" fontId="6" fillId="0" borderId="0" xfId="0" applyFont="1" applyBorder="1" applyAlignment="1">
      <alignment horizontal="center"/>
    </xf>
    <xf numFmtId="0" fontId="6" fillId="0" borderId="0" xfId="116" applyFont="1" applyFill="1" applyAlignment="1">
      <alignment horizontal="left"/>
    </xf>
    <xf numFmtId="0" fontId="6" fillId="0" borderId="0" xfId="116" applyFont="1" applyFill="1"/>
    <xf numFmtId="0" fontId="6" fillId="0" borderId="0" xfId="116" quotePrefix="1" applyFont="1" applyFill="1" applyAlignment="1">
      <alignment horizontal="left"/>
    </xf>
    <xf numFmtId="37" fontId="6" fillId="0" borderId="0" xfId="117" applyNumberFormat="1" applyFont="1" applyFill="1"/>
    <xf numFmtId="37" fontId="6" fillId="0" borderId="0" xfId="118" applyNumberFormat="1" applyFont="1" applyFill="1"/>
    <xf numFmtId="37" fontId="6" fillId="0" borderId="0" xfId="119" applyNumberFormat="1" applyFont="1" applyFill="1"/>
    <xf numFmtId="37" fontId="6" fillId="0" borderId="0" xfId="120" applyNumberFormat="1" applyFont="1" applyFill="1"/>
    <xf numFmtId="37" fontId="6" fillId="0" borderId="0" xfId="121" applyNumberFormat="1" applyFont="1" applyFill="1"/>
    <xf numFmtId="37" fontId="6" fillId="0" borderId="0" xfId="122" applyNumberFormat="1" applyFont="1" applyFill="1"/>
    <xf numFmtId="37" fontId="6" fillId="0" borderId="0" xfId="123" applyNumberFormat="1" applyFont="1" applyFill="1"/>
    <xf numFmtId="37" fontId="6" fillId="0" borderId="0" xfId="124" applyNumberFormat="1" applyFont="1" applyFill="1"/>
    <xf numFmtId="37" fontId="6" fillId="0" borderId="0" xfId="125" applyNumberFormat="1" applyFont="1" applyFill="1"/>
    <xf numFmtId="37" fontId="6" fillId="0" borderId="0" xfId="126" applyNumberFormat="1" applyFont="1" applyFill="1"/>
    <xf numFmtId="37" fontId="6" fillId="0" borderId="0" xfId="127" applyNumberFormat="1" applyFont="1" applyFill="1" applyBorder="1"/>
    <xf numFmtId="37" fontId="6" fillId="0" borderId="0" xfId="128" applyNumberFormat="1" applyFont="1" applyFill="1"/>
    <xf numFmtId="37" fontId="6" fillId="0" borderId="0" xfId="129" applyNumberFormat="1" applyFont="1" applyFill="1"/>
    <xf numFmtId="37" fontId="6" fillId="0" borderId="0" xfId="130" applyNumberFormat="1" applyFont="1" applyFill="1"/>
    <xf numFmtId="37" fontId="6" fillId="0" borderId="0" xfId="131" applyNumberFormat="1" applyFont="1" applyFill="1"/>
    <xf numFmtId="37" fontId="6" fillId="0" borderId="0" xfId="132" applyNumberFormat="1" applyFont="1" applyFill="1"/>
    <xf numFmtId="37" fontId="6" fillId="0" borderId="0" xfId="133" applyNumberFormat="1" applyFont="1" applyFill="1"/>
    <xf numFmtId="37" fontId="6" fillId="0" borderId="0" xfId="134" applyNumberFormat="1" applyFont="1" applyFill="1"/>
    <xf numFmtId="37" fontId="6" fillId="0" borderId="0" xfId="135" applyNumberFormat="1" applyFont="1" applyFill="1"/>
    <xf numFmtId="37" fontId="6" fillId="0" borderId="0" xfId="136" applyNumberFormat="1" applyFont="1" applyFill="1"/>
    <xf numFmtId="37" fontId="6" fillId="0" borderId="0" xfId="137" applyNumberFormat="1" applyFont="1" applyFill="1"/>
    <xf numFmtId="37" fontId="6" fillId="0" borderId="0" xfId="0" applyFont="1" applyBorder="1" applyAlignment="1">
      <alignment horizontal="center"/>
    </xf>
    <xf numFmtId="37" fontId="6" fillId="0" borderId="11" xfId="0" applyFont="1" applyBorder="1" applyAlignment="1">
      <alignment horizontal="center"/>
    </xf>
    <xf numFmtId="0" fontId="6" fillId="0" borderId="0" xfId="73" applyFont="1" applyAlignment="1">
      <alignment horizontal="center"/>
    </xf>
    <xf numFmtId="49" fontId="6" fillId="0" borderId="0" xfId="0" quotePrefix="1" applyNumberFormat="1" applyFont="1" applyFill="1" applyAlignment="1">
      <alignment horizontal="right"/>
    </xf>
    <xf numFmtId="170" fontId="6" fillId="0" borderId="0" xfId="0" applyNumberFormat="1" applyFont="1" applyFill="1"/>
    <xf numFmtId="165" fontId="6" fillId="0" borderId="0" xfId="84" applyNumberFormat="1" applyFont="1" applyFill="1"/>
    <xf numFmtId="37" fontId="77" fillId="0" borderId="0" xfId="0" applyFont="1" applyAlignment="1">
      <alignment horizontal="centerContinuous"/>
    </xf>
    <xf numFmtId="37" fontId="77" fillId="0" borderId="0" xfId="0" quotePrefix="1" applyFont="1" applyAlignment="1">
      <alignment horizontal="centerContinuous"/>
    </xf>
    <xf numFmtId="0" fontId="6" fillId="0" borderId="0" xfId="116" quotePrefix="1" applyFont="1" applyFill="1"/>
    <xf numFmtId="184" fontId="11" fillId="0" borderId="0" xfId="73" applyNumberFormat="1" applyFont="1" applyBorder="1"/>
    <xf numFmtId="171" fontId="11" fillId="0" borderId="0" xfId="73" applyNumberFormat="1" applyFont="1" applyBorder="1"/>
    <xf numFmtId="37" fontId="6" fillId="0" borderId="0" xfId="67" applyNumberFormat="1" applyFont="1" applyBorder="1" applyAlignment="1" applyProtection="1">
      <alignment horizontal="right"/>
    </xf>
    <xf numFmtId="37" fontId="6" fillId="0" borderId="0" xfId="67" applyFont="1" applyFill="1" applyBorder="1"/>
    <xf numFmtId="37" fontId="6" fillId="0" borderId="0" xfId="67" applyFont="1" applyFill="1" applyBorder="1" applyAlignment="1">
      <alignment horizontal="center"/>
    </xf>
    <xf numFmtId="37" fontId="6" fillId="0" borderId="0" xfId="67" applyFont="1" applyFill="1"/>
    <xf numFmtId="164" fontId="6" fillId="0" borderId="0" xfId="67" applyNumberFormat="1" applyFont="1" applyFill="1"/>
    <xf numFmtId="37" fontId="6" fillId="0" borderId="0" xfId="67" quotePrefix="1" applyFont="1"/>
    <xf numFmtId="37" fontId="0" fillId="0" borderId="0" xfId="0"/>
    <xf numFmtId="37" fontId="6" fillId="0" borderId="0" xfId="0" applyFont="1"/>
    <xf numFmtId="37" fontId="6" fillId="0" borderId="11" xfId="0" applyFont="1" applyBorder="1"/>
    <xf numFmtId="37" fontId="6" fillId="0" borderId="0" xfId="0" applyFont="1" applyBorder="1" applyAlignment="1">
      <alignment horizontal="center"/>
    </xf>
    <xf numFmtId="37" fontId="6" fillId="0" borderId="11" xfId="0" quotePrefix="1" applyFont="1" applyBorder="1" applyAlignment="1">
      <alignment horizontal="center"/>
    </xf>
    <xf numFmtId="49" fontId="6" fillId="0" borderId="0" xfId="0" applyNumberFormat="1" applyFont="1"/>
    <xf numFmtId="37" fontId="6" fillId="0" borderId="0" xfId="0" quotePrefix="1" applyFont="1" applyBorder="1" applyAlignment="1">
      <alignment horizontal="center"/>
    </xf>
    <xf numFmtId="37" fontId="40" fillId="0" borderId="0" xfId="67" applyFont="1"/>
    <xf numFmtId="166" fontId="6" fillId="0" borderId="0" xfId="67" applyNumberFormat="1" applyFont="1" applyBorder="1" applyAlignment="1" applyProtection="1">
      <alignment horizontal="center"/>
    </xf>
    <xf numFmtId="166" fontId="6" fillId="0" borderId="0" xfId="67" quotePrefix="1" applyNumberFormat="1" applyFont="1" applyBorder="1" applyAlignment="1" applyProtection="1">
      <alignment horizontal="center"/>
    </xf>
    <xf numFmtId="37" fontId="6" fillId="0" borderId="0" xfId="67" applyNumberFormat="1" applyFont="1" applyBorder="1" applyProtection="1"/>
    <xf numFmtId="170" fontId="6" fillId="0" borderId="0" xfId="67" applyNumberFormat="1" applyFont="1" applyBorder="1"/>
    <xf numFmtId="170" fontId="6" fillId="0" borderId="0" xfId="67" applyNumberFormat="1" applyFont="1" applyAlignment="1">
      <alignment horizontal="center"/>
    </xf>
    <xf numFmtId="0" fontId="6" fillId="0" borderId="0" xfId="67" applyNumberFormat="1" applyFont="1" applyAlignment="1">
      <alignment horizontal="center"/>
    </xf>
    <xf numFmtId="37" fontId="6" fillId="0" borderId="11" xfId="67" applyFont="1" applyBorder="1" applyAlignment="1">
      <alignment horizontal="right"/>
    </xf>
    <xf numFmtId="37" fontId="6" fillId="0" borderId="11" xfId="67" applyFont="1" applyBorder="1" applyAlignment="1">
      <alignment horizontal="center"/>
    </xf>
    <xf numFmtId="5" fontId="6" fillId="0" borderId="0" xfId="67" applyNumberFormat="1" applyFont="1" applyBorder="1" applyProtection="1"/>
    <xf numFmtId="37" fontId="6" fillId="0" borderId="11" xfId="67" applyNumberFormat="1" applyFont="1" applyBorder="1" applyProtection="1">
      <protection locked="0"/>
    </xf>
    <xf numFmtId="37" fontId="6" fillId="0" borderId="0" xfId="0" applyFont="1"/>
    <xf numFmtId="37" fontId="8" fillId="0" borderId="0" xfId="0" applyFont="1" applyAlignment="1">
      <alignment horizontal="centerContinuous"/>
    </xf>
    <xf numFmtId="37" fontId="8" fillId="0" borderId="0" xfId="0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Alignment="1">
      <alignment horizontal="left"/>
    </xf>
    <xf numFmtId="37" fontId="6" fillId="0" borderId="0" xfId="0" applyFont="1" applyBorder="1"/>
    <xf numFmtId="175" fontId="6" fillId="0" borderId="0" xfId="0" applyNumberFormat="1" applyFont="1" applyBorder="1"/>
    <xf numFmtId="37" fontId="6" fillId="0" borderId="0" xfId="0" quotePrefix="1" applyFont="1" applyFill="1" applyAlignment="1">
      <alignment horizontal="left"/>
    </xf>
    <xf numFmtId="37" fontId="7" fillId="0" borderId="0" xfId="0" applyFont="1" applyAlignment="1"/>
    <xf numFmtId="37" fontId="7" fillId="0" borderId="0" xfId="0" applyFont="1" applyAlignment="1">
      <alignment horizontal="center"/>
    </xf>
    <xf numFmtId="39" fontId="16" fillId="0" borderId="0" xfId="0" applyNumberFormat="1" applyFont="1"/>
    <xf numFmtId="37" fontId="8" fillId="0" borderId="0" xfId="0" quotePrefix="1" applyFont="1" applyAlignment="1">
      <alignment horizontal="center"/>
    </xf>
    <xf numFmtId="0" fontId="31" fillId="0" borderId="0" xfId="187" quotePrefix="1" applyFont="1" applyFill="1" applyAlignment="1">
      <alignment horizontal="left"/>
    </xf>
    <xf numFmtId="37" fontId="6" fillId="0" borderId="0" xfId="67" quotePrefix="1" applyFont="1" applyBorder="1" applyAlignment="1">
      <alignment horizontal="left"/>
    </xf>
    <xf numFmtId="37" fontId="0" fillId="0" borderId="0" xfId="0"/>
    <xf numFmtId="37" fontId="8" fillId="0" borderId="0" xfId="0" applyFont="1" applyFill="1" applyAlignment="1">
      <alignment horizontal="centerContinuous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/>
    <xf numFmtId="37" fontId="20" fillId="0" borderId="0" xfId="0" applyFont="1"/>
    <xf numFmtId="37" fontId="16" fillId="0" borderId="0" xfId="0" applyFont="1" applyAlignment="1">
      <alignment horizontal="right"/>
    </xf>
    <xf numFmtId="10" fontId="16" fillId="0" borderId="0" xfId="0" applyNumberFormat="1" applyFont="1"/>
    <xf numFmtId="10" fontId="16" fillId="0" borderId="0" xfId="84" applyNumberFormat="1" applyFont="1"/>
    <xf numFmtId="168" fontId="6" fillId="0" borderId="0" xfId="0" applyNumberFormat="1" applyFont="1" applyProtection="1"/>
    <xf numFmtId="37" fontId="6" fillId="0" borderId="0" xfId="34" quotePrefix="1" applyNumberFormat="1" applyFont="1"/>
    <xf numFmtId="37" fontId="6" fillId="0" borderId="0" xfId="67" quotePrefix="1" applyFont="1" applyFill="1" applyAlignment="1">
      <alignment horizontal="left"/>
    </xf>
    <xf numFmtId="0" fontId="6" fillId="0" borderId="0" xfId="243" applyFont="1"/>
    <xf numFmtId="171" fontId="6" fillId="0" borderId="0" xfId="40" quotePrefix="1" applyNumberFormat="1" applyFont="1" applyFill="1" applyBorder="1" applyAlignment="1">
      <alignment horizontal="left"/>
    </xf>
    <xf numFmtId="0" fontId="19" fillId="0" borderId="0" xfId="243" applyFont="1"/>
    <xf numFmtId="43" fontId="26" fillId="0" borderId="0" xfId="34" applyNumberFormat="1" applyFont="1" applyAlignment="1">
      <alignment horizontal="center"/>
    </xf>
    <xf numFmtId="164" fontId="31" fillId="0" borderId="0" xfId="244" applyNumberFormat="1" applyFont="1" applyBorder="1" applyAlignment="1">
      <alignment horizontal="center"/>
    </xf>
    <xf numFmtId="183" fontId="6" fillId="0" borderId="0" xfId="0" applyNumberFormat="1" applyFont="1" applyBorder="1"/>
    <xf numFmtId="180" fontId="6" fillId="0" borderId="0" xfId="0" applyNumberFormat="1" applyFont="1" applyBorder="1" applyProtection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/>
    </xf>
    <xf numFmtId="37" fontId="6" fillId="0" borderId="0" xfId="0" applyNumberFormat="1" applyFont="1" applyFill="1" applyBorder="1" applyProtection="1">
      <protection locked="0"/>
    </xf>
    <xf numFmtId="37" fontId="6" fillId="0" borderId="11" xfId="0" applyNumberFormat="1" applyFont="1" applyFill="1" applyBorder="1" applyProtection="1">
      <protection locked="0"/>
    </xf>
    <xf numFmtId="37" fontId="6" fillId="0" borderId="0" xfId="0" applyNumberFormat="1" applyFont="1" applyFill="1" applyProtection="1"/>
    <xf numFmtId="172" fontId="6" fillId="0" borderId="0" xfId="84" applyNumberFormat="1" applyFont="1" applyFill="1"/>
    <xf numFmtId="0" fontId="27" fillId="0" borderId="0" xfId="72" quotePrefix="1" applyFont="1" applyBorder="1" applyAlignment="1">
      <alignment horizontal="center"/>
    </xf>
    <xf numFmtId="0" fontId="6" fillId="0" borderId="0" xfId="64" applyFont="1" applyFill="1" applyAlignment="1">
      <alignment horizontal="fill"/>
    </xf>
    <xf numFmtId="0" fontId="6" fillId="0" borderId="0" xfId="64" applyFont="1" applyFill="1" applyBorder="1" applyAlignment="1">
      <alignment horizontal="fill"/>
    </xf>
    <xf numFmtId="0" fontId="6" fillId="0" borderId="0" xfId="64" applyFont="1" applyFill="1" applyBorder="1"/>
    <xf numFmtId="0" fontId="8" fillId="0" borderId="0" xfId="64" applyFont="1" applyFill="1" applyBorder="1" applyAlignment="1">
      <alignment horizontal="right"/>
    </xf>
    <xf numFmtId="0" fontId="8" fillId="0" borderId="0" xfId="64" quotePrefix="1" applyFont="1" applyFill="1" applyAlignment="1">
      <alignment horizontal="right"/>
    </xf>
    <xf numFmtId="0" fontId="8" fillId="0" borderId="0" xfId="64" quotePrefix="1" applyFont="1" applyFill="1" applyBorder="1" applyAlignment="1">
      <alignment horizontal="right"/>
    </xf>
    <xf numFmtId="0" fontId="8" fillId="0" borderId="0" xfId="64" applyFont="1" applyFill="1" applyAlignment="1">
      <alignment horizontal="right"/>
    </xf>
    <xf numFmtId="0" fontId="7" fillId="0" borderId="0" xfId="64" applyFont="1" applyFill="1" applyAlignment="1">
      <alignment horizontal="centerContinuous"/>
    </xf>
    <xf numFmtId="0" fontId="8" fillId="0" borderId="0" xfId="64" applyFont="1" applyFill="1" applyAlignment="1">
      <alignment horizontal="centerContinuous"/>
    </xf>
    <xf numFmtId="0" fontId="8" fillId="0" borderId="0" xfId="64" applyFont="1" applyFill="1" applyBorder="1" applyAlignment="1">
      <alignment horizontal="centerContinuous"/>
    </xf>
    <xf numFmtId="0" fontId="7" fillId="0" borderId="0" xfId="64" applyFont="1" applyFill="1" applyBorder="1" applyAlignment="1">
      <alignment horizontal="centerContinuous"/>
    </xf>
    <xf numFmtId="0" fontId="6" fillId="0" borderId="0" xfId="64" applyFont="1" applyFill="1" applyAlignment="1">
      <alignment horizontal="right"/>
    </xf>
    <xf numFmtId="0" fontId="6" fillId="0" borderId="0" xfId="64" quotePrefix="1" applyFont="1" applyFill="1" applyBorder="1" applyAlignment="1">
      <alignment horizontal="center"/>
    </xf>
    <xf numFmtId="0" fontId="6" fillId="0" borderId="0" xfId="64" quotePrefix="1" applyFont="1" applyFill="1" applyAlignment="1">
      <alignment horizontal="center"/>
    </xf>
    <xf numFmtId="0" fontId="10" fillId="0" borderId="0" xfId="64" quotePrefix="1" applyFont="1" applyFill="1" applyBorder="1" applyAlignment="1">
      <alignment horizontal="center"/>
    </xf>
    <xf numFmtId="43" fontId="14" fillId="0" borderId="0" xfId="34" quotePrefix="1" applyFont="1" applyFill="1" applyAlignment="1">
      <alignment horizontal="center"/>
    </xf>
    <xf numFmtId="0" fontId="6" fillId="0" borderId="0" xfId="64" applyFont="1" applyFill="1" applyBorder="1" applyAlignment="1">
      <alignment horizontal="right"/>
    </xf>
    <xf numFmtId="5" fontId="6" fillId="0" borderId="0" xfId="64" applyNumberFormat="1" applyFont="1" applyFill="1" applyBorder="1" applyProtection="1"/>
    <xf numFmtId="171" fontId="6" fillId="0" borderId="0" xfId="40" applyNumberFormat="1" applyFont="1" applyFill="1" applyProtection="1"/>
    <xf numFmtId="37" fontId="6" fillId="0" borderId="0" xfId="64" applyNumberFormat="1" applyFont="1" applyFill="1" applyProtection="1"/>
    <xf numFmtId="37" fontId="6" fillId="0" borderId="0" xfId="64" applyNumberFormat="1" applyFont="1" applyFill="1" applyBorder="1" applyProtection="1"/>
    <xf numFmtId="37" fontId="6" fillId="0" borderId="11" xfId="64" applyNumberFormat="1" applyFont="1" applyFill="1" applyBorder="1" applyProtection="1"/>
    <xf numFmtId="0" fontId="6" fillId="0" borderId="0" xfId="64" applyFont="1" applyFill="1" applyBorder="1" applyAlignment="1">
      <alignment horizontal="left"/>
    </xf>
    <xf numFmtId="171" fontId="6" fillId="0" borderId="12" xfId="40" applyNumberFormat="1" applyFont="1" applyFill="1" applyBorder="1" applyProtection="1"/>
    <xf numFmtId="165" fontId="6" fillId="0" borderId="0" xfId="84" applyNumberFormat="1" applyFont="1" applyFill="1" applyBorder="1" applyProtection="1"/>
    <xf numFmtId="0" fontId="6" fillId="0" borderId="0" xfId="64" applyFont="1" applyFill="1" applyAlignment="1">
      <alignment horizontal="centerContinuous"/>
    </xf>
    <xf numFmtId="0" fontId="6" fillId="0" borderId="0" xfId="64" applyFont="1" applyFill="1" applyBorder="1" applyAlignment="1">
      <alignment horizontal="centerContinuous"/>
    </xf>
    <xf numFmtId="5" fontId="6" fillId="0" borderId="0" xfId="0" applyNumberFormat="1" applyFont="1" applyFill="1" applyBorder="1" applyProtection="1"/>
    <xf numFmtId="9" fontId="27" fillId="0" borderId="0" xfId="0" applyNumberFormat="1" applyFont="1" applyFill="1"/>
    <xf numFmtId="4" fontId="6" fillId="0" borderId="0" xfId="34" applyNumberFormat="1" applyFont="1" applyFill="1" applyProtection="1"/>
    <xf numFmtId="0" fontId="8" fillId="0" borderId="0" xfId="64" applyFont="1" applyFill="1" applyAlignment="1">
      <alignment horizontal="left"/>
    </xf>
    <xf numFmtId="0" fontId="6" fillId="0" borderId="0" xfId="64" quotePrefix="1" applyFont="1" applyFill="1" applyAlignment="1">
      <alignment horizontal="left"/>
    </xf>
    <xf numFmtId="169" fontId="6" fillId="0" borderId="11" xfId="40" applyNumberFormat="1" applyFont="1" applyFill="1" applyBorder="1"/>
    <xf numFmtId="0" fontId="6" fillId="0" borderId="0" xfId="64" applyNumberFormat="1" applyFont="1" applyFill="1"/>
    <xf numFmtId="41" fontId="6" fillId="0" borderId="0" xfId="64" applyNumberFormat="1" applyFont="1" applyFill="1"/>
    <xf numFmtId="0" fontId="20" fillId="0" borderId="0" xfId="245" applyFont="1" applyFill="1"/>
    <xf numFmtId="0" fontId="20" fillId="0" borderId="0" xfId="245" applyFont="1" applyFill="1" applyAlignment="1">
      <alignment horizontal="left"/>
    </xf>
    <xf numFmtId="0" fontId="6" fillId="0" borderId="0" xfId="73" quotePrefix="1" applyFont="1" applyFill="1" applyAlignment="1">
      <alignment horizontal="center"/>
    </xf>
    <xf numFmtId="169" fontId="6" fillId="0" borderId="0" xfId="34" quotePrefix="1" applyNumberFormat="1" applyFont="1" applyBorder="1" applyAlignment="1">
      <alignment horizontal="center"/>
    </xf>
    <xf numFmtId="169" fontId="6" fillId="0" borderId="11" xfId="34" quotePrefix="1" applyNumberFormat="1" applyFont="1" applyBorder="1" applyAlignment="1">
      <alignment horizontal="center"/>
    </xf>
    <xf numFmtId="42" fontId="6" fillId="0" borderId="0" xfId="885" applyNumberFormat="1" applyFont="1" applyAlignment="1">
      <alignment horizontal="left"/>
    </xf>
    <xf numFmtId="0" fontId="6" fillId="0" borderId="0" xfId="885" applyFont="1" applyAlignment="1">
      <alignment horizontal="left"/>
    </xf>
    <xf numFmtId="0" fontId="6" fillId="0" borderId="0" xfId="885" applyFont="1"/>
    <xf numFmtId="41" fontId="6" fillId="0" borderId="11" xfId="885" applyNumberFormat="1" applyFont="1" applyBorder="1" applyAlignment="1">
      <alignment horizontal="left"/>
    </xf>
    <xf numFmtId="37" fontId="12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81" fontId="7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6" fillId="0" borderId="0" xfId="64" applyNumberFormat="1" applyFont="1" applyFill="1" applyAlignment="1" applyProtection="1">
      <alignment horizontal="right"/>
      <protection locked="0"/>
    </xf>
    <xf numFmtId="17" fontId="6" fillId="0" borderId="0" xfId="0" applyNumberFormat="1" applyFont="1" applyAlignment="1">
      <alignment horizontal="right"/>
    </xf>
    <xf numFmtId="10" fontId="6" fillId="0" borderId="11" xfId="70" applyNumberFormat="1" applyFont="1" applyBorder="1" applyAlignment="1">
      <alignment horizontal="center"/>
    </xf>
    <xf numFmtId="10" fontId="6" fillId="0" borderId="13" xfId="84" applyNumberFormat="1" applyFont="1" applyBorder="1" applyAlignment="1">
      <alignment horizontal="center"/>
    </xf>
    <xf numFmtId="0" fontId="6" fillId="0" borderId="0" xfId="70" quotePrefix="1" applyFont="1" applyAlignment="1">
      <alignment horizontal="left"/>
    </xf>
    <xf numFmtId="0" fontId="134" fillId="0" borderId="0" xfId="70" quotePrefix="1" applyFont="1" applyAlignment="1">
      <alignment horizontal="center"/>
    </xf>
    <xf numFmtId="165" fontId="27" fillId="0" borderId="0" xfId="84" applyNumberFormat="1" applyFont="1" applyFill="1"/>
    <xf numFmtId="43" fontId="6" fillId="0" borderId="11" xfId="34" applyFont="1" applyBorder="1" applyAlignment="1">
      <alignment horizontal="center"/>
    </xf>
    <xf numFmtId="37" fontId="6" fillId="0" borderId="11" xfId="67" quotePrefix="1" applyFont="1" applyBorder="1" applyAlignment="1">
      <alignment horizontal="right"/>
    </xf>
    <xf numFmtId="37" fontId="6" fillId="0" borderId="0" xfId="67" quotePrefix="1" applyFont="1" applyAlignment="1">
      <alignment horizontal="right"/>
    </xf>
    <xf numFmtId="185" fontId="6" fillId="0" borderId="0" xfId="0" applyNumberFormat="1" applyFont="1" applyAlignment="1">
      <alignment horizontal="left"/>
    </xf>
    <xf numFmtId="5" fontId="11" fillId="0" borderId="0" xfId="72" applyNumberFormat="1"/>
    <xf numFmtId="0" fontId="6" fillId="0" borderId="11" xfId="73" quotePrefix="1" applyFont="1" applyBorder="1" applyAlignment="1">
      <alignment horizontal="left"/>
    </xf>
    <xf numFmtId="37" fontId="6" fillId="0" borderId="13" xfId="0" applyFont="1" applyBorder="1"/>
    <xf numFmtId="37" fontId="20" fillId="0" borderId="0" xfId="0" quotePrefix="1" applyFont="1" applyAlignment="1">
      <alignment horizontal="left"/>
    </xf>
    <xf numFmtId="2" fontId="20" fillId="0" borderId="0" xfId="245" applyNumberFormat="1" applyFont="1" applyFill="1" applyAlignment="1">
      <alignment horizontal="left"/>
    </xf>
    <xf numFmtId="0" fontId="20" fillId="0" borderId="0" xfId="245" quotePrefix="1" applyFont="1" applyFill="1" applyAlignment="1">
      <alignment horizontal="left"/>
    </xf>
    <xf numFmtId="0" fontId="20" fillId="0" borderId="0" xfId="245" applyFont="1" applyFill="1" applyAlignment="1"/>
    <xf numFmtId="37" fontId="6" fillId="0" borderId="0" xfId="67" quotePrefix="1" applyFont="1" applyAlignment="1"/>
    <xf numFmtId="49" fontId="20" fillId="0" borderId="0" xfId="245" applyNumberFormat="1" applyFont="1" applyFill="1" applyAlignment="1">
      <alignment horizontal="left"/>
    </xf>
    <xf numFmtId="37" fontId="7" fillId="0" borderId="0" xfId="0" applyFont="1" applyAlignment="1">
      <alignment horizontal="center"/>
    </xf>
    <xf numFmtId="37" fontId="7" fillId="0" borderId="0" xfId="67" applyFont="1" applyAlignment="1">
      <alignment horizontal="center"/>
    </xf>
    <xf numFmtId="37" fontId="6" fillId="0" borderId="0" xfId="0" applyFont="1" applyFill="1" applyAlignment="1">
      <alignment horizontal="fill"/>
    </xf>
    <xf numFmtId="37" fontId="6" fillId="0" borderId="11" xfId="0" applyFont="1" applyFill="1" applyBorder="1"/>
    <xf numFmtId="0" fontId="6" fillId="0" borderId="0" xfId="0" applyNumberFormat="1" applyFont="1" applyAlignment="1">
      <alignment horizontal="left"/>
    </xf>
    <xf numFmtId="0" fontId="6" fillId="0" borderId="0" xfId="0" quotePrefix="1" applyNumberFormat="1" applyFont="1" applyAlignment="1">
      <alignment horizontal="left"/>
    </xf>
    <xf numFmtId="37" fontId="6" fillId="0" borderId="11" xfId="40" applyNumberFormat="1" applyFont="1" applyFill="1" applyBorder="1"/>
    <xf numFmtId="0" fontId="6" fillId="0" borderId="0" xfId="243" quotePrefix="1" applyFont="1" applyAlignment="1">
      <alignment horizontal="left"/>
    </xf>
    <xf numFmtId="37" fontId="6" fillId="0" borderId="0" xfId="0" quotePrefix="1" applyFont="1" applyFill="1" applyAlignment="1">
      <alignment horizontal="center"/>
    </xf>
    <xf numFmtId="37" fontId="6" fillId="72" borderId="0" xfId="67" applyFont="1" applyFill="1"/>
    <xf numFmtId="37" fontId="8" fillId="0" borderId="0" xfId="67" quotePrefix="1" applyFont="1" applyAlignment="1">
      <alignment horizontal="centerContinuous"/>
    </xf>
    <xf numFmtId="37" fontId="6" fillId="0" borderId="0" xfId="67" quotePrefix="1" applyFont="1" applyAlignment="1">
      <alignment horizontal="center"/>
    </xf>
    <xf numFmtId="37" fontId="6" fillId="0" borderId="0" xfId="67" applyFont="1" applyBorder="1" applyAlignment="1">
      <alignment horizontal="center"/>
    </xf>
    <xf numFmtId="37" fontId="10" fillId="0" borderId="0" xfId="67" applyFont="1" applyBorder="1" applyAlignment="1">
      <alignment horizontal="left"/>
    </xf>
    <xf numFmtId="37" fontId="10" fillId="0" borderId="0" xfId="67" applyFont="1" applyBorder="1" applyAlignment="1">
      <alignment horizontal="center"/>
    </xf>
    <xf numFmtId="0" fontId="6" fillId="0" borderId="0" xfId="67" applyNumberFormat="1" applyFont="1" applyAlignment="1">
      <alignment horizontal="right"/>
    </xf>
    <xf numFmtId="37" fontId="6" fillId="0" borderId="0" xfId="67" applyFont="1" applyBorder="1" applyAlignment="1">
      <alignment horizontal="left"/>
    </xf>
    <xf numFmtId="0" fontId="6" fillId="0" borderId="0" xfId="67" applyNumberFormat="1" applyFont="1"/>
    <xf numFmtId="17" fontId="6" fillId="0" borderId="0" xfId="67" applyNumberFormat="1" applyFont="1" applyAlignment="1">
      <alignment horizontal="center"/>
    </xf>
    <xf numFmtId="169" fontId="6" fillId="0" borderId="0" xfId="67" applyNumberFormat="1" applyFont="1"/>
    <xf numFmtId="17" fontId="6" fillId="0" borderId="0" xfId="67" applyNumberFormat="1" applyFont="1" applyFill="1" applyAlignment="1">
      <alignment horizontal="center"/>
    </xf>
    <xf numFmtId="169" fontId="6" fillId="0" borderId="0" xfId="67" applyNumberFormat="1" applyFont="1" applyFill="1"/>
    <xf numFmtId="171" fontId="6" fillId="0" borderId="14" xfId="40" applyNumberFormat="1" applyFont="1" applyFill="1" applyBorder="1"/>
    <xf numFmtId="171" fontId="6" fillId="0" borderId="1" xfId="40" applyNumberFormat="1" applyFont="1" applyBorder="1"/>
    <xf numFmtId="171" fontId="6" fillId="0" borderId="0" xfId="67" applyNumberFormat="1" applyFont="1"/>
    <xf numFmtId="37" fontId="8" fillId="0" borderId="0" xfId="67" quotePrefix="1" applyFont="1" applyFill="1" applyAlignment="1">
      <alignment horizontal="right"/>
    </xf>
    <xf numFmtId="37" fontId="9" fillId="0" borderId="0" xfId="0" quotePrefix="1" applyFont="1" applyFill="1" applyAlignment="1">
      <alignment horizontal="right"/>
    </xf>
    <xf numFmtId="37" fontId="8" fillId="0" borderId="0" xfId="67" applyFont="1" applyFill="1" applyAlignment="1">
      <alignment horizontal="right"/>
    </xf>
    <xf numFmtId="49" fontId="20" fillId="0" borderId="0" xfId="245" quotePrefix="1" applyNumberFormat="1" applyFont="1" applyFill="1" applyAlignment="1">
      <alignment horizontal="left"/>
    </xf>
    <xf numFmtId="37" fontId="6" fillId="0" borderId="0" xfId="0" quotePrefix="1" applyNumberFormat="1" applyFont="1" applyAlignment="1">
      <alignment horizontal="left"/>
    </xf>
    <xf numFmtId="171" fontId="6" fillId="0" borderId="0" xfId="676" applyNumberFormat="1" applyFont="1" applyBorder="1"/>
    <xf numFmtId="171" fontId="6" fillId="0" borderId="12" xfId="676" applyNumberFormat="1" applyFont="1" applyBorder="1"/>
    <xf numFmtId="37" fontId="6" fillId="0" borderId="0" xfId="40" applyNumberFormat="1" applyFont="1" applyFill="1" applyBorder="1"/>
    <xf numFmtId="169" fontId="6" fillId="0" borderId="11" xfId="669" applyNumberFormat="1" applyFont="1" applyBorder="1"/>
    <xf numFmtId="171" fontId="6" fillId="0" borderId="0" xfId="676" applyNumberFormat="1" applyFont="1"/>
    <xf numFmtId="165" fontId="6" fillId="0" borderId="11" xfId="140" applyNumberFormat="1" applyFont="1" applyFill="1" applyBorder="1"/>
    <xf numFmtId="0" fontId="6" fillId="0" borderId="0" xfId="0" applyNumberFormat="1" applyFont="1"/>
    <xf numFmtId="0" fontId="15" fillId="0" borderId="0" xfId="0" applyNumberFormat="1" applyFont="1" applyAlignment="1">
      <alignment horizontal="center" wrapText="1"/>
    </xf>
    <xf numFmtId="0" fontId="27" fillId="0" borderId="0" xfId="0" applyNumberFormat="1" applyFont="1"/>
    <xf numFmtId="0" fontId="6" fillId="0" borderId="11" xfId="0" applyNumberFormat="1" applyFont="1" applyBorder="1" applyAlignment="1">
      <alignment horizontal="center"/>
    </xf>
    <xf numFmtId="5" fontId="6" fillId="0" borderId="0" xfId="0" applyNumberFormat="1" applyFont="1" applyBorder="1"/>
    <xf numFmtId="171" fontId="6" fillId="0" borderId="13" xfId="40" applyNumberFormat="1" applyFont="1" applyBorder="1" applyProtection="1"/>
    <xf numFmtId="171" fontId="6" fillId="0" borderId="0" xfId="0" applyNumberFormat="1" applyFont="1"/>
    <xf numFmtId="165" fontId="6" fillId="0" borderId="0" xfId="84" applyNumberFormat="1" applyFont="1" applyAlignment="1">
      <alignment horizontal="right"/>
    </xf>
    <xf numFmtId="172" fontId="6" fillId="0" borderId="0" xfId="84" applyNumberFormat="1" applyFont="1" applyAlignment="1">
      <alignment horizontal="right"/>
    </xf>
    <xf numFmtId="196" fontId="6" fillId="0" borderId="0" xfId="0" applyNumberFormat="1" applyFont="1"/>
    <xf numFmtId="2" fontId="27" fillId="0" borderId="0" xfId="0" applyNumberFormat="1" applyFont="1"/>
    <xf numFmtId="0" fontId="15" fillId="0" borderId="0" xfId="0" applyNumberFormat="1" applyFont="1"/>
    <xf numFmtId="37" fontId="6" fillId="0" borderId="0" xfId="0" applyNumberFormat="1" applyFont="1" applyBorder="1" applyProtection="1">
      <protection locked="0"/>
    </xf>
    <xf numFmtId="0" fontId="94" fillId="0" borderId="0" xfId="0" applyNumberFormat="1" applyFont="1"/>
    <xf numFmtId="169" fontId="6" fillId="0" borderId="0" xfId="0" applyNumberFormat="1" applyFont="1"/>
    <xf numFmtId="5" fontId="6" fillId="0" borderId="0" xfId="0" applyNumberFormat="1" applyFont="1" applyProtection="1"/>
    <xf numFmtId="0" fontId="134" fillId="0" borderId="0" xfId="0" applyNumberFormat="1" applyFont="1"/>
    <xf numFmtId="3" fontId="6" fillId="0" borderId="0" xfId="34" applyNumberFormat="1" applyFont="1" applyFill="1" applyAlignment="1" applyProtection="1">
      <alignment horizontal="right"/>
    </xf>
    <xf numFmtId="37" fontId="6" fillId="0" borderId="11" xfId="64" applyNumberFormat="1" applyFont="1" applyFill="1" applyBorder="1" applyAlignment="1" applyProtection="1">
      <alignment horizontal="right"/>
      <protection locked="0"/>
    </xf>
    <xf numFmtId="4" fontId="6" fillId="0" borderId="0" xfId="34" applyNumberFormat="1" applyFont="1" applyProtection="1"/>
    <xf numFmtId="5" fontId="6" fillId="0" borderId="0" xfId="40" applyNumberFormat="1" applyFont="1" applyBorder="1"/>
    <xf numFmtId="171" fontId="6" fillId="0" borderId="11" xfId="40" applyNumberFormat="1" applyFont="1" applyFill="1" applyBorder="1"/>
    <xf numFmtId="0" fontId="31" fillId="0" borderId="0" xfId="187" applyFont="1" applyFill="1" applyAlignment="1">
      <alignment horizontal="right"/>
    </xf>
    <xf numFmtId="169" fontId="6" fillId="0" borderId="0" xfId="34" quotePrefix="1" applyNumberFormat="1" applyFont="1" applyBorder="1" applyAlignment="1">
      <alignment horizontal="right"/>
    </xf>
    <xf numFmtId="14" fontId="6" fillId="0" borderId="0" xfId="0" applyNumberFormat="1" applyFont="1" applyFill="1" applyAlignment="1">
      <alignment horizontal="center"/>
    </xf>
    <xf numFmtId="49" fontId="36" fillId="0" borderId="0" xfId="0" applyNumberFormat="1" applyFont="1" applyFill="1"/>
    <xf numFmtId="0" fontId="20" fillId="0" borderId="0" xfId="899" quotePrefix="1" applyFont="1" applyFill="1" applyAlignment="1">
      <alignment horizontal="left"/>
    </xf>
    <xf numFmtId="176" fontId="6" fillId="0" borderId="0" xfId="34" quotePrefix="1" applyNumberFormat="1" applyFont="1" applyAlignment="1">
      <alignment horizontal="center"/>
    </xf>
    <xf numFmtId="195" fontId="6" fillId="0" borderId="0" xfId="0" applyNumberFormat="1" applyFont="1" applyFill="1"/>
    <xf numFmtId="0" fontId="134" fillId="0" borderId="0" xfId="64" quotePrefix="1" applyFont="1" applyFill="1" applyAlignment="1">
      <alignment horizontal="left"/>
    </xf>
    <xf numFmtId="0" fontId="6" fillId="0" borderId="0" xfId="0" applyNumberFormat="1" applyFont="1" applyFill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169" fontId="11" fillId="0" borderId="0" xfId="73" applyNumberFormat="1" applyFont="1"/>
    <xf numFmtId="197" fontId="11" fillId="0" borderId="0" xfId="73" applyNumberFormat="1" applyFont="1"/>
    <xf numFmtId="37" fontId="6" fillId="0" borderId="0" xfId="76" applyFont="1" applyAlignment="1">
      <alignment horizontal="center"/>
    </xf>
    <xf numFmtId="37" fontId="6" fillId="0" borderId="0" xfId="76" applyFont="1" applyFill="1"/>
    <xf numFmtId="37" fontId="6" fillId="0" borderId="0" xfId="76" quotePrefix="1" applyFont="1" applyAlignment="1">
      <alignment horizontal="fill"/>
    </xf>
    <xf numFmtId="37" fontId="8" fillId="0" borderId="0" xfId="76" applyFont="1" applyBorder="1" applyAlignment="1">
      <alignment horizontal="left"/>
    </xf>
    <xf numFmtId="37" fontId="8" fillId="0" borderId="0" xfId="76" applyFont="1" applyBorder="1" applyAlignment="1">
      <alignment horizontal="centerContinuous"/>
    </xf>
    <xf numFmtId="37" fontId="7" fillId="0" borderId="0" xfId="76" applyFont="1" applyBorder="1" applyAlignment="1">
      <alignment horizontal="centerContinuous"/>
    </xf>
    <xf numFmtId="37" fontId="6" fillId="0" borderId="0" xfId="76" applyFont="1" applyBorder="1" applyAlignment="1">
      <alignment horizontal="left"/>
    </xf>
    <xf numFmtId="167" fontId="6" fillId="0" borderId="0" xfId="76" applyNumberFormat="1" applyFont="1" applyBorder="1" applyProtection="1"/>
    <xf numFmtId="37" fontId="6" fillId="0" borderId="0" xfId="1145" quotePrefix="1" applyFont="1" applyAlignment="1">
      <alignment horizontal="left"/>
    </xf>
    <xf numFmtId="37" fontId="6" fillId="0" borderId="0" xfId="1145" applyFont="1"/>
    <xf numFmtId="37" fontId="6" fillId="0" borderId="0" xfId="76" quotePrefix="1" applyFont="1" applyBorder="1" applyAlignment="1">
      <alignment horizontal="fill"/>
    </xf>
    <xf numFmtId="171" fontId="6" fillId="0" borderId="11" xfId="40" applyNumberFormat="1" applyFont="1" applyBorder="1" applyAlignment="1">
      <alignment horizontal="center"/>
    </xf>
    <xf numFmtId="0" fontId="6" fillId="0" borderId="0" xfId="0" applyNumberFormat="1" applyFont="1" applyAlignment="1"/>
    <xf numFmtId="49" fontId="36" fillId="0" borderId="0" xfId="0" quotePrefix="1" applyNumberFormat="1" applyFont="1" applyAlignment="1">
      <alignment horizontal="left"/>
    </xf>
    <xf numFmtId="37" fontId="6" fillId="0" borderId="0" xfId="67" applyFont="1" applyAlignment="1">
      <alignment horizontal="center"/>
    </xf>
    <xf numFmtId="37" fontId="0" fillId="0" borderId="0" xfId="0"/>
    <xf numFmtId="37" fontId="7" fillId="0" borderId="0" xfId="0" applyFont="1" applyAlignment="1">
      <alignment horizontal="center"/>
    </xf>
    <xf numFmtId="37" fontId="8" fillId="0" borderId="0" xfId="67" quotePrefix="1" applyFont="1" applyAlignment="1">
      <alignment horizontal="right"/>
    </xf>
    <xf numFmtId="43" fontId="14" fillId="0" borderId="0" xfId="654" quotePrefix="1" applyFont="1" applyFill="1" applyAlignment="1">
      <alignment horizontal="center"/>
    </xf>
    <xf numFmtId="171" fontId="6" fillId="0" borderId="0" xfId="674" applyNumberFormat="1" applyFont="1" applyFill="1" applyProtection="1"/>
    <xf numFmtId="169" fontId="6" fillId="0" borderId="0" xfId="654" applyNumberFormat="1" applyFont="1" applyFill="1" applyBorder="1" applyProtection="1"/>
    <xf numFmtId="165" fontId="6" fillId="0" borderId="11" xfId="984" applyNumberFormat="1" applyFont="1" applyFill="1" applyBorder="1"/>
    <xf numFmtId="171" fontId="6" fillId="0" borderId="12" xfId="674" applyNumberFormat="1" applyFont="1" applyFill="1" applyBorder="1" applyProtection="1"/>
    <xf numFmtId="0" fontId="94" fillId="0" borderId="0" xfId="1146" applyFont="1" applyFill="1" applyBorder="1"/>
    <xf numFmtId="171" fontId="94" fillId="0" borderId="0" xfId="674" applyNumberFormat="1" applyFont="1" applyFill="1" applyBorder="1" applyProtection="1"/>
    <xf numFmtId="169" fontId="94" fillId="0" borderId="0" xfId="1147" applyNumberFormat="1" applyFont="1" applyFill="1" applyBorder="1" applyProtection="1"/>
    <xf numFmtId="171" fontId="6" fillId="0" borderId="0" xfId="674" applyNumberFormat="1" applyFont="1" applyFill="1" applyBorder="1" applyProtection="1"/>
    <xf numFmtId="0" fontId="6" fillId="0" borderId="0" xfId="1146" applyNumberFormat="1" applyFont="1" applyAlignment="1">
      <alignment horizontal="left"/>
    </xf>
    <xf numFmtId="0" fontId="6" fillId="0" borderId="0" xfId="1146" applyNumberFormat="1" applyFont="1"/>
    <xf numFmtId="0" fontId="15" fillId="0" borderId="0" xfId="1146" applyNumberFormat="1" applyFont="1" applyAlignment="1">
      <alignment horizontal="center" wrapText="1"/>
    </xf>
    <xf numFmtId="0" fontId="6" fillId="0" borderId="0" xfId="1146" applyNumberFormat="1" applyFont="1" applyBorder="1"/>
    <xf numFmtId="0" fontId="6" fillId="0" borderId="0" xfId="1146" applyNumberFormat="1" applyFont="1" applyFill="1" applyAlignment="1">
      <alignment horizontal="center"/>
    </xf>
    <xf numFmtId="0" fontId="6" fillId="0" borderId="0" xfId="1146" applyNumberFormat="1" applyFont="1" applyFill="1"/>
    <xf numFmtId="0" fontId="6" fillId="0" borderId="11" xfId="1146" applyNumberFormat="1" applyFont="1" applyBorder="1" applyAlignment="1">
      <alignment horizontal="center"/>
    </xf>
    <xf numFmtId="0" fontId="6" fillId="0" borderId="11" xfId="1146" applyNumberFormat="1" applyFont="1" applyFill="1" applyBorder="1" applyAlignment="1">
      <alignment horizontal="center"/>
    </xf>
    <xf numFmtId="171" fontId="6" fillId="0" borderId="0" xfId="674" applyNumberFormat="1" applyFont="1" applyFill="1"/>
    <xf numFmtId="5" fontId="6" fillId="0" borderId="0" xfId="1146" applyNumberFormat="1" applyFont="1" applyBorder="1"/>
    <xf numFmtId="169" fontId="6" fillId="0" borderId="0" xfId="654" applyNumberFormat="1" applyFont="1" applyFill="1"/>
    <xf numFmtId="169" fontId="6" fillId="0" borderId="0" xfId="654" applyNumberFormat="1" applyFont="1" applyFill="1" applyBorder="1"/>
    <xf numFmtId="0" fontId="6" fillId="0" borderId="0" xfId="1146" quotePrefix="1" applyNumberFormat="1" applyFont="1" applyFill="1" applyAlignment="1">
      <alignment horizontal="left"/>
    </xf>
    <xf numFmtId="0" fontId="6" fillId="0" borderId="0" xfId="1146" quotePrefix="1" applyNumberFormat="1" applyFont="1" applyAlignment="1">
      <alignment horizontal="left"/>
    </xf>
    <xf numFmtId="171" fontId="6" fillId="0" borderId="13" xfId="674" applyNumberFormat="1" applyFont="1" applyBorder="1" applyProtection="1"/>
    <xf numFmtId="5" fontId="6" fillId="0" borderId="0" xfId="1146" applyNumberFormat="1" applyFont="1" applyBorder="1" applyProtection="1"/>
    <xf numFmtId="171" fontId="6" fillId="0" borderId="0" xfId="1146" applyNumberFormat="1" applyFont="1"/>
    <xf numFmtId="165" fontId="6" fillId="0" borderId="0" xfId="984" applyNumberFormat="1" applyFont="1"/>
    <xf numFmtId="165" fontId="6" fillId="0" borderId="0" xfId="984" applyNumberFormat="1" applyFont="1" applyAlignment="1">
      <alignment horizontal="right"/>
    </xf>
    <xf numFmtId="0" fontId="6" fillId="0" borderId="0" xfId="1146" applyNumberFormat="1" applyFont="1" applyBorder="1" applyAlignment="1">
      <alignment horizontal="right"/>
    </xf>
    <xf numFmtId="43" fontId="6" fillId="0" borderId="0" xfId="1147" applyFont="1"/>
    <xf numFmtId="172" fontId="6" fillId="0" borderId="0" xfId="984" applyNumberFormat="1" applyFont="1"/>
    <xf numFmtId="172" fontId="6" fillId="0" borderId="0" xfId="984" applyNumberFormat="1" applyFont="1" applyAlignment="1">
      <alignment horizontal="right"/>
    </xf>
    <xf numFmtId="9" fontId="27" fillId="0" borderId="0" xfId="1146" applyNumberFormat="1" applyFont="1" applyFill="1"/>
    <xf numFmtId="2" fontId="27" fillId="0" borderId="0" xfId="1146" applyNumberFormat="1" applyFont="1"/>
    <xf numFmtId="171" fontId="6" fillId="0" borderId="0" xfId="674" applyNumberFormat="1" applyFont="1" applyFill="1" applyProtection="1">
      <protection locked="0"/>
    </xf>
    <xf numFmtId="5" fontId="6" fillId="0" borderId="0" xfId="1146" applyNumberFormat="1" applyFont="1" applyBorder="1" applyProtection="1">
      <protection locked="0"/>
    </xf>
    <xf numFmtId="37" fontId="6" fillId="0" borderId="0" xfId="1146" applyNumberFormat="1" applyFont="1" applyFill="1" applyProtection="1">
      <protection locked="0"/>
    </xf>
    <xf numFmtId="37" fontId="6" fillId="0" borderId="0" xfId="1146" applyNumberFormat="1" applyFont="1" applyBorder="1" applyProtection="1">
      <protection locked="0"/>
    </xf>
    <xf numFmtId="37" fontId="6" fillId="0" borderId="0" xfId="1146" applyNumberFormat="1" applyFont="1" applyFill="1" applyBorder="1" applyProtection="1">
      <protection locked="0"/>
    </xf>
    <xf numFmtId="165" fontId="27" fillId="0" borderId="0" xfId="984" applyNumberFormat="1" applyFont="1" applyFill="1"/>
    <xf numFmtId="0" fontId="94" fillId="0" borderId="0" xfId="1146" applyNumberFormat="1" applyFont="1"/>
    <xf numFmtId="37" fontId="6" fillId="0" borderId="11" xfId="1146" applyNumberFormat="1" applyFont="1" applyFill="1" applyBorder="1" applyProtection="1">
      <protection locked="0"/>
    </xf>
    <xf numFmtId="169" fontId="6" fillId="0" borderId="0" xfId="1146" applyNumberFormat="1" applyFont="1"/>
    <xf numFmtId="37" fontId="6" fillId="0" borderId="0" xfId="1146" applyNumberFormat="1" applyFont="1" applyProtection="1"/>
    <xf numFmtId="5" fontId="6" fillId="0" borderId="0" xfId="1146" applyNumberFormat="1" applyFont="1" applyProtection="1"/>
    <xf numFmtId="0" fontId="6" fillId="0" borderId="0" xfId="1146" applyNumberFormat="1" applyFont="1" applyFill="1" applyAlignment="1">
      <alignment horizontal="left"/>
    </xf>
    <xf numFmtId="0" fontId="134" fillId="0" borderId="0" xfId="1146" applyNumberFormat="1" applyFont="1"/>
    <xf numFmtId="3" fontId="6" fillId="0" borderId="0" xfId="654" applyNumberFormat="1" applyFont="1" applyFill="1" applyAlignment="1" applyProtection="1">
      <alignment horizontal="right"/>
    </xf>
    <xf numFmtId="5" fontId="6" fillId="0" borderId="0" xfId="1146" applyNumberFormat="1" applyFont="1" applyFill="1" applyBorder="1" applyProtection="1"/>
    <xf numFmtId="37" fontId="6" fillId="0" borderId="0" xfId="1146" applyNumberFormat="1" applyFont="1" applyFill="1" applyProtection="1"/>
    <xf numFmtId="171" fontId="6" fillId="0" borderId="12" xfId="674" applyNumberFormat="1" applyFont="1" applyBorder="1" applyProtection="1"/>
    <xf numFmtId="4" fontId="6" fillId="0" borderId="0" xfId="654" applyNumberFormat="1" applyFont="1" applyProtection="1"/>
    <xf numFmtId="171" fontId="6" fillId="0" borderId="0" xfId="674" applyNumberFormat="1" applyFont="1" applyProtection="1"/>
    <xf numFmtId="0" fontId="6" fillId="0" borderId="0" xfId="1146" applyNumberFormat="1" applyFont="1" applyAlignment="1">
      <alignment horizontal="center"/>
    </xf>
    <xf numFmtId="165" fontId="6" fillId="0" borderId="0" xfId="984" applyNumberFormat="1" applyFont="1" applyFill="1"/>
    <xf numFmtId="172" fontId="6" fillId="0" borderId="0" xfId="984" applyNumberFormat="1" applyFont="1" applyFill="1"/>
    <xf numFmtId="169" fontId="6" fillId="0" borderId="11" xfId="654" applyNumberFormat="1" applyFont="1" applyFill="1" applyBorder="1" applyProtection="1"/>
    <xf numFmtId="169" fontId="6" fillId="0" borderId="0" xfId="654" applyNumberFormat="1" applyFont="1" applyProtection="1"/>
    <xf numFmtId="4" fontId="6" fillId="0" borderId="0" xfId="654" applyNumberFormat="1" applyFont="1" applyFill="1" applyProtection="1"/>
    <xf numFmtId="171" fontId="6" fillId="0" borderId="0" xfId="674" applyNumberFormat="1" applyFont="1"/>
    <xf numFmtId="171" fontId="6" fillId="0" borderId="12" xfId="674" applyNumberFormat="1" applyFont="1" applyBorder="1"/>
    <xf numFmtId="169" fontId="6" fillId="0" borderId="11" xfId="674" applyNumberFormat="1" applyFont="1" applyFill="1" applyBorder="1"/>
    <xf numFmtId="10" fontId="6" fillId="0" borderId="0" xfId="984" applyNumberFormat="1" applyFont="1" applyFill="1" applyBorder="1"/>
    <xf numFmtId="5" fontId="6" fillId="0" borderId="0" xfId="674" applyNumberFormat="1" applyFont="1" applyBorder="1"/>
    <xf numFmtId="169" fontId="14" fillId="0" borderId="0" xfId="1147" applyNumberFormat="1" applyFont="1" applyFill="1"/>
    <xf numFmtId="169" fontId="6" fillId="0" borderId="11" xfId="654" applyNumberFormat="1" applyFont="1" applyFill="1" applyBorder="1"/>
    <xf numFmtId="10" fontId="6" fillId="0" borderId="0" xfId="984" applyNumberFormat="1" applyFont="1" applyBorder="1"/>
    <xf numFmtId="37" fontId="8" fillId="0" borderId="0" xfId="1145" applyFont="1" applyAlignment="1">
      <alignment horizontal="centerContinuous"/>
    </xf>
    <xf numFmtId="37" fontId="6" fillId="0" borderId="0" xfId="1145" applyFont="1" applyBorder="1"/>
    <xf numFmtId="49" fontId="20" fillId="0" borderId="0" xfId="899" applyNumberFormat="1" applyFont="1" applyFill="1" applyAlignment="1">
      <alignment horizontal="left"/>
    </xf>
    <xf numFmtId="0" fontId="20" fillId="0" borderId="0" xfId="899" applyFont="1" applyFill="1" applyAlignment="1">
      <alignment horizontal="left"/>
    </xf>
    <xf numFmtId="37" fontId="8" fillId="0" borderId="0" xfId="0" quotePrefix="1" applyFont="1" applyAlignment="1">
      <alignment horizontal="left"/>
    </xf>
    <xf numFmtId="37" fontId="8" fillId="0" borderId="0" xfId="0" quotePrefix="1" applyFont="1" applyFill="1" applyAlignment="1">
      <alignment horizontal="left"/>
    </xf>
    <xf numFmtId="37" fontId="6" fillId="0" borderId="0" xfId="67" applyFont="1" applyAlignment="1">
      <alignment horizontal="center"/>
    </xf>
    <xf numFmtId="37" fontId="6" fillId="0" borderId="0" xfId="67" applyFont="1" applyAlignment="1">
      <alignment horizontal="center"/>
    </xf>
    <xf numFmtId="37" fontId="6" fillId="0" borderId="0" xfId="67" applyFont="1" applyAlignment="1">
      <alignment horizontal="center"/>
    </xf>
    <xf numFmtId="169" fontId="6" fillId="0" borderId="0" xfId="669" applyNumberFormat="1" applyFont="1" applyBorder="1"/>
    <xf numFmtId="37" fontId="12" fillId="0" borderId="0" xfId="0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81" fontId="7" fillId="0" borderId="0" xfId="0" applyNumberFormat="1" applyFont="1" applyFill="1" applyAlignment="1">
      <alignment horizontal="center"/>
    </xf>
    <xf numFmtId="37" fontId="12" fillId="0" borderId="0" xfId="0" applyFont="1" applyFill="1" applyAlignment="1">
      <alignment horizontal="center"/>
    </xf>
    <xf numFmtId="37" fontId="8" fillId="0" borderId="0" xfId="0" applyFont="1" applyFill="1" applyAlignment="1">
      <alignment horizontal="center"/>
    </xf>
    <xf numFmtId="181" fontId="7" fillId="0" borderId="0" xfId="0" applyNumberFormat="1" applyFont="1" applyAlignment="1">
      <alignment horizontal="center"/>
    </xf>
    <xf numFmtId="181" fontId="7" fillId="0" borderId="0" xfId="0" quotePrefix="1" applyNumberFormat="1" applyFont="1" applyFill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72" quotePrefix="1" applyFont="1" applyBorder="1" applyAlignment="1">
      <alignment horizontal="center"/>
    </xf>
    <xf numFmtId="0" fontId="8" fillId="0" borderId="0" xfId="72" applyFont="1" applyBorder="1" applyAlignment="1">
      <alignment horizontal="center"/>
    </xf>
    <xf numFmtId="37" fontId="9" fillId="0" borderId="0" xfId="0" applyFont="1" applyAlignment="1">
      <alignment horizontal="center"/>
    </xf>
    <xf numFmtId="37" fontId="7" fillId="0" borderId="0" xfId="67" quotePrefix="1" applyFont="1" applyAlignment="1">
      <alignment horizontal="center"/>
    </xf>
    <xf numFmtId="37" fontId="8" fillId="0" borderId="0" xfId="67" applyFont="1" applyAlignment="1">
      <alignment horizontal="center"/>
    </xf>
    <xf numFmtId="37" fontId="6" fillId="0" borderId="0" xfId="67" applyFont="1" applyAlignment="1">
      <alignment horizontal="center"/>
    </xf>
    <xf numFmtId="37" fontId="7" fillId="0" borderId="0" xfId="67" applyFont="1" applyAlignment="1">
      <alignment horizontal="center"/>
    </xf>
    <xf numFmtId="0" fontId="7" fillId="0" borderId="0" xfId="64" applyFont="1" applyFill="1" applyAlignment="1">
      <alignment horizontal="center"/>
    </xf>
    <xf numFmtId="0" fontId="20" fillId="0" borderId="0" xfId="0" applyNumberFormat="1" applyFont="1" applyAlignment="1">
      <alignment horizontal="center" vertical="top" wrapText="1"/>
    </xf>
    <xf numFmtId="0" fontId="8" fillId="0" borderId="0" xfId="64" applyFont="1" applyFill="1" applyAlignment="1">
      <alignment horizontal="center"/>
    </xf>
    <xf numFmtId="0" fontId="8" fillId="0" borderId="0" xfId="64" quotePrefix="1" applyFont="1" applyFill="1" applyAlignment="1">
      <alignment horizontal="center"/>
    </xf>
    <xf numFmtId="0" fontId="7" fillId="0" borderId="0" xfId="64" quotePrefix="1" applyFont="1" applyFill="1" applyAlignment="1">
      <alignment horizontal="center"/>
    </xf>
    <xf numFmtId="0" fontId="20" fillId="0" borderId="0" xfId="1146" applyNumberFormat="1" applyFont="1" applyAlignment="1">
      <alignment horizontal="center" vertical="top" wrapText="1"/>
    </xf>
    <xf numFmtId="37" fontId="0" fillId="0" borderId="0" xfId="0"/>
    <xf numFmtId="37" fontId="7" fillId="0" borderId="0" xfId="0" quotePrefix="1" applyFont="1" applyFill="1" applyAlignment="1">
      <alignment horizontal="center"/>
    </xf>
    <xf numFmtId="0" fontId="6" fillId="0" borderId="0" xfId="0" applyNumberFormat="1" applyFont="1" applyAlignment="1">
      <alignment horizontal="left" vertical="top" wrapText="1"/>
    </xf>
    <xf numFmtId="37" fontId="0" fillId="0" borderId="0" xfId="0" applyAlignment="1"/>
    <xf numFmtId="37" fontId="135" fillId="0" borderId="0" xfId="0" applyFont="1" applyAlignment="1">
      <alignment horizontal="center"/>
    </xf>
    <xf numFmtId="37" fontId="7" fillId="0" borderId="0" xfId="76" quotePrefix="1" applyFont="1" applyAlignment="1">
      <alignment horizontal="center"/>
    </xf>
    <xf numFmtId="37" fontId="7" fillId="0" borderId="0" xfId="76" applyFont="1" applyFill="1" applyAlignment="1">
      <alignment horizontal="center"/>
    </xf>
    <xf numFmtId="37" fontId="8" fillId="0" borderId="0" xfId="1145" applyFont="1" applyAlignment="1">
      <alignment horizontal="center"/>
    </xf>
    <xf numFmtId="37" fontId="7" fillId="0" borderId="0" xfId="0" applyFont="1" applyFill="1" applyAlignment="1">
      <alignment horizontal="center"/>
    </xf>
  </cellXfs>
  <cellStyles count="1148">
    <cellStyle name="_Row1" xfId="188"/>
    <cellStyle name="_Row1 2" xfId="1034"/>
    <cellStyle name="20% - Accent1" xfId="1" builtinId="30" customBuiltin="1"/>
    <cellStyle name="20% - Accent1 10" xfId="246"/>
    <cellStyle name="20% - Accent1 11" xfId="247"/>
    <cellStyle name="20% - Accent1 12" xfId="248"/>
    <cellStyle name="20% - Accent1 13" xfId="249"/>
    <cellStyle name="20% - Accent1 14" xfId="250"/>
    <cellStyle name="20% - Accent1 15" xfId="251"/>
    <cellStyle name="20% - Accent1 16" xfId="252"/>
    <cellStyle name="20% - Accent1 2" xfId="253"/>
    <cellStyle name="20% - Accent1 2 2" xfId="1035"/>
    <cellStyle name="20% - Accent1 3" xfId="254"/>
    <cellStyle name="20% - Accent1 4" xfId="255"/>
    <cellStyle name="20% - Accent1 5" xfId="256"/>
    <cellStyle name="20% - Accent1 6" xfId="257"/>
    <cellStyle name="20% - Accent1 7" xfId="258"/>
    <cellStyle name="20% - Accent1 8" xfId="259"/>
    <cellStyle name="20% - Accent1 9" xfId="260"/>
    <cellStyle name="20% - Accent2" xfId="2" builtinId="34" customBuiltin="1"/>
    <cellStyle name="20% - Accent2 10" xfId="261"/>
    <cellStyle name="20% - Accent2 11" xfId="262"/>
    <cellStyle name="20% - Accent2 12" xfId="263"/>
    <cellStyle name="20% - Accent2 13" xfId="264"/>
    <cellStyle name="20% - Accent2 14" xfId="265"/>
    <cellStyle name="20% - Accent2 15" xfId="266"/>
    <cellStyle name="20% - Accent2 16" xfId="267"/>
    <cellStyle name="20% - Accent2 2" xfId="268"/>
    <cellStyle name="20% - Accent2 2 2" xfId="1036"/>
    <cellStyle name="20% - Accent2 3" xfId="269"/>
    <cellStyle name="20% - Accent2 4" xfId="270"/>
    <cellStyle name="20% - Accent2 5" xfId="271"/>
    <cellStyle name="20% - Accent2 6" xfId="272"/>
    <cellStyle name="20% - Accent2 7" xfId="273"/>
    <cellStyle name="20% - Accent2 8" xfId="274"/>
    <cellStyle name="20% - Accent2 9" xfId="275"/>
    <cellStyle name="20% - Accent3" xfId="3" builtinId="38" customBuiltin="1"/>
    <cellStyle name="20% - Accent3 10" xfId="276"/>
    <cellStyle name="20% - Accent3 11" xfId="277"/>
    <cellStyle name="20% - Accent3 12" xfId="278"/>
    <cellStyle name="20% - Accent3 13" xfId="279"/>
    <cellStyle name="20% - Accent3 14" xfId="280"/>
    <cellStyle name="20% - Accent3 15" xfId="281"/>
    <cellStyle name="20% - Accent3 16" xfId="282"/>
    <cellStyle name="20% - Accent3 2" xfId="283"/>
    <cellStyle name="20% - Accent3 2 2" xfId="1037"/>
    <cellStyle name="20% - Accent3 3" xfId="284"/>
    <cellStyle name="20% - Accent3 4" xfId="285"/>
    <cellStyle name="20% - Accent3 5" xfId="286"/>
    <cellStyle name="20% - Accent3 6" xfId="287"/>
    <cellStyle name="20% - Accent3 7" xfId="288"/>
    <cellStyle name="20% - Accent3 8" xfId="289"/>
    <cellStyle name="20% - Accent3 9" xfId="290"/>
    <cellStyle name="20% - Accent4" xfId="4" builtinId="42" customBuiltin="1"/>
    <cellStyle name="20% - Accent4 10" xfId="291"/>
    <cellStyle name="20% - Accent4 11" xfId="292"/>
    <cellStyle name="20% - Accent4 12" xfId="293"/>
    <cellStyle name="20% - Accent4 13" xfId="294"/>
    <cellStyle name="20% - Accent4 14" xfId="295"/>
    <cellStyle name="20% - Accent4 15" xfId="296"/>
    <cellStyle name="20% - Accent4 16" xfId="297"/>
    <cellStyle name="20% - Accent4 2" xfId="298"/>
    <cellStyle name="20% - Accent4 2 2" xfId="1038"/>
    <cellStyle name="20% - Accent4 3" xfId="299"/>
    <cellStyle name="20% - Accent4 4" xfId="300"/>
    <cellStyle name="20% - Accent4 5" xfId="301"/>
    <cellStyle name="20% - Accent4 6" xfId="302"/>
    <cellStyle name="20% - Accent4 7" xfId="303"/>
    <cellStyle name="20% - Accent4 8" xfId="304"/>
    <cellStyle name="20% - Accent4 9" xfId="305"/>
    <cellStyle name="20% - Accent5" xfId="5" builtinId="46" customBuiltin="1"/>
    <cellStyle name="20% - Accent5 10" xfId="306"/>
    <cellStyle name="20% - Accent5 11" xfId="307"/>
    <cellStyle name="20% - Accent5 12" xfId="308"/>
    <cellStyle name="20% - Accent5 13" xfId="309"/>
    <cellStyle name="20% - Accent5 14" xfId="310"/>
    <cellStyle name="20% - Accent5 15" xfId="311"/>
    <cellStyle name="20% - Accent5 16" xfId="312"/>
    <cellStyle name="20% - Accent5 2" xfId="313"/>
    <cellStyle name="20% - Accent5 2 2" xfId="1039"/>
    <cellStyle name="20% - Accent5 3" xfId="314"/>
    <cellStyle name="20% - Accent5 4" xfId="315"/>
    <cellStyle name="20% - Accent5 5" xfId="316"/>
    <cellStyle name="20% - Accent5 6" xfId="317"/>
    <cellStyle name="20% - Accent5 7" xfId="318"/>
    <cellStyle name="20% - Accent5 8" xfId="319"/>
    <cellStyle name="20% - Accent5 9" xfId="320"/>
    <cellStyle name="20% - Accent6" xfId="6" builtinId="50" customBuiltin="1"/>
    <cellStyle name="20% - Accent6 10" xfId="321"/>
    <cellStyle name="20% - Accent6 11" xfId="322"/>
    <cellStyle name="20% - Accent6 12" xfId="323"/>
    <cellStyle name="20% - Accent6 13" xfId="324"/>
    <cellStyle name="20% - Accent6 14" xfId="325"/>
    <cellStyle name="20% - Accent6 15" xfId="326"/>
    <cellStyle name="20% - Accent6 16" xfId="327"/>
    <cellStyle name="20% - Accent6 2" xfId="328"/>
    <cellStyle name="20% - Accent6 2 2" xfId="1040"/>
    <cellStyle name="20% - Accent6 3" xfId="329"/>
    <cellStyle name="20% - Accent6 4" xfId="330"/>
    <cellStyle name="20% - Accent6 5" xfId="331"/>
    <cellStyle name="20% - Accent6 6" xfId="332"/>
    <cellStyle name="20% - Accent6 7" xfId="333"/>
    <cellStyle name="20% - Accent6 8" xfId="334"/>
    <cellStyle name="20% - Accent6 9" xfId="335"/>
    <cellStyle name="40% - Accent1" xfId="7" builtinId="31" customBuiltin="1"/>
    <cellStyle name="40% - Accent1 10" xfId="336"/>
    <cellStyle name="40% - Accent1 11" xfId="337"/>
    <cellStyle name="40% - Accent1 12" xfId="338"/>
    <cellStyle name="40% - Accent1 13" xfId="339"/>
    <cellStyle name="40% - Accent1 14" xfId="340"/>
    <cellStyle name="40% - Accent1 15" xfId="341"/>
    <cellStyle name="40% - Accent1 16" xfId="342"/>
    <cellStyle name="40% - Accent1 2" xfId="343"/>
    <cellStyle name="40% - Accent1 2 2" xfId="1041"/>
    <cellStyle name="40% - Accent1 3" xfId="344"/>
    <cellStyle name="40% - Accent1 4" xfId="345"/>
    <cellStyle name="40% - Accent1 5" xfId="346"/>
    <cellStyle name="40% - Accent1 6" xfId="347"/>
    <cellStyle name="40% - Accent1 7" xfId="348"/>
    <cellStyle name="40% - Accent1 8" xfId="349"/>
    <cellStyle name="40% - Accent1 9" xfId="350"/>
    <cellStyle name="40% - Accent2" xfId="8" builtinId="35" customBuiltin="1"/>
    <cellStyle name="40% - Accent2 10" xfId="351"/>
    <cellStyle name="40% - Accent2 11" xfId="352"/>
    <cellStyle name="40% - Accent2 12" xfId="353"/>
    <cellStyle name="40% - Accent2 13" xfId="354"/>
    <cellStyle name="40% - Accent2 14" xfId="355"/>
    <cellStyle name="40% - Accent2 15" xfId="356"/>
    <cellStyle name="40% - Accent2 16" xfId="357"/>
    <cellStyle name="40% - Accent2 2" xfId="358"/>
    <cellStyle name="40% - Accent2 2 2" xfId="1042"/>
    <cellStyle name="40% - Accent2 3" xfId="359"/>
    <cellStyle name="40% - Accent2 4" xfId="360"/>
    <cellStyle name="40% - Accent2 5" xfId="361"/>
    <cellStyle name="40% - Accent2 6" xfId="362"/>
    <cellStyle name="40% - Accent2 7" xfId="363"/>
    <cellStyle name="40% - Accent2 8" xfId="364"/>
    <cellStyle name="40% - Accent2 9" xfId="365"/>
    <cellStyle name="40% - Accent3" xfId="9" builtinId="39" customBuiltin="1"/>
    <cellStyle name="40% - Accent3 10" xfId="366"/>
    <cellStyle name="40% - Accent3 11" xfId="367"/>
    <cellStyle name="40% - Accent3 12" xfId="368"/>
    <cellStyle name="40% - Accent3 13" xfId="369"/>
    <cellStyle name="40% - Accent3 14" xfId="370"/>
    <cellStyle name="40% - Accent3 15" xfId="371"/>
    <cellStyle name="40% - Accent3 16" xfId="372"/>
    <cellStyle name="40% - Accent3 2" xfId="373"/>
    <cellStyle name="40% - Accent3 2 2" xfId="1043"/>
    <cellStyle name="40% - Accent3 3" xfId="374"/>
    <cellStyle name="40% - Accent3 4" xfId="375"/>
    <cellStyle name="40% - Accent3 5" xfId="376"/>
    <cellStyle name="40% - Accent3 6" xfId="377"/>
    <cellStyle name="40% - Accent3 7" xfId="378"/>
    <cellStyle name="40% - Accent3 8" xfId="379"/>
    <cellStyle name="40% - Accent3 9" xfId="380"/>
    <cellStyle name="40% - Accent4" xfId="10" builtinId="43" customBuiltin="1"/>
    <cellStyle name="40% - Accent4 10" xfId="381"/>
    <cellStyle name="40% - Accent4 11" xfId="382"/>
    <cellStyle name="40% - Accent4 12" xfId="383"/>
    <cellStyle name="40% - Accent4 13" xfId="384"/>
    <cellStyle name="40% - Accent4 14" xfId="385"/>
    <cellStyle name="40% - Accent4 15" xfId="386"/>
    <cellStyle name="40% - Accent4 16" xfId="387"/>
    <cellStyle name="40% - Accent4 2" xfId="388"/>
    <cellStyle name="40% - Accent4 2 2" xfId="1044"/>
    <cellStyle name="40% - Accent4 3" xfId="389"/>
    <cellStyle name="40% - Accent4 4" xfId="390"/>
    <cellStyle name="40% - Accent4 5" xfId="391"/>
    <cellStyle name="40% - Accent4 6" xfId="392"/>
    <cellStyle name="40% - Accent4 7" xfId="393"/>
    <cellStyle name="40% - Accent4 8" xfId="394"/>
    <cellStyle name="40% - Accent4 9" xfId="395"/>
    <cellStyle name="40% - Accent5" xfId="11" builtinId="47" customBuiltin="1"/>
    <cellStyle name="40% - Accent5 10" xfId="396"/>
    <cellStyle name="40% - Accent5 11" xfId="397"/>
    <cellStyle name="40% - Accent5 12" xfId="398"/>
    <cellStyle name="40% - Accent5 13" xfId="399"/>
    <cellStyle name="40% - Accent5 14" xfId="400"/>
    <cellStyle name="40% - Accent5 15" xfId="401"/>
    <cellStyle name="40% - Accent5 16" xfId="402"/>
    <cellStyle name="40% - Accent5 2" xfId="403"/>
    <cellStyle name="40% - Accent5 2 2" xfId="1045"/>
    <cellStyle name="40% - Accent5 3" xfId="404"/>
    <cellStyle name="40% - Accent5 4" xfId="405"/>
    <cellStyle name="40% - Accent5 5" xfId="406"/>
    <cellStyle name="40% - Accent5 6" xfId="407"/>
    <cellStyle name="40% - Accent5 7" xfId="408"/>
    <cellStyle name="40% - Accent5 8" xfId="409"/>
    <cellStyle name="40% - Accent5 9" xfId="410"/>
    <cellStyle name="40% - Accent6" xfId="12" builtinId="51" customBuiltin="1"/>
    <cellStyle name="40% - Accent6 10" xfId="411"/>
    <cellStyle name="40% - Accent6 11" xfId="412"/>
    <cellStyle name="40% - Accent6 12" xfId="413"/>
    <cellStyle name="40% - Accent6 13" xfId="414"/>
    <cellStyle name="40% - Accent6 14" xfId="415"/>
    <cellStyle name="40% - Accent6 15" xfId="416"/>
    <cellStyle name="40% - Accent6 16" xfId="417"/>
    <cellStyle name="40% - Accent6 2" xfId="418"/>
    <cellStyle name="40% - Accent6 2 2" xfId="1046"/>
    <cellStyle name="40% - Accent6 3" xfId="419"/>
    <cellStyle name="40% - Accent6 4" xfId="420"/>
    <cellStyle name="40% - Accent6 5" xfId="421"/>
    <cellStyle name="40% - Accent6 6" xfId="422"/>
    <cellStyle name="40% - Accent6 7" xfId="423"/>
    <cellStyle name="40% - Accent6 8" xfId="424"/>
    <cellStyle name="40% - Accent6 9" xfId="425"/>
    <cellStyle name="60% - Accent1" xfId="13" builtinId="32" customBuiltin="1"/>
    <cellStyle name="60% - Accent1 10" xfId="426"/>
    <cellStyle name="60% - Accent1 11" xfId="427"/>
    <cellStyle name="60% - Accent1 12" xfId="428"/>
    <cellStyle name="60% - Accent1 13" xfId="429"/>
    <cellStyle name="60% - Accent1 14" xfId="430"/>
    <cellStyle name="60% - Accent1 15" xfId="431"/>
    <cellStyle name="60% - Accent1 16" xfId="432"/>
    <cellStyle name="60% - Accent1 2" xfId="433"/>
    <cellStyle name="60% - Accent1 3" xfId="434"/>
    <cellStyle name="60% - Accent1 4" xfId="435"/>
    <cellStyle name="60% - Accent1 5" xfId="436"/>
    <cellStyle name="60% - Accent1 6" xfId="437"/>
    <cellStyle name="60% - Accent1 7" xfId="438"/>
    <cellStyle name="60% - Accent1 8" xfId="439"/>
    <cellStyle name="60% - Accent1 9" xfId="440"/>
    <cellStyle name="60% - Accent2" xfId="14" builtinId="36" customBuiltin="1"/>
    <cellStyle name="60% - Accent2 10" xfId="441"/>
    <cellStyle name="60% - Accent2 11" xfId="442"/>
    <cellStyle name="60% - Accent2 12" xfId="443"/>
    <cellStyle name="60% - Accent2 13" xfId="444"/>
    <cellStyle name="60% - Accent2 14" xfId="445"/>
    <cellStyle name="60% - Accent2 15" xfId="446"/>
    <cellStyle name="60% - Accent2 16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15" builtinId="40" customBuiltin="1"/>
    <cellStyle name="60% - Accent3 10" xfId="456"/>
    <cellStyle name="60% - Accent3 11" xfId="457"/>
    <cellStyle name="60% - Accent3 12" xfId="458"/>
    <cellStyle name="60% - Accent3 13" xfId="459"/>
    <cellStyle name="60% - Accent3 14" xfId="460"/>
    <cellStyle name="60% - Accent3 15" xfId="461"/>
    <cellStyle name="60% - Accent3 16" xfId="462"/>
    <cellStyle name="60% - Accent3 2" xfId="463"/>
    <cellStyle name="60% - Accent3 3" xfId="464"/>
    <cellStyle name="60% - Accent3 4" xfId="465"/>
    <cellStyle name="60% - Accent3 5" xfId="466"/>
    <cellStyle name="60% - Accent3 6" xfId="467"/>
    <cellStyle name="60% - Accent3 7" xfId="468"/>
    <cellStyle name="60% - Accent3 8" xfId="469"/>
    <cellStyle name="60% - Accent3 9" xfId="470"/>
    <cellStyle name="60% - Accent4" xfId="16" builtinId="44" customBuiltin="1"/>
    <cellStyle name="60% - Accent4 10" xfId="471"/>
    <cellStyle name="60% - Accent4 11" xfId="472"/>
    <cellStyle name="60% - Accent4 12" xfId="473"/>
    <cellStyle name="60% - Accent4 13" xfId="474"/>
    <cellStyle name="60% - Accent4 14" xfId="475"/>
    <cellStyle name="60% - Accent4 15" xfId="476"/>
    <cellStyle name="60% - Accent4 16" xfId="477"/>
    <cellStyle name="60% - Accent4 2" xfId="478"/>
    <cellStyle name="60% - Accent4 3" xfId="479"/>
    <cellStyle name="60% - Accent4 4" xfId="480"/>
    <cellStyle name="60% - Accent4 5" xfId="481"/>
    <cellStyle name="60% - Accent4 6" xfId="482"/>
    <cellStyle name="60% - Accent4 7" xfId="483"/>
    <cellStyle name="60% - Accent4 8" xfId="484"/>
    <cellStyle name="60% - Accent4 9" xfId="485"/>
    <cellStyle name="60% - Accent5" xfId="17" builtinId="48" customBuiltin="1"/>
    <cellStyle name="60% - Accent5 10" xfId="486"/>
    <cellStyle name="60% - Accent5 11" xfId="487"/>
    <cellStyle name="60% - Accent5 12" xfId="488"/>
    <cellStyle name="60% - Accent5 13" xfId="489"/>
    <cellStyle name="60% - Accent5 14" xfId="490"/>
    <cellStyle name="60% - Accent5 15" xfId="491"/>
    <cellStyle name="60% - Accent5 16" xfId="492"/>
    <cellStyle name="60% - Accent5 2" xfId="493"/>
    <cellStyle name="60% - Accent5 3" xfId="494"/>
    <cellStyle name="60% - Accent5 4" xfId="495"/>
    <cellStyle name="60% - Accent5 5" xfId="496"/>
    <cellStyle name="60% - Accent5 6" xfId="497"/>
    <cellStyle name="60% - Accent5 7" xfId="498"/>
    <cellStyle name="60% - Accent5 8" xfId="499"/>
    <cellStyle name="60% - Accent5 9" xfId="500"/>
    <cellStyle name="60% - Accent6" xfId="18" builtinId="52" customBuiltin="1"/>
    <cellStyle name="60% - Accent6 10" xfId="501"/>
    <cellStyle name="60% - Accent6 11" xfId="502"/>
    <cellStyle name="60% - Accent6 12" xfId="503"/>
    <cellStyle name="60% - Accent6 13" xfId="504"/>
    <cellStyle name="60% - Accent6 14" xfId="505"/>
    <cellStyle name="60% - Accent6 15" xfId="506"/>
    <cellStyle name="60% - Accent6 16" xfId="507"/>
    <cellStyle name="60% - Accent6 2" xfId="508"/>
    <cellStyle name="60% - Accent6 3" xfId="509"/>
    <cellStyle name="60% - Accent6 4" xfId="510"/>
    <cellStyle name="60% - Accent6 5" xfId="511"/>
    <cellStyle name="60% - Accent6 6" xfId="512"/>
    <cellStyle name="60% - Accent6 7" xfId="513"/>
    <cellStyle name="60% - Accent6 8" xfId="514"/>
    <cellStyle name="60% - Accent6 9" xfId="515"/>
    <cellStyle name="Accent1" xfId="19" builtinId="29" customBuiltin="1"/>
    <cellStyle name="Accent1 10" xfId="516"/>
    <cellStyle name="Accent1 11" xfId="517"/>
    <cellStyle name="Accent1 12" xfId="518"/>
    <cellStyle name="Accent1 13" xfId="519"/>
    <cellStyle name="Accent1 14" xfId="520"/>
    <cellStyle name="Accent1 15" xfId="521"/>
    <cellStyle name="Accent1 16" xfId="522"/>
    <cellStyle name="Accent1 2" xfId="523"/>
    <cellStyle name="Accent1 3" xfId="524"/>
    <cellStyle name="Accent1 4" xfId="525"/>
    <cellStyle name="Accent1 5" xfId="526"/>
    <cellStyle name="Accent1 6" xfId="527"/>
    <cellStyle name="Accent1 7" xfId="528"/>
    <cellStyle name="Accent1 8" xfId="529"/>
    <cellStyle name="Accent1 9" xfId="530"/>
    <cellStyle name="Accent2" xfId="20" builtinId="33" customBuiltin="1"/>
    <cellStyle name="Accent2 10" xfId="531"/>
    <cellStyle name="Accent2 11" xfId="532"/>
    <cellStyle name="Accent2 12" xfId="533"/>
    <cellStyle name="Accent2 13" xfId="534"/>
    <cellStyle name="Accent2 14" xfId="535"/>
    <cellStyle name="Accent2 15" xfId="536"/>
    <cellStyle name="Accent2 16" xfId="537"/>
    <cellStyle name="Accent2 2" xfId="538"/>
    <cellStyle name="Accent2 3" xfId="539"/>
    <cellStyle name="Accent2 4" xfId="540"/>
    <cellStyle name="Accent2 5" xfId="541"/>
    <cellStyle name="Accent2 6" xfId="542"/>
    <cellStyle name="Accent2 7" xfId="543"/>
    <cellStyle name="Accent2 8" xfId="544"/>
    <cellStyle name="Accent2 9" xfId="545"/>
    <cellStyle name="Accent3" xfId="21" builtinId="37" customBuiltin="1"/>
    <cellStyle name="Accent3 10" xfId="546"/>
    <cellStyle name="Accent3 11" xfId="547"/>
    <cellStyle name="Accent3 12" xfId="548"/>
    <cellStyle name="Accent3 13" xfId="549"/>
    <cellStyle name="Accent3 14" xfId="550"/>
    <cellStyle name="Accent3 15" xfId="551"/>
    <cellStyle name="Accent3 16" xfId="552"/>
    <cellStyle name="Accent3 2" xfId="553"/>
    <cellStyle name="Accent3 3" xfId="554"/>
    <cellStyle name="Accent3 4" xfId="555"/>
    <cellStyle name="Accent3 5" xfId="556"/>
    <cellStyle name="Accent3 6" xfId="557"/>
    <cellStyle name="Accent3 7" xfId="558"/>
    <cellStyle name="Accent3 8" xfId="559"/>
    <cellStyle name="Accent3 9" xfId="560"/>
    <cellStyle name="Accent4" xfId="22" builtinId="41" customBuiltin="1"/>
    <cellStyle name="Accent4 10" xfId="561"/>
    <cellStyle name="Accent4 11" xfId="562"/>
    <cellStyle name="Accent4 12" xfId="563"/>
    <cellStyle name="Accent4 13" xfId="564"/>
    <cellStyle name="Accent4 14" xfId="565"/>
    <cellStyle name="Accent4 15" xfId="566"/>
    <cellStyle name="Accent4 16" xfId="567"/>
    <cellStyle name="Accent4 2" xfId="568"/>
    <cellStyle name="Accent4 3" xfId="569"/>
    <cellStyle name="Accent4 4" xfId="570"/>
    <cellStyle name="Accent4 5" xfId="571"/>
    <cellStyle name="Accent4 6" xfId="572"/>
    <cellStyle name="Accent4 7" xfId="573"/>
    <cellStyle name="Accent4 8" xfId="574"/>
    <cellStyle name="Accent4 9" xfId="575"/>
    <cellStyle name="Accent5" xfId="23" builtinId="45" customBuiltin="1"/>
    <cellStyle name="Accent5 10" xfId="576"/>
    <cellStyle name="Accent5 11" xfId="577"/>
    <cellStyle name="Accent5 12" xfId="578"/>
    <cellStyle name="Accent5 13" xfId="579"/>
    <cellStyle name="Accent5 14" xfId="580"/>
    <cellStyle name="Accent5 15" xfId="581"/>
    <cellStyle name="Accent5 16" xfId="582"/>
    <cellStyle name="Accent5 2" xfId="583"/>
    <cellStyle name="Accent5 3" xfId="584"/>
    <cellStyle name="Accent5 4" xfId="585"/>
    <cellStyle name="Accent5 5" xfId="586"/>
    <cellStyle name="Accent5 6" xfId="587"/>
    <cellStyle name="Accent5 7" xfId="588"/>
    <cellStyle name="Accent5 8" xfId="589"/>
    <cellStyle name="Accent5 9" xfId="590"/>
    <cellStyle name="Accent6" xfId="24" builtinId="49" customBuiltin="1"/>
    <cellStyle name="Accent6 10" xfId="591"/>
    <cellStyle name="Accent6 11" xfId="592"/>
    <cellStyle name="Accent6 12" xfId="593"/>
    <cellStyle name="Accent6 13" xfId="594"/>
    <cellStyle name="Accent6 14" xfId="595"/>
    <cellStyle name="Accent6 15" xfId="596"/>
    <cellStyle name="Accent6 16" xfId="597"/>
    <cellStyle name="Accent6 2" xfId="598"/>
    <cellStyle name="Accent6 3" xfId="599"/>
    <cellStyle name="Accent6 4" xfId="600"/>
    <cellStyle name="Accent6 5" xfId="601"/>
    <cellStyle name="Accent6 6" xfId="602"/>
    <cellStyle name="Accent6 7" xfId="603"/>
    <cellStyle name="Accent6 8" xfId="604"/>
    <cellStyle name="Accent6 9" xfId="605"/>
    <cellStyle name="Bad" xfId="25" builtinId="27" customBuiltin="1"/>
    <cellStyle name="Bad 10" xfId="606"/>
    <cellStyle name="Bad 11" xfId="607"/>
    <cellStyle name="Bad 12" xfId="608"/>
    <cellStyle name="Bad 13" xfId="609"/>
    <cellStyle name="Bad 14" xfId="610"/>
    <cellStyle name="Bad 15" xfId="611"/>
    <cellStyle name="Bad 16" xfId="612"/>
    <cellStyle name="Bad 2" xfId="613"/>
    <cellStyle name="Bad 3" xfId="614"/>
    <cellStyle name="Bad 4" xfId="615"/>
    <cellStyle name="Bad 5" xfId="616"/>
    <cellStyle name="Bad 6" xfId="617"/>
    <cellStyle name="Bad 7" xfId="618"/>
    <cellStyle name="Bad 8" xfId="619"/>
    <cellStyle name="Bad 9" xfId="620"/>
    <cellStyle name="c" xfId="26"/>
    <cellStyle name="Calculation" xfId="27" builtinId="22" customBuiltin="1"/>
    <cellStyle name="Calculation 10" xfId="621"/>
    <cellStyle name="Calculation 11" xfId="622"/>
    <cellStyle name="Calculation 12" xfId="623"/>
    <cellStyle name="Calculation 13" xfId="624"/>
    <cellStyle name="Calculation 14" xfId="625"/>
    <cellStyle name="Calculation 15" xfId="626"/>
    <cellStyle name="Calculation 16" xfId="627"/>
    <cellStyle name="Calculation 2" xfId="628"/>
    <cellStyle name="Calculation 3" xfId="629"/>
    <cellStyle name="Calculation 4" xfId="630"/>
    <cellStyle name="Calculation 5" xfId="631"/>
    <cellStyle name="Calculation 6" xfId="632"/>
    <cellStyle name="Calculation 7" xfId="633"/>
    <cellStyle name="Calculation 8" xfId="634"/>
    <cellStyle name="Calculation 9" xfId="635"/>
    <cellStyle name="Check Cell" xfId="28" builtinId="23" customBuiltin="1"/>
    <cellStyle name="Check Cell 10" xfId="636"/>
    <cellStyle name="Check Cell 11" xfId="637"/>
    <cellStyle name="Check Cell 12" xfId="638"/>
    <cellStyle name="Check Cell 13" xfId="639"/>
    <cellStyle name="Check Cell 14" xfId="640"/>
    <cellStyle name="Check Cell 15" xfId="641"/>
    <cellStyle name="Check Cell 16" xfId="642"/>
    <cellStyle name="Check Cell 2" xfId="643"/>
    <cellStyle name="Check Cell 3" xfId="644"/>
    <cellStyle name="Check Cell 4" xfId="645"/>
    <cellStyle name="Check Cell 5" xfId="646"/>
    <cellStyle name="Check Cell 6" xfId="647"/>
    <cellStyle name="Check Cell 7" xfId="648"/>
    <cellStyle name="Check Cell 8" xfId="649"/>
    <cellStyle name="Check Cell 9" xfId="650"/>
    <cellStyle name="CodeEingabe" xfId="189"/>
    <cellStyle name="ColumnAttributeAbovePrompt" xfId="29"/>
    <cellStyle name="ColumnAttributePrompt" xfId="30"/>
    <cellStyle name="ColumnAttributeValue" xfId="31"/>
    <cellStyle name="ColumnHeadingPrompt" xfId="32"/>
    <cellStyle name="ColumnHeadingValue" xfId="33"/>
    <cellStyle name="Comma" xfId="34" builtinId="3"/>
    <cellStyle name="Comma [0] 2" xfId="35"/>
    <cellStyle name="Comma [0] 2 2" xfId="1047"/>
    <cellStyle name="Comma [0] 3" xfId="651"/>
    <cellStyle name="Comma [0] 4" xfId="652"/>
    <cellStyle name="Comma 10" xfId="190"/>
    <cellStyle name="Comma 10 2" xfId="1048"/>
    <cellStyle name="Comma 11" xfId="653"/>
    <cellStyle name="Comma 11 2" xfId="1049"/>
    <cellStyle name="Comma 12" xfId="1147"/>
    <cellStyle name="Comma 2" xfId="36"/>
    <cellStyle name="Comma 2 10" xfId="654"/>
    <cellStyle name="Comma 2 11" xfId="655"/>
    <cellStyle name="Comma 2 12" xfId="656"/>
    <cellStyle name="Comma 2 13" xfId="657"/>
    <cellStyle name="Comma 2 14" xfId="658"/>
    <cellStyle name="Comma 2 15" xfId="659"/>
    <cellStyle name="Comma 2 2" xfId="660"/>
    <cellStyle name="Comma 2 3" xfId="661"/>
    <cellStyle name="Comma 2 4" xfId="662"/>
    <cellStyle name="Comma 2 5" xfId="663"/>
    <cellStyle name="Comma 2 6" xfId="664"/>
    <cellStyle name="Comma 2 7" xfId="665"/>
    <cellStyle name="Comma 2 8" xfId="666"/>
    <cellStyle name="Comma 2 9" xfId="667"/>
    <cellStyle name="Comma 3" xfId="37"/>
    <cellStyle name="Comma 3 2" xfId="668"/>
    <cellStyle name="Comma 31" xfId="191"/>
    <cellStyle name="Comma 31 2" xfId="1050"/>
    <cellStyle name="Comma 4" xfId="38"/>
    <cellStyle name="Comma 5" xfId="138"/>
    <cellStyle name="Comma 5 2" xfId="669"/>
    <cellStyle name="Comma 6" xfId="192"/>
    <cellStyle name="Comma 6 2" xfId="1051"/>
    <cellStyle name="Comma 7" xfId="670"/>
    <cellStyle name="Comma 8" xfId="671"/>
    <cellStyle name="Comma 8 2" xfId="1052"/>
    <cellStyle name="Comma 9" xfId="672"/>
    <cellStyle name="Comma0" xfId="39"/>
    <cellStyle name="Comma0 2" xfId="156"/>
    <cellStyle name="Comma0 2 2" xfId="1053"/>
    <cellStyle name="Comma0 3" xfId="155"/>
    <cellStyle name="Comma0 3 2" xfId="1054"/>
    <cellStyle name="Comma0_SCH11 Not Done" xfId="673"/>
    <cellStyle name="Currency" xfId="40" builtinId="4"/>
    <cellStyle name="Currency 10" xfId="193"/>
    <cellStyle name="Currency 10 2" xfId="1055"/>
    <cellStyle name="Currency 2" xfId="41"/>
    <cellStyle name="Currency 2 2" xfId="674"/>
    <cellStyle name="Currency 2 3" xfId="675"/>
    <cellStyle name="Currency 3" xfId="139"/>
    <cellStyle name="Currency 3 2" xfId="676"/>
    <cellStyle name="Currency 4" xfId="194"/>
    <cellStyle name="Currency 4 2" xfId="1056"/>
    <cellStyle name="Currency 5" xfId="677"/>
    <cellStyle name="Currency 5 2" xfId="1057"/>
    <cellStyle name="Currency 6" xfId="678"/>
    <cellStyle name="Currency 7" xfId="679"/>
    <cellStyle name="Currency 7 2" xfId="1058"/>
    <cellStyle name="Currency0" xfId="42"/>
    <cellStyle name="Currency0 2" xfId="157"/>
    <cellStyle name="Currency0 2 2" xfId="1059"/>
    <cellStyle name="Currency0 3" xfId="154"/>
    <cellStyle name="Currency0 3 2" xfId="1060"/>
    <cellStyle name="Date" xfId="43"/>
    <cellStyle name="Date 2" xfId="158"/>
    <cellStyle name="Date 2 2" xfId="1061"/>
    <cellStyle name="Date 3" xfId="153"/>
    <cellStyle name="Date 3 2" xfId="1062"/>
    <cellStyle name="Eingabe" xfId="195"/>
    <cellStyle name="Eingabe 2" xfId="1063"/>
    <cellStyle name="Euro" xfId="44"/>
    <cellStyle name="Euro 2" xfId="159"/>
    <cellStyle name="Euro 2 2" xfId="1064"/>
    <cellStyle name="Euro 3" xfId="152"/>
    <cellStyle name="Euro 3 2" xfId="1065"/>
    <cellStyle name="Explanatory Text" xfId="45" builtinId="53" customBuiltin="1"/>
    <cellStyle name="Explanatory Text 10" xfId="680"/>
    <cellStyle name="Explanatory Text 11" xfId="681"/>
    <cellStyle name="Explanatory Text 12" xfId="682"/>
    <cellStyle name="Explanatory Text 13" xfId="683"/>
    <cellStyle name="Explanatory Text 14" xfId="684"/>
    <cellStyle name="Explanatory Text 15" xfId="685"/>
    <cellStyle name="Explanatory Text 16" xfId="686"/>
    <cellStyle name="Explanatory Text 2" xfId="687"/>
    <cellStyle name="Explanatory Text 3" xfId="688"/>
    <cellStyle name="Explanatory Text 4" xfId="689"/>
    <cellStyle name="Explanatory Text 5" xfId="690"/>
    <cellStyle name="Explanatory Text 6" xfId="691"/>
    <cellStyle name="Explanatory Text 7" xfId="692"/>
    <cellStyle name="Explanatory Text 8" xfId="693"/>
    <cellStyle name="Explanatory Text 9" xfId="694"/>
    <cellStyle name="F2" xfId="46"/>
    <cellStyle name="F2 2" xfId="160"/>
    <cellStyle name="F2 2 2" xfId="1066"/>
    <cellStyle name="F2 3" xfId="151"/>
    <cellStyle name="F2 3 2" xfId="1067"/>
    <cellStyle name="F2 4" xfId="695"/>
    <cellStyle name="F2 5" xfId="696"/>
    <cellStyle name="F2 6" xfId="697"/>
    <cellStyle name="F2 7" xfId="698"/>
    <cellStyle name="F2 8" xfId="699"/>
    <cellStyle name="F2 9" xfId="700"/>
    <cellStyle name="F2_Regenerated Revenues LGE Gas 2008-04 with Elec Gen-Seelye final version " xfId="701"/>
    <cellStyle name="F3" xfId="47"/>
    <cellStyle name="F3 2" xfId="161"/>
    <cellStyle name="F3 2 2" xfId="1068"/>
    <cellStyle name="F3 3" xfId="150"/>
    <cellStyle name="F3 3 2" xfId="1069"/>
    <cellStyle name="F3 4" xfId="702"/>
    <cellStyle name="F3 5" xfId="703"/>
    <cellStyle name="F3 6" xfId="704"/>
    <cellStyle name="F3 7" xfId="705"/>
    <cellStyle name="F3 8" xfId="706"/>
    <cellStyle name="F3 9" xfId="707"/>
    <cellStyle name="F3_Regenerated Revenues LGE Gas 2008-04 with Elec Gen-Seelye final version " xfId="708"/>
    <cellStyle name="F4" xfId="48"/>
    <cellStyle name="F4 2" xfId="162"/>
    <cellStyle name="F4 2 2" xfId="1070"/>
    <cellStyle name="F4 3" xfId="149"/>
    <cellStyle name="F4 3 2" xfId="1071"/>
    <cellStyle name="F4 4" xfId="709"/>
    <cellStyle name="F4 5" xfId="710"/>
    <cellStyle name="F4 6" xfId="711"/>
    <cellStyle name="F4 7" xfId="712"/>
    <cellStyle name="F4 8" xfId="713"/>
    <cellStyle name="F4 9" xfId="714"/>
    <cellStyle name="F4_Regenerated Revenues LGE Gas 2008-04 with Elec Gen-Seelye final version " xfId="715"/>
    <cellStyle name="F5" xfId="49"/>
    <cellStyle name="F5 2" xfId="163"/>
    <cellStyle name="F5 2 2" xfId="1072"/>
    <cellStyle name="F5 3" xfId="148"/>
    <cellStyle name="F5 3 2" xfId="1073"/>
    <cellStyle name="F5 4" xfId="716"/>
    <cellStyle name="F5 5" xfId="717"/>
    <cellStyle name="F5 6" xfId="718"/>
    <cellStyle name="F5 7" xfId="719"/>
    <cellStyle name="F5 8" xfId="720"/>
    <cellStyle name="F5 9" xfId="721"/>
    <cellStyle name="F5_Regenerated Revenues LGE Gas 2008-04 with Elec Gen-Seelye final version " xfId="722"/>
    <cellStyle name="F6" xfId="50"/>
    <cellStyle name="F6 2" xfId="164"/>
    <cellStyle name="F6 2 2" xfId="1074"/>
    <cellStyle name="F6 3" xfId="147"/>
    <cellStyle name="F6 3 2" xfId="1075"/>
    <cellStyle name="F6 4" xfId="723"/>
    <cellStyle name="F6 5" xfId="724"/>
    <cellStyle name="F6 6" xfId="725"/>
    <cellStyle name="F6 7" xfId="726"/>
    <cellStyle name="F6 8" xfId="727"/>
    <cellStyle name="F6 9" xfId="728"/>
    <cellStyle name="F6_Regenerated Revenues LGE Gas 2008-04 with Elec Gen-Seelye final version " xfId="729"/>
    <cellStyle name="F7" xfId="51"/>
    <cellStyle name="F7 2" xfId="165"/>
    <cellStyle name="F7 2 2" xfId="1076"/>
    <cellStyle name="F7 3" xfId="146"/>
    <cellStyle name="F7 3 2" xfId="1077"/>
    <cellStyle name="F7 4" xfId="730"/>
    <cellStyle name="F7 5" xfId="731"/>
    <cellStyle name="F7 6" xfId="732"/>
    <cellStyle name="F7 7" xfId="733"/>
    <cellStyle name="F7 8" xfId="734"/>
    <cellStyle name="F7 9" xfId="735"/>
    <cellStyle name="F7_Regenerated Revenues LGE Gas 2008-04 with Elec Gen-Seelye final version " xfId="736"/>
    <cellStyle name="F8" xfId="52"/>
    <cellStyle name="F8 2" xfId="166"/>
    <cellStyle name="F8 2 2" xfId="1078"/>
    <cellStyle name="F8 3" xfId="145"/>
    <cellStyle name="F8 3 2" xfId="1079"/>
    <cellStyle name="F8 4" xfId="737"/>
    <cellStyle name="F8 5" xfId="738"/>
    <cellStyle name="F8 6" xfId="739"/>
    <cellStyle name="F8 7" xfId="740"/>
    <cellStyle name="F8 8" xfId="741"/>
    <cellStyle name="F8 9" xfId="742"/>
    <cellStyle name="F8_Regenerated Revenues LGE Gas 2008-04 with Elec Gen-Seelye final version " xfId="743"/>
    <cellStyle name="Fixed" xfId="53"/>
    <cellStyle name="Fixed 2" xfId="167"/>
    <cellStyle name="Fixed 2 2" xfId="1080"/>
    <cellStyle name="Fixed 3" xfId="144"/>
    <cellStyle name="Fixed 3 2" xfId="1081"/>
    <cellStyle name="Good" xfId="54" builtinId="26" customBuiltin="1"/>
    <cellStyle name="Good 10" xfId="744"/>
    <cellStyle name="Good 11" xfId="745"/>
    <cellStyle name="Good 12" xfId="746"/>
    <cellStyle name="Good 13" xfId="747"/>
    <cellStyle name="Good 14" xfId="748"/>
    <cellStyle name="Good 15" xfId="749"/>
    <cellStyle name="Good 16" xfId="750"/>
    <cellStyle name="Good 2" xfId="751"/>
    <cellStyle name="Good 3" xfId="752"/>
    <cellStyle name="Good 4" xfId="753"/>
    <cellStyle name="Good 5" xfId="754"/>
    <cellStyle name="Good 6" xfId="755"/>
    <cellStyle name="Good 7" xfId="756"/>
    <cellStyle name="Good 8" xfId="757"/>
    <cellStyle name="Good 9" xfId="758"/>
    <cellStyle name="Heading 1" xfId="55" builtinId="16" customBuiltin="1"/>
    <cellStyle name="Heading 1 10" xfId="759"/>
    <cellStyle name="Heading 1 11" xfId="760"/>
    <cellStyle name="Heading 1 12" xfId="761"/>
    <cellStyle name="Heading 1 13" xfId="762"/>
    <cellStyle name="Heading 1 14" xfId="763"/>
    <cellStyle name="Heading 1 15" xfId="764"/>
    <cellStyle name="Heading 1 16" xfId="765"/>
    <cellStyle name="Heading 1 2" xfId="168"/>
    <cellStyle name="Heading 1 2 2" xfId="1082"/>
    <cellStyle name="Heading 1 3" xfId="143"/>
    <cellStyle name="Heading 1 3 2" xfId="1083"/>
    <cellStyle name="Heading 1 4" xfId="766"/>
    <cellStyle name="Heading 1 5" xfId="767"/>
    <cellStyle name="Heading 1 6" xfId="768"/>
    <cellStyle name="Heading 1 7" xfId="769"/>
    <cellStyle name="Heading 1 8" xfId="770"/>
    <cellStyle name="Heading 1 9" xfId="771"/>
    <cellStyle name="Heading 2" xfId="56" builtinId="17" customBuiltin="1"/>
    <cellStyle name="Heading 2 10" xfId="772"/>
    <cellStyle name="Heading 2 11" xfId="773"/>
    <cellStyle name="Heading 2 12" xfId="774"/>
    <cellStyle name="Heading 2 13" xfId="775"/>
    <cellStyle name="Heading 2 14" xfId="776"/>
    <cellStyle name="Heading 2 15" xfId="777"/>
    <cellStyle name="Heading 2 16" xfId="778"/>
    <cellStyle name="Heading 2 2" xfId="169"/>
    <cellStyle name="Heading 2 2 2" xfId="1084"/>
    <cellStyle name="Heading 2 3" xfId="142"/>
    <cellStyle name="Heading 2 3 2" xfId="1085"/>
    <cellStyle name="Heading 2 4" xfId="779"/>
    <cellStyle name="Heading 2 5" xfId="780"/>
    <cellStyle name="Heading 2 6" xfId="781"/>
    <cellStyle name="Heading 2 7" xfId="782"/>
    <cellStyle name="Heading 2 8" xfId="783"/>
    <cellStyle name="Heading 2 9" xfId="784"/>
    <cellStyle name="Heading 3" xfId="57" builtinId="18" customBuiltin="1"/>
    <cellStyle name="Heading 3 10" xfId="785"/>
    <cellStyle name="Heading 3 11" xfId="786"/>
    <cellStyle name="Heading 3 12" xfId="787"/>
    <cellStyle name="Heading 3 13" xfId="788"/>
    <cellStyle name="Heading 3 14" xfId="789"/>
    <cellStyle name="Heading 3 15" xfId="790"/>
    <cellStyle name="Heading 3 16" xfId="791"/>
    <cellStyle name="Heading 3 2" xfId="792"/>
    <cellStyle name="Heading 3 3" xfId="793"/>
    <cellStyle name="Heading 3 4" xfId="794"/>
    <cellStyle name="Heading 3 5" xfId="795"/>
    <cellStyle name="Heading 3 6" xfId="796"/>
    <cellStyle name="Heading 3 7" xfId="797"/>
    <cellStyle name="Heading 3 8" xfId="798"/>
    <cellStyle name="Heading 3 9" xfId="799"/>
    <cellStyle name="Heading 4" xfId="58" builtinId="19" customBuiltin="1"/>
    <cellStyle name="Heading 4 10" xfId="800"/>
    <cellStyle name="Heading 4 11" xfId="801"/>
    <cellStyle name="Heading 4 12" xfId="802"/>
    <cellStyle name="Heading 4 13" xfId="803"/>
    <cellStyle name="Heading 4 14" xfId="804"/>
    <cellStyle name="Heading 4 15" xfId="805"/>
    <cellStyle name="Heading 4 16" xfId="806"/>
    <cellStyle name="Heading 4 2" xfId="807"/>
    <cellStyle name="Heading 4 3" xfId="808"/>
    <cellStyle name="Heading 4 4" xfId="809"/>
    <cellStyle name="Heading 4 5" xfId="810"/>
    <cellStyle name="Heading 4 6" xfId="811"/>
    <cellStyle name="Heading 4 7" xfId="812"/>
    <cellStyle name="Heading 4 8" xfId="813"/>
    <cellStyle name="Heading 4 9" xfId="814"/>
    <cellStyle name="Input" xfId="59" builtinId="20" customBuiltin="1"/>
    <cellStyle name="Input 10" xfId="815"/>
    <cellStyle name="Input 11" xfId="816"/>
    <cellStyle name="Input 12" xfId="817"/>
    <cellStyle name="Input 13" xfId="818"/>
    <cellStyle name="Input 14" xfId="819"/>
    <cellStyle name="Input 15" xfId="820"/>
    <cellStyle name="Input 16" xfId="821"/>
    <cellStyle name="Input 2" xfId="822"/>
    <cellStyle name="Input 3" xfId="823"/>
    <cellStyle name="Input 4" xfId="824"/>
    <cellStyle name="Input 5" xfId="825"/>
    <cellStyle name="Input 6" xfId="826"/>
    <cellStyle name="Input 7" xfId="827"/>
    <cellStyle name="Input 8" xfId="828"/>
    <cellStyle name="Input 9" xfId="829"/>
    <cellStyle name="LineItemPrompt" xfId="60"/>
    <cellStyle name="LineItemValue" xfId="61"/>
    <cellStyle name="Linked Cell" xfId="62" builtinId="24" customBuiltin="1"/>
    <cellStyle name="Linked Cell 10" xfId="830"/>
    <cellStyle name="Linked Cell 11" xfId="831"/>
    <cellStyle name="Linked Cell 12" xfId="832"/>
    <cellStyle name="Linked Cell 13" xfId="833"/>
    <cellStyle name="Linked Cell 14" xfId="834"/>
    <cellStyle name="Linked Cell 15" xfId="835"/>
    <cellStyle name="Linked Cell 16" xfId="836"/>
    <cellStyle name="Linked Cell 2" xfId="837"/>
    <cellStyle name="Linked Cell 3" xfId="838"/>
    <cellStyle name="Linked Cell 4" xfId="839"/>
    <cellStyle name="Linked Cell 5" xfId="840"/>
    <cellStyle name="Linked Cell 6" xfId="841"/>
    <cellStyle name="Linked Cell 7" xfId="842"/>
    <cellStyle name="Linked Cell 8" xfId="843"/>
    <cellStyle name="Linked Cell 9" xfId="844"/>
    <cellStyle name="Neutral" xfId="63" builtinId="28" customBuiltin="1"/>
    <cellStyle name="Neutral 10" xfId="845"/>
    <cellStyle name="Neutral 11" xfId="846"/>
    <cellStyle name="Neutral 12" xfId="847"/>
    <cellStyle name="Neutral 13" xfId="848"/>
    <cellStyle name="Neutral 14" xfId="849"/>
    <cellStyle name="Neutral 15" xfId="850"/>
    <cellStyle name="Neutral 16" xfId="851"/>
    <cellStyle name="Neutral 2" xfId="852"/>
    <cellStyle name="Neutral 3" xfId="853"/>
    <cellStyle name="Neutral 4" xfId="854"/>
    <cellStyle name="Neutral 5" xfId="855"/>
    <cellStyle name="Neutral 6" xfId="856"/>
    <cellStyle name="Neutral 7" xfId="857"/>
    <cellStyle name="Neutral 8" xfId="858"/>
    <cellStyle name="Neutral 9" xfId="859"/>
    <cellStyle name="Normal" xfId="0" builtinId="0"/>
    <cellStyle name="Normal 10" xfId="120"/>
    <cellStyle name="Normal 10 2" xfId="1086"/>
    <cellStyle name="Normal 11" xfId="121"/>
    <cellStyle name="Normal 11 2" xfId="1087"/>
    <cellStyle name="Normal 12" xfId="122"/>
    <cellStyle name="Normal 12 2" xfId="1088"/>
    <cellStyle name="Normal 13" xfId="860"/>
    <cellStyle name="Normal 14" xfId="861"/>
    <cellStyle name="Normal 15" xfId="123"/>
    <cellStyle name="Normal 15 2" xfId="1089"/>
    <cellStyle name="Normal 16" xfId="124"/>
    <cellStyle name="Normal 16 2" xfId="1090"/>
    <cellStyle name="Normal 17" xfId="125"/>
    <cellStyle name="Normal 17 2" xfId="1091"/>
    <cellStyle name="Normal 18" xfId="126"/>
    <cellStyle name="Normal 18 2" xfId="1092"/>
    <cellStyle name="Normal 19" xfId="127"/>
    <cellStyle name="Normal 19 2" xfId="1093"/>
    <cellStyle name="Normal 2" xfId="64"/>
    <cellStyle name="Normal 2 10" xfId="862"/>
    <cellStyle name="Normal 2 11" xfId="863"/>
    <cellStyle name="Normal 2 12" xfId="864"/>
    <cellStyle name="Normal 2 13" xfId="865"/>
    <cellStyle name="Normal 2 14" xfId="866"/>
    <cellStyle name="Normal 2 15" xfId="867"/>
    <cellStyle name="Normal 2 16" xfId="868"/>
    <cellStyle name="Normal 2 17" xfId="869"/>
    <cellStyle name="Normal 2 2" xfId="65"/>
    <cellStyle name="Normal 2 2 2" xfId="870"/>
    <cellStyle name="Normal 2 3" xfId="170"/>
    <cellStyle name="Normal 2 3 2" xfId="1094"/>
    <cellStyle name="Normal 2 4" xfId="141"/>
    <cellStyle name="Normal 2 4 2" xfId="1095"/>
    <cellStyle name="Normal 2 5" xfId="871"/>
    <cellStyle name="Normal 2 6" xfId="872"/>
    <cellStyle name="Normal 2 7" xfId="873"/>
    <cellStyle name="Normal 2 8" xfId="874"/>
    <cellStyle name="Normal 2 9" xfId="875"/>
    <cellStyle name="Normal 2_LGEElecBillingDeterminants2009-10" xfId="876"/>
    <cellStyle name="Normal 20" xfId="196"/>
    <cellStyle name="Normal 20 2" xfId="1096"/>
    <cellStyle name="Normal 21" xfId="197"/>
    <cellStyle name="Normal 21 2" xfId="1097"/>
    <cellStyle name="Normal 22" xfId="128"/>
    <cellStyle name="Normal 22 2" xfId="1098"/>
    <cellStyle name="Normal 23" xfId="129"/>
    <cellStyle name="Normal 23 2" xfId="1099"/>
    <cellStyle name="Normal 24" xfId="130"/>
    <cellStyle name="Normal 24 2" xfId="1100"/>
    <cellStyle name="Normal 25" xfId="131"/>
    <cellStyle name="Normal 25 2" xfId="1101"/>
    <cellStyle name="Normal 26" xfId="132"/>
    <cellStyle name="Normal 26 2" xfId="1102"/>
    <cellStyle name="Normal 27" xfId="133"/>
    <cellStyle name="Normal 27 2" xfId="1103"/>
    <cellStyle name="Normal 28" xfId="198"/>
    <cellStyle name="Normal 28 2" xfId="1104"/>
    <cellStyle name="Normal 29" xfId="199"/>
    <cellStyle name="Normal 29 2" xfId="1105"/>
    <cellStyle name="Normal 3" xfId="66"/>
    <cellStyle name="Normal 3 10" xfId="877"/>
    <cellStyle name="Normal 3 11" xfId="878"/>
    <cellStyle name="Normal 3 12" xfId="879"/>
    <cellStyle name="Normal 3 13" xfId="880"/>
    <cellStyle name="Normal 3 14" xfId="881"/>
    <cellStyle name="Normal 3 15" xfId="882"/>
    <cellStyle name="Normal 3 16" xfId="883"/>
    <cellStyle name="Normal 3 17" xfId="884"/>
    <cellStyle name="Normal 3 2" xfId="885"/>
    <cellStyle name="Normal 3 3" xfId="886"/>
    <cellStyle name="Normal 3 4" xfId="887"/>
    <cellStyle name="Normal 3 5" xfId="888"/>
    <cellStyle name="Normal 3 6" xfId="889"/>
    <cellStyle name="Normal 3 7" xfId="890"/>
    <cellStyle name="Normal 3 8" xfId="891"/>
    <cellStyle name="Normal 3 9" xfId="892"/>
    <cellStyle name="Normal 3_LGEElecBillingDeterminants2009-10" xfId="893"/>
    <cellStyle name="Normal 30" xfId="134"/>
    <cellStyle name="Normal 30 2" xfId="1106"/>
    <cellStyle name="Normal 31" xfId="135"/>
    <cellStyle name="Normal 31 2" xfId="1107"/>
    <cellStyle name="Normal 32" xfId="136"/>
    <cellStyle name="Normal 32 2" xfId="1108"/>
    <cellStyle name="Normal 33" xfId="137"/>
    <cellStyle name="Normal 33 2" xfId="1109"/>
    <cellStyle name="Normal 34" xfId="200"/>
    <cellStyle name="Normal 34 2" xfId="1110"/>
    <cellStyle name="Normal 35" xfId="1146"/>
    <cellStyle name="Normal 4" xfId="67"/>
    <cellStyle name="Normal 4 2" xfId="894"/>
    <cellStyle name="Normal 4 3" xfId="895"/>
    <cellStyle name="Normal 4_Regenerated Revenues LGE Gas 10312009" xfId="896"/>
    <cellStyle name="Normal 5" xfId="201"/>
    <cellStyle name="Normal 5 2" xfId="897"/>
    <cellStyle name="Normal 5 3" xfId="898"/>
    <cellStyle name="Normal 5 4" xfId="1111"/>
    <cellStyle name="Normal 6" xfId="245"/>
    <cellStyle name="Normal 6 2" xfId="899"/>
    <cellStyle name="Normal 6 3" xfId="900"/>
    <cellStyle name="Normal 6 4" xfId="901"/>
    <cellStyle name="Normal 6 4 2" xfId="1112"/>
    <cellStyle name="Normal 7" xfId="117"/>
    <cellStyle name="Normal 7 2" xfId="902"/>
    <cellStyle name="Normal 7 3" xfId="903"/>
    <cellStyle name="Normal 7 4" xfId="1113"/>
    <cellStyle name="Normal 8" xfId="118"/>
    <cellStyle name="Normal 8 2" xfId="904"/>
    <cellStyle name="Normal 8 3" xfId="905"/>
    <cellStyle name="Normal 8 4" xfId="1114"/>
    <cellStyle name="Normal 9" xfId="119"/>
    <cellStyle name="Normal 9 2" xfId="906"/>
    <cellStyle name="Normal 9 3" xfId="907"/>
    <cellStyle name="Normal 9 4" xfId="1115"/>
    <cellStyle name="Normal_2007 Pension_Postretirement Pro-forma Adjustment (2)" xfId="116"/>
    <cellStyle name="Normal_Attachment to Response to PSC-2 Question No  105a" xfId="68"/>
    <cellStyle name="Normal_Composite Tax Rates" xfId="69"/>
    <cellStyle name="Normal_ESM Filings 2002" xfId="70"/>
    <cellStyle name="Normal_ESM Forms 2002 for Doug" xfId="71"/>
    <cellStyle name="Normal_FERC COC" xfId="72"/>
    <cellStyle name="Normal_KU ESM Forms 2001(Final Order 10-16-02)" xfId="73"/>
    <cellStyle name="Normal_KU ESM Forms 2001(Final Order 10-16-02) 2" xfId="243"/>
    <cellStyle name="Normal_KU RR Exhibits 12mosAPR 2008 SETTLEMENT JAN09 (Working File)" xfId="244"/>
    <cellStyle name="Normal_KU VDT Plan Exhibits 12mosJune2005 v7 (FILED)" xfId="74"/>
    <cellStyle name="Normal_RC COMPARISON" xfId="187"/>
    <cellStyle name="Normal_Report (2)" xfId="75"/>
    <cellStyle name="Normal_Tax Adjust" xfId="1145"/>
    <cellStyle name="Normal_Tax Adjust (3)" xfId="76"/>
    <cellStyle name="Note" xfId="77" builtinId="10" customBuiltin="1"/>
    <cellStyle name="Note 10" xfId="908"/>
    <cellStyle name="Note 11" xfId="909"/>
    <cellStyle name="Note 12" xfId="910"/>
    <cellStyle name="Note 13" xfId="911"/>
    <cellStyle name="Note 14" xfId="912"/>
    <cellStyle name="Note 2" xfId="171"/>
    <cellStyle name="Note 2 2" xfId="913"/>
    <cellStyle name="Note 2 3" xfId="914"/>
    <cellStyle name="Note 3" xfId="179"/>
    <cellStyle name="Note 3 2" xfId="915"/>
    <cellStyle name="Note 3 3" xfId="916"/>
    <cellStyle name="Note 4" xfId="917"/>
    <cellStyle name="Note 4 2" xfId="918"/>
    <cellStyle name="Note 4 3" xfId="919"/>
    <cellStyle name="Note 5" xfId="920"/>
    <cellStyle name="Note 5 2" xfId="921"/>
    <cellStyle name="Note 5 3" xfId="922"/>
    <cellStyle name="Note 6" xfId="923"/>
    <cellStyle name="Note 6 2" xfId="924"/>
    <cellStyle name="Note 6 3" xfId="925"/>
    <cellStyle name="Note 7" xfId="926"/>
    <cellStyle name="Note 7 2" xfId="927"/>
    <cellStyle name="Note 7 3" xfId="928"/>
    <cellStyle name="Note 8" xfId="929"/>
    <cellStyle name="Note 8 2" xfId="930"/>
    <cellStyle name="Note 8 3" xfId="931"/>
    <cellStyle name="Note 9" xfId="932"/>
    <cellStyle name="Output" xfId="78" builtinId="21" customBuiltin="1"/>
    <cellStyle name="Output 10" xfId="933"/>
    <cellStyle name="Output 11" xfId="934"/>
    <cellStyle name="Output 12" xfId="935"/>
    <cellStyle name="Output 13" xfId="936"/>
    <cellStyle name="Output 14" xfId="937"/>
    <cellStyle name="Output 15" xfId="938"/>
    <cellStyle name="Output 16" xfId="939"/>
    <cellStyle name="Output 2" xfId="940"/>
    <cellStyle name="Output 3" xfId="941"/>
    <cellStyle name="Output 4" xfId="942"/>
    <cellStyle name="Output 5" xfId="943"/>
    <cellStyle name="Output 6" xfId="944"/>
    <cellStyle name="Output 7" xfId="945"/>
    <cellStyle name="Output 8" xfId="946"/>
    <cellStyle name="Output 9" xfId="947"/>
    <cellStyle name="Output Amounts" xfId="79"/>
    <cellStyle name="Output Column Headings" xfId="80"/>
    <cellStyle name="Output Column Headings 2" xfId="948"/>
    <cellStyle name="Output Column Headings 3" xfId="949"/>
    <cellStyle name="Output Column Headings 4" xfId="950"/>
    <cellStyle name="Output Column Headings 5" xfId="951"/>
    <cellStyle name="Output Column Headings 6" xfId="952"/>
    <cellStyle name="Output Column Headings 7" xfId="953"/>
    <cellStyle name="Output Column Headings 8" xfId="954"/>
    <cellStyle name="Output Column Headings 9" xfId="955"/>
    <cellStyle name="Output Column Headings_Regenerated Revenues LGE Gas 2008-04 with Elec Gen-Seelye final version " xfId="956"/>
    <cellStyle name="Output Line Items" xfId="81"/>
    <cellStyle name="Output Line Items 2" xfId="957"/>
    <cellStyle name="Output Line Items 3" xfId="958"/>
    <cellStyle name="Output Line Items 4" xfId="959"/>
    <cellStyle name="Output Line Items 5" xfId="960"/>
    <cellStyle name="Output Line Items 6" xfId="961"/>
    <cellStyle name="Output Line Items 7" xfId="962"/>
    <cellStyle name="Output Line Items 8" xfId="963"/>
    <cellStyle name="Output Line Items 9" xfId="964"/>
    <cellStyle name="Output Line Items_Regenerated Revenues LGE Gas 2008-04 with Elec Gen-Seelye final version " xfId="965"/>
    <cellStyle name="Output Report Heading" xfId="82"/>
    <cellStyle name="Output Report Heading 2" xfId="966"/>
    <cellStyle name="Output Report Heading 3" xfId="967"/>
    <cellStyle name="Output Report Heading 4" xfId="968"/>
    <cellStyle name="Output Report Heading 5" xfId="969"/>
    <cellStyle name="Output Report Heading 6" xfId="970"/>
    <cellStyle name="Output Report Heading 7" xfId="971"/>
    <cellStyle name="Output Report Heading 8" xfId="972"/>
    <cellStyle name="Output Report Heading 9" xfId="973"/>
    <cellStyle name="Output Report Heading_Regenerated Revenues LGE Gas 2008-04 with Elec Gen-Seelye final version " xfId="974"/>
    <cellStyle name="Output Report Title" xfId="83"/>
    <cellStyle name="Output Report Title 2" xfId="975"/>
    <cellStyle name="Output Report Title 3" xfId="976"/>
    <cellStyle name="Output Report Title 4" xfId="977"/>
    <cellStyle name="Output Report Title 5" xfId="978"/>
    <cellStyle name="Output Report Title 6" xfId="979"/>
    <cellStyle name="Output Report Title 7" xfId="980"/>
    <cellStyle name="Output Report Title 8" xfId="981"/>
    <cellStyle name="Output Report Title 9" xfId="982"/>
    <cellStyle name="Output Report Title_Regenerated Revenues LGE Gas 2008-04 with Elec Gen-Seelye final version " xfId="983"/>
    <cellStyle name="Percent" xfId="84" builtinId="5"/>
    <cellStyle name="Percent 2" xfId="85"/>
    <cellStyle name="Percent 2 2" xfId="984"/>
    <cellStyle name="Percent 3" xfId="140"/>
    <cellStyle name="Percent 3 2" xfId="1116"/>
    <cellStyle name="Percent 4" xfId="985"/>
    <cellStyle name="Percent 4 2" xfId="1117"/>
    <cellStyle name="Percent 5" xfId="986"/>
    <cellStyle name="Percent 6" xfId="987"/>
    <cellStyle name="Percent 7" xfId="988"/>
    <cellStyle name="Percent 7 2" xfId="1118"/>
    <cellStyle name="Percent 8" xfId="989"/>
    <cellStyle name="Percent 8 2" xfId="1119"/>
    <cellStyle name="Percent 9" xfId="990"/>
    <cellStyle name="Percent 9 2" xfId="1120"/>
    <cellStyle name="PSChar" xfId="86"/>
    <cellStyle name="PSDate" xfId="87"/>
    <cellStyle name="PSDec" xfId="88"/>
    <cellStyle name="PSHeading" xfId="89"/>
    <cellStyle name="PSInt" xfId="90"/>
    <cellStyle name="PSSpacer" xfId="91"/>
    <cellStyle name="ReportTitlePrompt" xfId="92"/>
    <cellStyle name="ReportTitleValue" xfId="93"/>
    <cellStyle name="RowAcctAbovePrompt" xfId="94"/>
    <cellStyle name="RowAcctSOBAbovePrompt" xfId="95"/>
    <cellStyle name="RowAcctSOBValue" xfId="96"/>
    <cellStyle name="RowAcctValue" xfId="97"/>
    <cellStyle name="RowAttrAbovePrompt" xfId="98"/>
    <cellStyle name="RowAttrValue" xfId="99"/>
    <cellStyle name="RowColSetAbovePrompt" xfId="100"/>
    <cellStyle name="RowColSetLeftPrompt" xfId="101"/>
    <cellStyle name="RowColSetValue" xfId="102"/>
    <cellStyle name="RowLeftPrompt" xfId="103"/>
    <cellStyle name="SampleUsingFormatMask" xfId="104"/>
    <cellStyle name="SampleWithNoFormatMask" xfId="105"/>
    <cellStyle name="SAPBEXaggData" xfId="202"/>
    <cellStyle name="SAPBEXaggDataEmph" xfId="203"/>
    <cellStyle name="SAPBEXaggItem" xfId="204"/>
    <cellStyle name="SAPBEXaggItemX" xfId="205"/>
    <cellStyle name="SAPBEXchaText" xfId="206"/>
    <cellStyle name="SAPBEXexcBad7" xfId="207"/>
    <cellStyle name="SAPBEXexcBad8" xfId="208"/>
    <cellStyle name="SAPBEXexcBad9" xfId="209"/>
    <cellStyle name="SAPBEXexcCritical4" xfId="210"/>
    <cellStyle name="SAPBEXexcCritical5" xfId="211"/>
    <cellStyle name="SAPBEXexcCritical6" xfId="212"/>
    <cellStyle name="SAPBEXexcGood1" xfId="213"/>
    <cellStyle name="SAPBEXexcGood2" xfId="214"/>
    <cellStyle name="SAPBEXexcGood3" xfId="215"/>
    <cellStyle name="SAPBEXfilterDrill" xfId="216"/>
    <cellStyle name="SAPBEXfilterItem" xfId="217"/>
    <cellStyle name="SAPBEXfilterText" xfId="218"/>
    <cellStyle name="SAPBEXfilterText 2" xfId="1121"/>
    <cellStyle name="SAPBEXformats" xfId="219"/>
    <cellStyle name="SAPBEXheaderItem" xfId="220"/>
    <cellStyle name="SAPBEXheaderText" xfId="221"/>
    <cellStyle name="SAPBEXHLevel0" xfId="222"/>
    <cellStyle name="SAPBEXHLevel0 2" xfId="1122"/>
    <cellStyle name="SAPBEXHLevel0X" xfId="223"/>
    <cellStyle name="SAPBEXHLevel0X 2" xfId="1123"/>
    <cellStyle name="SAPBEXHLevel1" xfId="224"/>
    <cellStyle name="SAPBEXHLevel1 2" xfId="1124"/>
    <cellStyle name="SAPBEXHLevel1X" xfId="225"/>
    <cellStyle name="SAPBEXHLevel1X 2" xfId="1125"/>
    <cellStyle name="SAPBEXHLevel2" xfId="226"/>
    <cellStyle name="SAPBEXHLevel2 2" xfId="1126"/>
    <cellStyle name="SAPBEXHLevel2X" xfId="227"/>
    <cellStyle name="SAPBEXHLevel2X 2" xfId="1127"/>
    <cellStyle name="SAPBEXHLevel3" xfId="228"/>
    <cellStyle name="SAPBEXHLevel3 2" xfId="1128"/>
    <cellStyle name="SAPBEXHLevel3X" xfId="229"/>
    <cellStyle name="SAPBEXHLevel3X 2" xfId="1129"/>
    <cellStyle name="SAPBEXresData" xfId="230"/>
    <cellStyle name="SAPBEXresDataEmph" xfId="231"/>
    <cellStyle name="SAPBEXresItem" xfId="232"/>
    <cellStyle name="SAPBEXresItemX" xfId="233"/>
    <cellStyle name="SAPBEXstdData" xfId="234"/>
    <cellStyle name="SAPBEXstdDataEmph" xfId="235"/>
    <cellStyle name="SAPBEXstdItem" xfId="236"/>
    <cellStyle name="SAPBEXstdItemX" xfId="237"/>
    <cellStyle name="SAPBEXtitle" xfId="238"/>
    <cellStyle name="SAPBEXundefined" xfId="239"/>
    <cellStyle name="SAPLocked" xfId="240"/>
    <cellStyle name="Standard_CORE_20040805_Movement types_Sets_V0.1_e" xfId="241"/>
    <cellStyle name="STYL5 - Style5" xfId="106"/>
    <cellStyle name="STYL5 - Style5 2" xfId="172"/>
    <cellStyle name="STYL5 - Style5 2 2" xfId="1130"/>
    <cellStyle name="STYL5 - Style5 3" xfId="180"/>
    <cellStyle name="STYL5 - Style5 3 2" xfId="1131"/>
    <cellStyle name="STYL6 - Style6" xfId="107"/>
    <cellStyle name="STYL6 - Style6 2" xfId="173"/>
    <cellStyle name="STYL6 - Style6 2 2" xfId="1132"/>
    <cellStyle name="STYL6 - Style6 3" xfId="181"/>
    <cellStyle name="STYL6 - Style6 3 2" xfId="1133"/>
    <cellStyle name="STYLE1 - Style1" xfId="108"/>
    <cellStyle name="STYLE1 - Style1 2" xfId="174"/>
    <cellStyle name="STYLE1 - Style1 2 2" xfId="1134"/>
    <cellStyle name="STYLE1 - Style1 3" xfId="182"/>
    <cellStyle name="STYLE1 - Style1 3 2" xfId="1135"/>
    <cellStyle name="STYLE2 - Style2" xfId="109"/>
    <cellStyle name="STYLE2 - Style2 2" xfId="175"/>
    <cellStyle name="STYLE2 - Style2 2 2" xfId="1136"/>
    <cellStyle name="STYLE2 - Style2 3" xfId="183"/>
    <cellStyle name="STYLE2 - Style2 3 2" xfId="1137"/>
    <cellStyle name="STYLE3 - Style3" xfId="110"/>
    <cellStyle name="STYLE3 - Style3 2" xfId="176"/>
    <cellStyle name="STYLE3 - Style3 2 2" xfId="1138"/>
    <cellStyle name="STYLE3 - Style3 3" xfId="184"/>
    <cellStyle name="STYLE3 - Style3 3 2" xfId="1139"/>
    <cellStyle name="STYLE4 - Style4" xfId="111"/>
    <cellStyle name="STYLE4 - Style4 2" xfId="177"/>
    <cellStyle name="STYLE4 - Style4 2 2" xfId="1140"/>
    <cellStyle name="STYLE4 - Style4 3" xfId="185"/>
    <cellStyle name="STYLE4 - Style4 3 2" xfId="1141"/>
    <cellStyle name="Title" xfId="112" builtinId="15" customBuiltin="1"/>
    <cellStyle name="Title 10" xfId="991"/>
    <cellStyle name="Title 11" xfId="992"/>
    <cellStyle name="Title 12" xfId="993"/>
    <cellStyle name="Title 13" xfId="994"/>
    <cellStyle name="Title 14" xfId="995"/>
    <cellStyle name="Title 15" xfId="996"/>
    <cellStyle name="Title 16" xfId="997"/>
    <cellStyle name="Title 2" xfId="998"/>
    <cellStyle name="Title 3" xfId="999"/>
    <cellStyle name="Title 4" xfId="1000"/>
    <cellStyle name="Title 5" xfId="1001"/>
    <cellStyle name="Title 6" xfId="1002"/>
    <cellStyle name="Title 7" xfId="1003"/>
    <cellStyle name="Title 8" xfId="1004"/>
    <cellStyle name="Title 9" xfId="1005"/>
    <cellStyle name="Total" xfId="113" builtinId="25" customBuiltin="1"/>
    <cellStyle name="Total 10" xfId="1006"/>
    <cellStyle name="Total 11" xfId="1007"/>
    <cellStyle name="Total 12" xfId="1008"/>
    <cellStyle name="Total 13" xfId="1009"/>
    <cellStyle name="Total 14" xfId="1010"/>
    <cellStyle name="Total 15" xfId="1011"/>
    <cellStyle name="Total 16" xfId="1012"/>
    <cellStyle name="Total 2" xfId="178"/>
    <cellStyle name="Total 2 2" xfId="1142"/>
    <cellStyle name="Total 3" xfId="186"/>
    <cellStyle name="Total 3 2" xfId="1143"/>
    <cellStyle name="Total 4" xfId="1013"/>
    <cellStyle name="Total 5" xfId="1014"/>
    <cellStyle name="Total 6" xfId="1015"/>
    <cellStyle name="Total 7" xfId="1016"/>
    <cellStyle name="Total 8" xfId="1017"/>
    <cellStyle name="Total 9" xfId="1018"/>
    <cellStyle name="Undefiniert" xfId="242"/>
    <cellStyle name="Undefiniert 2" xfId="1144"/>
    <cellStyle name="UploadThisRowValue" xfId="114"/>
    <cellStyle name="Warning Text" xfId="115" builtinId="11" customBuiltin="1"/>
    <cellStyle name="Warning Text 10" xfId="1019"/>
    <cellStyle name="Warning Text 11" xfId="1020"/>
    <cellStyle name="Warning Text 12" xfId="1021"/>
    <cellStyle name="Warning Text 13" xfId="1022"/>
    <cellStyle name="Warning Text 14" xfId="1023"/>
    <cellStyle name="Warning Text 15" xfId="1024"/>
    <cellStyle name="Warning Text 16" xfId="1025"/>
    <cellStyle name="Warning Text 2" xfId="1026"/>
    <cellStyle name="Warning Text 3" xfId="1027"/>
    <cellStyle name="Warning Text 4" xfId="1028"/>
    <cellStyle name="Warning Text 5" xfId="1029"/>
    <cellStyle name="Warning Text 6" xfId="1030"/>
    <cellStyle name="Warning Text 7" xfId="1031"/>
    <cellStyle name="Warning Text 8" xfId="1032"/>
    <cellStyle name="Warning Text 9" xfId="10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48"/>
  <sheetViews>
    <sheetView workbookViewId="0">
      <selection activeCell="C54" sqref="C54"/>
    </sheetView>
  </sheetViews>
  <sheetFormatPr defaultRowHeight="12.75" x14ac:dyDescent="0.2"/>
  <cols>
    <col min="1" max="1" width="18.25" style="342" customWidth="1"/>
    <col min="2" max="2" width="13.625" style="342" bestFit="1" customWidth="1"/>
    <col min="3" max="3" width="63" style="342" customWidth="1"/>
    <col min="4" max="16384" width="9" style="342"/>
  </cols>
  <sheetData>
    <row r="1" spans="1:3" ht="15.75" x14ac:dyDescent="0.25">
      <c r="A1" s="538" t="s">
        <v>412</v>
      </c>
    </row>
    <row r="2" spans="1:3" ht="15.75" x14ac:dyDescent="0.25">
      <c r="C2" s="692"/>
    </row>
    <row r="3" spans="1:3" x14ac:dyDescent="0.2">
      <c r="A3" s="340" t="s">
        <v>69</v>
      </c>
      <c r="B3" s="349" t="s">
        <v>492</v>
      </c>
    </row>
    <row r="4" spans="1:3" x14ac:dyDescent="0.2">
      <c r="B4" s="349" t="s">
        <v>493</v>
      </c>
      <c r="C4" s="544"/>
    </row>
    <row r="5" spans="1:3" x14ac:dyDescent="0.2">
      <c r="A5" s="340"/>
      <c r="B5" s="341" t="s">
        <v>631</v>
      </c>
    </row>
    <row r="6" spans="1:3" x14ac:dyDescent="0.2">
      <c r="A6" s="340" t="s">
        <v>494</v>
      </c>
      <c r="B6" s="544"/>
    </row>
    <row r="7" spans="1:3" x14ac:dyDescent="0.2">
      <c r="A7" s="544" t="s">
        <v>63</v>
      </c>
      <c r="B7" s="396" t="s">
        <v>497</v>
      </c>
      <c r="C7" s="601"/>
    </row>
    <row r="8" spans="1:3" x14ac:dyDescent="0.2">
      <c r="A8" s="544" t="s">
        <v>64</v>
      </c>
      <c r="B8" s="396" t="s">
        <v>497</v>
      </c>
    </row>
    <row r="9" spans="1:3" x14ac:dyDescent="0.2">
      <c r="A9" s="544" t="s">
        <v>62</v>
      </c>
      <c r="B9" s="396" t="s">
        <v>497</v>
      </c>
    </row>
    <row r="10" spans="1:3" x14ac:dyDescent="0.2">
      <c r="A10" s="544" t="s">
        <v>495</v>
      </c>
      <c r="B10" s="396" t="s">
        <v>497</v>
      </c>
    </row>
    <row r="11" spans="1:3" x14ac:dyDescent="0.2">
      <c r="A11" s="544" t="s">
        <v>65</v>
      </c>
      <c r="B11" s="396" t="s">
        <v>497</v>
      </c>
    </row>
    <row r="12" spans="1:3" x14ac:dyDescent="0.2">
      <c r="A12" s="628" t="s">
        <v>100</v>
      </c>
      <c r="B12" s="396" t="s">
        <v>497</v>
      </c>
    </row>
    <row r="13" spans="1:3" x14ac:dyDescent="0.2">
      <c r="A13" s="628" t="s">
        <v>496</v>
      </c>
      <c r="B13" s="396" t="s">
        <v>497</v>
      </c>
    </row>
    <row r="14" spans="1:3" x14ac:dyDescent="0.2">
      <c r="A14" s="628" t="s">
        <v>101</v>
      </c>
      <c r="B14" s="396" t="s">
        <v>497</v>
      </c>
    </row>
    <row r="15" spans="1:3" x14ac:dyDescent="0.2">
      <c r="A15" s="628" t="s">
        <v>32</v>
      </c>
      <c r="B15" s="396" t="s">
        <v>497</v>
      </c>
    </row>
    <row r="16" spans="1:3" x14ac:dyDescent="0.2">
      <c r="A16" s="633" t="s">
        <v>509</v>
      </c>
      <c r="B16" s="396" t="s">
        <v>499</v>
      </c>
      <c r="C16" s="601" t="s">
        <v>262</v>
      </c>
    </row>
    <row r="17" spans="1:3" x14ac:dyDescent="0.2">
      <c r="A17" s="633" t="s">
        <v>512</v>
      </c>
      <c r="B17" s="396" t="s">
        <v>500</v>
      </c>
      <c r="C17" s="631" t="s">
        <v>415</v>
      </c>
    </row>
    <row r="18" spans="1:3" x14ac:dyDescent="0.2">
      <c r="A18" s="633" t="s">
        <v>513</v>
      </c>
      <c r="B18" s="396" t="s">
        <v>500</v>
      </c>
      <c r="C18" s="630" t="s">
        <v>452</v>
      </c>
    </row>
    <row r="19" spans="1:3" s="544" customFormat="1" x14ac:dyDescent="0.2">
      <c r="A19" s="633" t="s">
        <v>477</v>
      </c>
      <c r="B19" s="695" t="s">
        <v>500</v>
      </c>
      <c r="C19" s="696" t="s">
        <v>641</v>
      </c>
    </row>
    <row r="20" spans="1:3" x14ac:dyDescent="0.2">
      <c r="A20" s="633" t="s">
        <v>514</v>
      </c>
      <c r="B20" s="396" t="s">
        <v>500</v>
      </c>
      <c r="C20" s="631" t="s">
        <v>74</v>
      </c>
    </row>
    <row r="21" spans="1:3" x14ac:dyDescent="0.2">
      <c r="A21" s="633" t="s">
        <v>515</v>
      </c>
      <c r="B21" s="396" t="s">
        <v>500</v>
      </c>
      <c r="C21" s="630" t="s">
        <v>11</v>
      </c>
    </row>
    <row r="22" spans="1:3" x14ac:dyDescent="0.2">
      <c r="A22" s="633" t="s">
        <v>516</v>
      </c>
      <c r="B22" s="396" t="s">
        <v>501</v>
      </c>
      <c r="C22" s="630" t="s">
        <v>704</v>
      </c>
    </row>
    <row r="23" spans="1:3" x14ac:dyDescent="0.2">
      <c r="A23" s="633" t="s">
        <v>517</v>
      </c>
      <c r="B23" s="396" t="s">
        <v>501</v>
      </c>
      <c r="C23" s="630" t="s">
        <v>706</v>
      </c>
    </row>
    <row r="24" spans="1:3" x14ac:dyDescent="0.2">
      <c r="A24" s="633" t="s">
        <v>518</v>
      </c>
      <c r="B24" s="396" t="s">
        <v>501</v>
      </c>
      <c r="C24" s="630" t="s">
        <v>408</v>
      </c>
    </row>
    <row r="25" spans="1:3" x14ac:dyDescent="0.2">
      <c r="A25" s="633" t="s">
        <v>519</v>
      </c>
      <c r="B25" s="396" t="s">
        <v>499</v>
      </c>
      <c r="C25" s="630" t="s">
        <v>625</v>
      </c>
    </row>
    <row r="26" spans="1:3" x14ac:dyDescent="0.2">
      <c r="A26" s="633" t="s">
        <v>510</v>
      </c>
      <c r="B26" s="396" t="s">
        <v>500</v>
      </c>
      <c r="C26" s="630" t="s">
        <v>453</v>
      </c>
    </row>
    <row r="27" spans="1:3" x14ac:dyDescent="0.2">
      <c r="A27" s="633" t="s">
        <v>520</v>
      </c>
      <c r="B27" s="396" t="s">
        <v>500</v>
      </c>
      <c r="C27" s="630" t="s">
        <v>675</v>
      </c>
    </row>
    <row r="28" spans="1:3" x14ac:dyDescent="0.2">
      <c r="A28" s="633" t="s">
        <v>521</v>
      </c>
      <c r="B28" s="717" t="s">
        <v>731</v>
      </c>
      <c r="C28" s="630" t="s">
        <v>275</v>
      </c>
    </row>
    <row r="29" spans="1:3" x14ac:dyDescent="0.2">
      <c r="A29" s="633" t="s">
        <v>522</v>
      </c>
      <c r="B29" s="396" t="s">
        <v>501</v>
      </c>
      <c r="C29" s="630" t="s">
        <v>416</v>
      </c>
    </row>
    <row r="30" spans="1:3" x14ac:dyDescent="0.2">
      <c r="A30" s="633" t="s">
        <v>524</v>
      </c>
      <c r="B30" s="396" t="s">
        <v>502</v>
      </c>
      <c r="C30" s="630" t="s">
        <v>454</v>
      </c>
    </row>
    <row r="31" spans="1:3" x14ac:dyDescent="0.2">
      <c r="A31" s="633" t="s">
        <v>523</v>
      </c>
      <c r="B31" s="396" t="s">
        <v>501</v>
      </c>
      <c r="C31" s="630" t="s">
        <v>417</v>
      </c>
    </row>
    <row r="32" spans="1:3" x14ac:dyDescent="0.2">
      <c r="A32" s="633" t="s">
        <v>540</v>
      </c>
      <c r="B32" s="396" t="s">
        <v>501</v>
      </c>
      <c r="C32" s="630" t="s">
        <v>10</v>
      </c>
    </row>
    <row r="33" spans="1:3" x14ac:dyDescent="0.2">
      <c r="A33" s="633" t="s">
        <v>544</v>
      </c>
      <c r="B33" s="396" t="s">
        <v>501</v>
      </c>
      <c r="C33" s="630" t="s">
        <v>476</v>
      </c>
    </row>
    <row r="34" spans="1:3" x14ac:dyDescent="0.2">
      <c r="A34" s="633" t="s">
        <v>525</v>
      </c>
      <c r="B34" s="396" t="s">
        <v>501</v>
      </c>
      <c r="C34" s="630" t="s">
        <v>464</v>
      </c>
    </row>
    <row r="35" spans="1:3" x14ac:dyDescent="0.2">
      <c r="A35" s="633" t="s">
        <v>526</v>
      </c>
      <c r="B35" s="396" t="s">
        <v>502</v>
      </c>
      <c r="C35" s="630" t="s">
        <v>550</v>
      </c>
    </row>
    <row r="36" spans="1:3" x14ac:dyDescent="0.2">
      <c r="A36" s="633" t="s">
        <v>511</v>
      </c>
      <c r="B36" s="396" t="s">
        <v>499</v>
      </c>
      <c r="C36" s="630" t="s">
        <v>554</v>
      </c>
    </row>
    <row r="37" spans="1:3" x14ac:dyDescent="0.2">
      <c r="A37" s="633" t="s">
        <v>592</v>
      </c>
      <c r="B37" s="396" t="s">
        <v>501</v>
      </c>
      <c r="C37" s="630" t="s">
        <v>539</v>
      </c>
    </row>
    <row r="38" spans="1:3" x14ac:dyDescent="0.2">
      <c r="A38" s="633" t="s">
        <v>601</v>
      </c>
      <c r="B38" s="396" t="s">
        <v>499</v>
      </c>
      <c r="C38" s="630" t="s">
        <v>545</v>
      </c>
    </row>
    <row r="39" spans="1:3" x14ac:dyDescent="0.2">
      <c r="A39" s="633" t="s">
        <v>642</v>
      </c>
      <c r="B39" s="396" t="s">
        <v>499</v>
      </c>
      <c r="C39" s="630" t="s">
        <v>568</v>
      </c>
    </row>
    <row r="40" spans="1:3" x14ac:dyDescent="0.2">
      <c r="A40" s="662" t="s">
        <v>643</v>
      </c>
      <c r="B40" s="396" t="s">
        <v>497</v>
      </c>
      <c r="C40" s="602" t="s">
        <v>606</v>
      </c>
    </row>
    <row r="41" spans="1:3" x14ac:dyDescent="0.2">
      <c r="A41" s="633" t="s">
        <v>593</v>
      </c>
      <c r="B41" s="396" t="s">
        <v>497</v>
      </c>
      <c r="C41" s="630" t="s">
        <v>449</v>
      </c>
    </row>
    <row r="42" spans="1:3" x14ac:dyDescent="0.2">
      <c r="A42" s="633" t="s">
        <v>602</v>
      </c>
      <c r="B42" s="396" t="s">
        <v>497</v>
      </c>
      <c r="C42" s="602" t="s">
        <v>413</v>
      </c>
    </row>
    <row r="43" spans="1:3" x14ac:dyDescent="0.2">
      <c r="A43" s="633" t="s">
        <v>605</v>
      </c>
      <c r="B43" s="396" t="s">
        <v>497</v>
      </c>
      <c r="C43" s="602" t="s">
        <v>228</v>
      </c>
    </row>
    <row r="44" spans="1:3" x14ac:dyDescent="0.2">
      <c r="A44" s="633" t="s">
        <v>644</v>
      </c>
      <c r="B44" s="396" t="s">
        <v>497</v>
      </c>
      <c r="C44" s="602" t="s">
        <v>707</v>
      </c>
    </row>
    <row r="45" spans="1:3" x14ac:dyDescent="0.2">
      <c r="A45" s="633" t="s">
        <v>709</v>
      </c>
      <c r="B45" s="396" t="s">
        <v>497</v>
      </c>
      <c r="C45" s="630" t="s">
        <v>708</v>
      </c>
    </row>
    <row r="46" spans="1:3" x14ac:dyDescent="0.2">
      <c r="A46" s="633" t="s">
        <v>710</v>
      </c>
      <c r="B46" s="396" t="s">
        <v>497</v>
      </c>
      <c r="C46" s="602" t="s">
        <v>188</v>
      </c>
    </row>
    <row r="47" spans="1:3" s="544" customFormat="1" x14ac:dyDescent="0.2">
      <c r="A47" s="791" t="s">
        <v>747</v>
      </c>
      <c r="B47" s="396" t="s">
        <v>501</v>
      </c>
      <c r="C47" s="792" t="s">
        <v>745</v>
      </c>
    </row>
    <row r="48" spans="1:3" x14ac:dyDescent="0.2">
      <c r="A48" s="629" t="s">
        <v>450</v>
      </c>
      <c r="B48" s="396" t="s">
        <v>500</v>
      </c>
      <c r="C48" s="602" t="s">
        <v>278</v>
      </c>
    </row>
  </sheetData>
  <phoneticPr fontId="34" type="noConversion"/>
  <printOptions headings="1"/>
  <pageMargins left="0.75" right="0.75" top="1" bottom="1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6"/>
  <sheetViews>
    <sheetView showGridLines="0" zoomScale="85" zoomScaleNormal="85" workbookViewId="0">
      <selection activeCell="B7" sqref="B7:M7"/>
    </sheetView>
  </sheetViews>
  <sheetFormatPr defaultRowHeight="15.75" x14ac:dyDescent="0.25"/>
  <cols>
    <col min="1" max="1" width="3.875" style="301" bestFit="1" customWidth="1"/>
    <col min="2" max="2" width="43.625" style="2" customWidth="1"/>
    <col min="3" max="3" width="17.125" style="2" customWidth="1"/>
    <col min="4" max="4" width="1.5" style="2" customWidth="1"/>
    <col min="5" max="5" width="17.125" style="2" customWidth="1"/>
    <col min="6" max="6" width="1.5" style="2" customWidth="1"/>
    <col min="7" max="7" width="17.125" style="2" customWidth="1"/>
    <col min="8" max="8" width="2" style="2" customWidth="1"/>
    <col min="9" max="9" width="12.125" style="2" bestFit="1" customWidth="1"/>
    <col min="10" max="10" width="1.625" style="2" customWidth="1"/>
    <col min="11" max="11" width="17.875" style="2" bestFit="1" customWidth="1"/>
    <col min="12" max="12" width="1.625" style="2" customWidth="1"/>
    <col min="13" max="13" width="18.375" style="2" bestFit="1" customWidth="1"/>
    <col min="14" max="16384" width="9" style="2"/>
  </cols>
  <sheetData>
    <row r="1" spans="1:13" x14ac:dyDescent="0.25">
      <c r="H1" s="11"/>
      <c r="M1" s="11" t="s">
        <v>100</v>
      </c>
    </row>
    <row r="2" spans="1:13" x14ac:dyDescent="0.25">
      <c r="H2" s="11"/>
      <c r="M2" s="11" t="str">
        <f>"Sponsoring Witness: "&amp;Inputs!B12&amp;""</f>
        <v>Sponsoring Witness: Blake</v>
      </c>
    </row>
    <row r="3" spans="1:13" x14ac:dyDescent="0.25">
      <c r="H3" s="11"/>
      <c r="M3" s="11" t="s">
        <v>219</v>
      </c>
    </row>
    <row r="4" spans="1:13" x14ac:dyDescent="0.25">
      <c r="B4" s="801" t="s">
        <v>230</v>
      </c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</row>
    <row r="5" spans="1:13" x14ac:dyDescent="0.25">
      <c r="C5" s="80"/>
    </row>
    <row r="6" spans="1:13" x14ac:dyDescent="0.25">
      <c r="B6" s="807" t="s">
        <v>120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</row>
    <row r="7" spans="1:13" x14ac:dyDescent="0.25">
      <c r="B7" s="801" t="str">
        <f>"And Applicable Reserve for Depreciation at "&amp;Inputs!B3&amp;""</f>
        <v>And Applicable Reserve for Depreciation at March 31, 2012</v>
      </c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800"/>
    </row>
    <row r="8" spans="1:13" x14ac:dyDescent="0.25">
      <c r="B8" s="8"/>
      <c r="C8" s="8"/>
      <c r="D8" s="8"/>
      <c r="E8" s="8"/>
      <c r="F8" s="8"/>
      <c r="G8" s="8"/>
      <c r="H8" s="8"/>
      <c r="I8" s="8"/>
      <c r="J8" s="8"/>
      <c r="K8" s="8" t="s">
        <v>239</v>
      </c>
      <c r="L8" s="8"/>
      <c r="M8" s="20" t="s">
        <v>121</v>
      </c>
    </row>
    <row r="9" spans="1:13" x14ac:dyDescent="0.25">
      <c r="K9" s="20" t="s">
        <v>122</v>
      </c>
      <c r="M9" s="20" t="s">
        <v>122</v>
      </c>
    </row>
    <row r="10" spans="1:13" x14ac:dyDescent="0.25">
      <c r="C10" s="8" t="s">
        <v>123</v>
      </c>
      <c r="E10" s="8" t="s">
        <v>124</v>
      </c>
      <c r="G10" s="8" t="s">
        <v>125</v>
      </c>
      <c r="H10" s="8"/>
      <c r="I10" s="8" t="s">
        <v>238</v>
      </c>
      <c r="J10" s="8"/>
      <c r="K10" s="20" t="s">
        <v>126</v>
      </c>
      <c r="L10" s="8"/>
      <c r="M10" s="20" t="s">
        <v>126</v>
      </c>
    </row>
    <row r="11" spans="1:13" x14ac:dyDescent="0.25">
      <c r="C11" s="694" t="str">
        <f>Inputs!B5</f>
        <v>3-31-2012</v>
      </c>
      <c r="E11" s="2" t="s">
        <v>127</v>
      </c>
      <c r="G11" s="356" t="str">
        <f>C11</f>
        <v>3-31-2012</v>
      </c>
      <c r="H11" s="356"/>
      <c r="I11" s="21" t="s">
        <v>249</v>
      </c>
      <c r="J11" s="21"/>
      <c r="K11" s="356" t="str">
        <f>C11</f>
        <v>3-31-2012</v>
      </c>
      <c r="L11" s="21"/>
      <c r="M11" s="356" t="str">
        <f>C11</f>
        <v>3-31-2012</v>
      </c>
    </row>
    <row r="12" spans="1:13" x14ac:dyDescent="0.25">
      <c r="C12" s="234">
        <v>-1</v>
      </c>
      <c r="E12" s="234">
        <v>-2</v>
      </c>
      <c r="G12" s="234">
        <v>-3</v>
      </c>
      <c r="H12" s="243"/>
      <c r="I12" s="18">
        <v>-4</v>
      </c>
      <c r="J12" s="21"/>
      <c r="K12" s="18">
        <v>-5</v>
      </c>
      <c r="L12" s="21"/>
      <c r="M12" s="18">
        <v>-6</v>
      </c>
    </row>
    <row r="13" spans="1:13" x14ac:dyDescent="0.25">
      <c r="A13" s="301">
        <v>1</v>
      </c>
      <c r="B13" s="2" t="s">
        <v>128</v>
      </c>
    </row>
    <row r="15" spans="1:13" x14ac:dyDescent="0.25">
      <c r="A15" s="301">
        <v>2</v>
      </c>
      <c r="B15" s="14" t="s">
        <v>129</v>
      </c>
      <c r="C15" s="357"/>
      <c r="D15" s="357"/>
      <c r="E15" s="357"/>
      <c r="F15" s="357"/>
      <c r="G15" s="357"/>
      <c r="H15" s="357"/>
    </row>
    <row r="16" spans="1:13" x14ac:dyDescent="0.25">
      <c r="A16" s="301">
        <v>3</v>
      </c>
      <c r="B16" s="1" t="s">
        <v>130</v>
      </c>
      <c r="C16" s="40">
        <v>3627150142</v>
      </c>
      <c r="D16" s="358"/>
      <c r="E16" s="40">
        <v>2741179187</v>
      </c>
      <c r="F16" s="358"/>
      <c r="G16" s="40">
        <f>C16+E16</f>
        <v>6368329329</v>
      </c>
      <c r="H16" s="358"/>
      <c r="I16" s="496">
        <v>0.86548999999999998</v>
      </c>
      <c r="J16" s="359"/>
      <c r="K16" s="40">
        <f t="shared" ref="K16:K22" si="0">ROUND(+G16*I16,0)</f>
        <v>5511725351</v>
      </c>
      <c r="L16" s="359"/>
      <c r="M16" s="40">
        <f t="shared" ref="M16:M22" si="1">G16-K16</f>
        <v>856603978</v>
      </c>
    </row>
    <row r="17" spans="1:13" x14ac:dyDescent="0.25">
      <c r="A17" s="301">
        <v>4</v>
      </c>
      <c r="B17" s="13" t="s">
        <v>131</v>
      </c>
      <c r="C17" s="470">
        <v>28756470</v>
      </c>
      <c r="D17" s="358"/>
      <c r="E17" s="471">
        <v>155965304</v>
      </c>
      <c r="F17" s="52"/>
      <c r="G17" s="52">
        <f t="shared" ref="G17:G22" si="2">C17+E17</f>
        <v>184721774</v>
      </c>
      <c r="H17" s="358"/>
      <c r="I17" s="496">
        <v>0.86548999999999998</v>
      </c>
      <c r="J17" s="359"/>
      <c r="K17" s="52">
        <f t="shared" si="0"/>
        <v>159874848</v>
      </c>
      <c r="L17" s="52"/>
      <c r="M17" s="52">
        <f t="shared" si="1"/>
        <v>24846926</v>
      </c>
    </row>
    <row r="18" spans="1:13" x14ac:dyDescent="0.25">
      <c r="A18" s="301">
        <v>5</v>
      </c>
      <c r="B18" s="13" t="s">
        <v>132</v>
      </c>
      <c r="C18" s="472">
        <v>533383145</v>
      </c>
      <c r="D18" s="358"/>
      <c r="E18" s="473">
        <v>380889759</v>
      </c>
      <c r="F18" s="52"/>
      <c r="G18" s="52">
        <f t="shared" si="2"/>
        <v>914272904</v>
      </c>
      <c r="H18" s="358"/>
      <c r="I18" s="496">
        <v>0.86548999999999998</v>
      </c>
      <c r="J18" s="359"/>
      <c r="K18" s="52">
        <f t="shared" si="0"/>
        <v>791294056</v>
      </c>
      <c r="L18" s="52"/>
      <c r="M18" s="52">
        <f t="shared" si="1"/>
        <v>122978848</v>
      </c>
    </row>
    <row r="19" spans="1:13" x14ac:dyDescent="0.25">
      <c r="A19" s="301">
        <v>6</v>
      </c>
      <c r="B19" s="13" t="s">
        <v>133</v>
      </c>
      <c r="C19" s="474">
        <v>667945984</v>
      </c>
      <c r="D19" s="358"/>
      <c r="E19" s="475">
        <v>1279954034</v>
      </c>
      <c r="F19" s="52"/>
      <c r="G19" s="52">
        <f t="shared" si="2"/>
        <v>1947900018</v>
      </c>
      <c r="H19" s="358"/>
      <c r="I19" s="496">
        <v>0.80245999999999995</v>
      </c>
      <c r="J19" s="359"/>
      <c r="K19" s="52">
        <f t="shared" si="0"/>
        <v>1563111848</v>
      </c>
      <c r="L19" s="52"/>
      <c r="M19" s="52">
        <f t="shared" si="1"/>
        <v>384788170</v>
      </c>
    </row>
    <row r="20" spans="1:13" x14ac:dyDescent="0.25">
      <c r="A20" s="301">
        <v>7</v>
      </c>
      <c r="B20" s="13" t="s">
        <v>134</v>
      </c>
      <c r="C20" s="474">
        <v>1434552256</v>
      </c>
      <c r="D20" s="358"/>
      <c r="E20" s="475">
        <v>1813968409</v>
      </c>
      <c r="F20" s="52"/>
      <c r="G20" s="52">
        <f t="shared" si="2"/>
        <v>3248520665</v>
      </c>
      <c r="H20" s="358"/>
      <c r="I20" s="496">
        <v>0.94084999999999996</v>
      </c>
      <c r="J20" s="359"/>
      <c r="K20" s="52">
        <f t="shared" si="0"/>
        <v>3056370668</v>
      </c>
      <c r="L20" s="52"/>
      <c r="M20" s="52">
        <f t="shared" si="1"/>
        <v>192149997</v>
      </c>
    </row>
    <row r="21" spans="1:13" x14ac:dyDescent="0.25">
      <c r="A21" s="301">
        <v>8</v>
      </c>
      <c r="B21" s="13" t="s">
        <v>135</v>
      </c>
      <c r="C21" s="476">
        <v>140021374</v>
      </c>
      <c r="D21" s="358"/>
      <c r="E21" s="477">
        <v>74743833</v>
      </c>
      <c r="F21" s="52"/>
      <c r="G21" s="52">
        <f t="shared" si="2"/>
        <v>214765207</v>
      </c>
      <c r="H21" s="358"/>
      <c r="I21" s="496">
        <v>0.88937999999999995</v>
      </c>
      <c r="J21" s="359"/>
      <c r="K21" s="52">
        <f t="shared" si="0"/>
        <v>191007880</v>
      </c>
      <c r="L21" s="52"/>
      <c r="M21" s="52">
        <f t="shared" si="1"/>
        <v>23757327</v>
      </c>
    </row>
    <row r="22" spans="1:13" x14ac:dyDescent="0.25">
      <c r="A22" s="301">
        <v>9</v>
      </c>
      <c r="B22" s="13" t="s">
        <v>136</v>
      </c>
      <c r="C22" s="478">
        <v>60204133</v>
      </c>
      <c r="D22" s="358"/>
      <c r="E22" s="479">
        <v>5636450</v>
      </c>
      <c r="F22" s="52"/>
      <c r="G22" s="52">
        <f t="shared" si="2"/>
        <v>65840583</v>
      </c>
      <c r="H22" s="358"/>
      <c r="I22" s="496">
        <v>0.87068999999999996</v>
      </c>
      <c r="J22" s="359"/>
      <c r="K22" s="52">
        <f t="shared" si="0"/>
        <v>57326737</v>
      </c>
      <c r="L22" s="52"/>
      <c r="M22" s="52">
        <f t="shared" si="1"/>
        <v>8513846</v>
      </c>
    </row>
    <row r="23" spans="1:13" x14ac:dyDescent="0.25">
      <c r="B23" s="360"/>
      <c r="C23" s="361"/>
      <c r="D23" s="358"/>
      <c r="E23" s="361"/>
      <c r="F23" s="358"/>
      <c r="G23" s="361"/>
      <c r="H23" s="362"/>
      <c r="I23" s="100"/>
      <c r="K23" s="19"/>
      <c r="M23" s="19"/>
    </row>
    <row r="24" spans="1:13" ht="20.100000000000001" customHeight="1" x14ac:dyDescent="0.25">
      <c r="A24" s="301">
        <f>1+A22</f>
        <v>10</v>
      </c>
      <c r="B24" s="2" t="s">
        <v>137</v>
      </c>
      <c r="C24" s="52">
        <f>SUM(C16:C22)</f>
        <v>6492013504</v>
      </c>
      <c r="D24" s="40"/>
      <c r="E24" s="52">
        <f>SUM(E16:E22)</f>
        <v>6452336976</v>
      </c>
      <c r="F24" s="40"/>
      <c r="G24" s="52">
        <f>SUM(G16:G22)</f>
        <v>12944350480</v>
      </c>
      <c r="H24" s="40"/>
      <c r="I24" s="117"/>
      <c r="J24" s="40"/>
      <c r="K24" s="52">
        <f>SUM(K16:K23)</f>
        <v>11330711388</v>
      </c>
      <c r="L24" s="40"/>
      <c r="M24" s="52">
        <f>SUM(M16:M23)</f>
        <v>1613639092</v>
      </c>
    </row>
    <row r="25" spans="1:13" x14ac:dyDescent="0.25">
      <c r="B25" s="363"/>
      <c r="C25" s="358"/>
      <c r="D25" s="358"/>
      <c r="E25" s="358"/>
      <c r="F25" s="358"/>
      <c r="G25" s="358"/>
      <c r="H25" s="358"/>
      <c r="I25" s="100"/>
    </row>
    <row r="26" spans="1:13" x14ac:dyDescent="0.25">
      <c r="A26" s="301">
        <f>1+A24</f>
        <v>11</v>
      </c>
      <c r="B26" s="2" t="s">
        <v>138</v>
      </c>
      <c r="C26" s="480">
        <v>345238438</v>
      </c>
      <c r="D26" s="358"/>
      <c r="E26" s="89">
        <v>0</v>
      </c>
      <c r="F26" s="358"/>
      <c r="G26" s="52">
        <f>C26+E26</f>
        <v>345238438</v>
      </c>
      <c r="H26" s="358"/>
      <c r="I26" s="496">
        <f>ROUND(299563000/345238438,9)</f>
        <v>0.86769886299999999</v>
      </c>
      <c r="K26" s="52">
        <f>ROUND(+G26*I26,0)</f>
        <v>299563000</v>
      </c>
      <c r="M26" s="2">
        <f>G26-K26</f>
        <v>45675438</v>
      </c>
    </row>
    <row r="27" spans="1:13" x14ac:dyDescent="0.25">
      <c r="C27" s="358"/>
      <c r="D27" s="358"/>
      <c r="E27" s="358"/>
      <c r="F27" s="358"/>
      <c r="G27" s="358"/>
      <c r="H27" s="358"/>
      <c r="I27" s="100"/>
    </row>
    <row r="28" spans="1:13" ht="20.100000000000001" customHeight="1" thickBot="1" x14ac:dyDescent="0.3">
      <c r="A28" s="301">
        <f>1+A26</f>
        <v>12</v>
      </c>
      <c r="B28" s="2" t="s">
        <v>139</v>
      </c>
      <c r="C28" s="121">
        <f>C26+C24</f>
        <v>6837251942</v>
      </c>
      <c r="D28" s="40"/>
      <c r="E28" s="121">
        <f>E26+E24</f>
        <v>6452336976</v>
      </c>
      <c r="F28" s="40"/>
      <c r="G28" s="121">
        <f>G26+G24</f>
        <v>13289588918</v>
      </c>
      <c r="H28" s="49"/>
      <c r="I28" s="117"/>
      <c r="J28" s="40"/>
      <c r="K28" s="121">
        <f>K26+K24</f>
        <v>11630274388</v>
      </c>
      <c r="L28" s="40"/>
      <c r="M28" s="121">
        <f>M26+M24</f>
        <v>1659314530</v>
      </c>
    </row>
    <row r="29" spans="1:13" ht="16.5" thickTop="1" x14ac:dyDescent="0.25">
      <c r="C29" s="358"/>
      <c r="D29" s="358"/>
      <c r="E29" s="358"/>
      <c r="F29" s="358"/>
      <c r="G29" s="358"/>
      <c r="H29" s="358"/>
      <c r="I29" s="100"/>
    </row>
    <row r="30" spans="1:13" x14ac:dyDescent="0.25">
      <c r="A30" s="301">
        <f>1+A28</f>
        <v>13</v>
      </c>
      <c r="B30" s="2" t="s">
        <v>140</v>
      </c>
      <c r="C30" s="358"/>
      <c r="D30" s="358"/>
      <c r="E30" s="358"/>
      <c r="F30" s="358"/>
      <c r="G30" s="358"/>
      <c r="H30" s="358"/>
      <c r="I30" s="100"/>
    </row>
    <row r="31" spans="1:13" x14ac:dyDescent="0.25">
      <c r="A31" s="301">
        <f t="shared" ref="A31:A37" si="3">1+A30</f>
        <v>14</v>
      </c>
      <c r="B31" s="13" t="s">
        <v>130</v>
      </c>
      <c r="C31" s="40">
        <v>1265653049</v>
      </c>
      <c r="D31" s="358"/>
      <c r="E31" s="40">
        <v>1837066115</v>
      </c>
      <c r="F31" s="358"/>
      <c r="G31" s="40">
        <f>C31+E31</f>
        <v>3102719164</v>
      </c>
      <c r="H31" s="358"/>
      <c r="I31" s="496">
        <f>I16</f>
        <v>0.86548999999999998</v>
      </c>
      <c r="K31" s="40">
        <f t="shared" ref="K31:K37" si="4">ROUND(+G31*I31,0)</f>
        <v>2685372409</v>
      </c>
      <c r="M31" s="40">
        <f t="shared" ref="M31:M37" si="5">G31-K31</f>
        <v>417346755</v>
      </c>
    </row>
    <row r="32" spans="1:13" x14ac:dyDescent="0.25">
      <c r="A32" s="301">
        <f t="shared" si="3"/>
        <v>15</v>
      </c>
      <c r="B32" s="13" t="s">
        <v>131</v>
      </c>
      <c r="C32" s="481">
        <v>7812064</v>
      </c>
      <c r="D32" s="52"/>
      <c r="E32" s="482">
        <v>63608252</v>
      </c>
      <c r="F32" s="52"/>
      <c r="G32" s="52">
        <f t="shared" ref="G32:G37" si="6">C32+E32</f>
        <v>71420316</v>
      </c>
      <c r="H32" s="358"/>
      <c r="I32" s="496">
        <f t="shared" ref="I32:I37" si="7">I17</f>
        <v>0.86548999999999998</v>
      </c>
      <c r="K32" s="52">
        <f t="shared" si="4"/>
        <v>61813569</v>
      </c>
      <c r="M32" s="2">
        <f t="shared" si="5"/>
        <v>9606747</v>
      </c>
    </row>
    <row r="33" spans="1:13" x14ac:dyDescent="0.25">
      <c r="A33" s="301">
        <f t="shared" si="3"/>
        <v>16</v>
      </c>
      <c r="B33" s="13" t="s">
        <v>132</v>
      </c>
      <c r="C33" s="483">
        <v>179735465</v>
      </c>
      <c r="D33" s="52"/>
      <c r="E33" s="484">
        <v>145788502</v>
      </c>
      <c r="F33" s="52"/>
      <c r="G33" s="52">
        <f t="shared" si="6"/>
        <v>325523967</v>
      </c>
      <c r="H33" s="358"/>
      <c r="I33" s="496">
        <f t="shared" si="7"/>
        <v>0.86548999999999998</v>
      </c>
      <c r="K33" s="52">
        <f t="shared" si="4"/>
        <v>281737738</v>
      </c>
      <c r="M33" s="2">
        <f t="shared" si="5"/>
        <v>43786229</v>
      </c>
    </row>
    <row r="34" spans="1:13" x14ac:dyDescent="0.25">
      <c r="A34" s="301">
        <f t="shared" si="3"/>
        <v>17</v>
      </c>
      <c r="B34" s="13" t="s">
        <v>133</v>
      </c>
      <c r="C34" s="485">
        <v>326784475</v>
      </c>
      <c r="D34" s="52"/>
      <c r="E34" s="486">
        <v>680376974</v>
      </c>
      <c r="F34" s="52"/>
      <c r="G34" s="52">
        <f t="shared" si="6"/>
        <v>1007161449</v>
      </c>
      <c r="H34" s="358"/>
      <c r="I34" s="496">
        <f t="shared" si="7"/>
        <v>0.80245999999999995</v>
      </c>
      <c r="K34" s="52">
        <f t="shared" si="4"/>
        <v>808206776</v>
      </c>
      <c r="M34" s="2">
        <f t="shared" si="5"/>
        <v>198954673</v>
      </c>
    </row>
    <row r="35" spans="1:13" x14ac:dyDescent="0.25">
      <c r="A35" s="301">
        <f t="shared" si="3"/>
        <v>18</v>
      </c>
      <c r="B35" s="13" t="s">
        <v>134</v>
      </c>
      <c r="C35" s="485">
        <v>564629473</v>
      </c>
      <c r="D35" s="52"/>
      <c r="E35" s="486">
        <v>734159518</v>
      </c>
      <c r="F35" s="52"/>
      <c r="G35" s="52">
        <f t="shared" si="6"/>
        <v>1298788991</v>
      </c>
      <c r="H35" s="358"/>
      <c r="I35" s="496">
        <f t="shared" si="7"/>
        <v>0.94084999999999996</v>
      </c>
      <c r="K35" s="52">
        <f t="shared" si="4"/>
        <v>1221965622</v>
      </c>
      <c r="M35" s="2">
        <f t="shared" si="5"/>
        <v>76823369</v>
      </c>
    </row>
    <row r="36" spans="1:13" x14ac:dyDescent="0.25">
      <c r="A36" s="301">
        <f t="shared" si="3"/>
        <v>19</v>
      </c>
      <c r="B36" s="13" t="s">
        <v>135</v>
      </c>
      <c r="C36" s="487">
        <v>55605423</v>
      </c>
      <c r="D36" s="52"/>
      <c r="E36" s="488">
        <v>28134674</v>
      </c>
      <c r="F36" s="52"/>
      <c r="G36" s="52">
        <f t="shared" si="6"/>
        <v>83740097</v>
      </c>
      <c r="H36" s="358"/>
      <c r="I36" s="496">
        <f t="shared" si="7"/>
        <v>0.88937999999999995</v>
      </c>
      <c r="K36" s="52">
        <f t="shared" si="4"/>
        <v>74476767</v>
      </c>
      <c r="M36" s="2">
        <f t="shared" si="5"/>
        <v>9263330</v>
      </c>
    </row>
    <row r="37" spans="1:13" x14ac:dyDescent="0.25">
      <c r="A37" s="301">
        <f t="shared" si="3"/>
        <v>20</v>
      </c>
      <c r="B37" s="13" t="s">
        <v>136</v>
      </c>
      <c r="C37" s="489">
        <v>19066254</v>
      </c>
      <c r="D37" s="52"/>
      <c r="E37" s="490">
        <v>1385840</v>
      </c>
      <c r="F37" s="52"/>
      <c r="G37" s="52">
        <f t="shared" si="6"/>
        <v>20452094</v>
      </c>
      <c r="H37" s="358"/>
      <c r="I37" s="496">
        <f t="shared" si="7"/>
        <v>0.87068999999999996</v>
      </c>
      <c r="K37" s="52">
        <f t="shared" si="4"/>
        <v>17807434</v>
      </c>
      <c r="M37" s="2">
        <f t="shared" si="5"/>
        <v>2644660</v>
      </c>
    </row>
    <row r="38" spans="1:13" x14ac:dyDescent="0.25">
      <c r="B38" s="360"/>
      <c r="C38" s="361"/>
      <c r="D38" s="358"/>
      <c r="E38" s="361"/>
      <c r="F38" s="358"/>
      <c r="G38" s="361"/>
      <c r="H38" s="358"/>
      <c r="K38" s="19"/>
      <c r="M38" s="19"/>
    </row>
    <row r="39" spans="1:13" ht="20.100000000000001" customHeight="1" thickBot="1" x14ac:dyDescent="0.3">
      <c r="A39" s="301">
        <f>1+A37</f>
        <v>21</v>
      </c>
      <c r="B39" s="14" t="s">
        <v>141</v>
      </c>
      <c r="C39" s="121">
        <f>SUM(C31:C37)</f>
        <v>2419286203</v>
      </c>
      <c r="D39" s="358"/>
      <c r="E39" s="121">
        <f>SUM(E31:E38)</f>
        <v>3490519875</v>
      </c>
      <c r="F39" s="358"/>
      <c r="G39" s="121">
        <f>SUM(G31:G38)</f>
        <v>5909806078</v>
      </c>
      <c r="H39" s="358"/>
      <c r="K39" s="121">
        <f>SUM(K31:K38)</f>
        <v>5151380315</v>
      </c>
      <c r="M39" s="121">
        <f>G39-K39</f>
        <v>758425763</v>
      </c>
    </row>
    <row r="40" spans="1:13" ht="16.5" thickTop="1" x14ac:dyDescent="0.25">
      <c r="C40" s="358"/>
      <c r="D40" s="358"/>
      <c r="E40" s="358"/>
      <c r="F40" s="358"/>
      <c r="G40" s="358"/>
      <c r="H40" s="358"/>
      <c r="M40" s="25"/>
    </row>
    <row r="41" spans="1:13" x14ac:dyDescent="0.25">
      <c r="B41" s="364"/>
      <c r="C41" s="358"/>
      <c r="D41" s="358"/>
      <c r="E41" s="358"/>
      <c r="F41" s="358"/>
      <c r="G41" s="358"/>
      <c r="H41" s="358"/>
    </row>
    <row r="42" spans="1:13" ht="16.5" thickBot="1" x14ac:dyDescent="0.3">
      <c r="A42" s="301">
        <f>1+A39</f>
        <v>22</v>
      </c>
      <c r="B42" s="14" t="s">
        <v>142</v>
      </c>
      <c r="C42" s="55">
        <f>C28-C39</f>
        <v>4417965739</v>
      </c>
      <c r="D42" s="358"/>
      <c r="E42" s="55">
        <f>(G42-C42)</f>
        <v>2961817101</v>
      </c>
      <c r="F42" s="358"/>
      <c r="G42" s="55">
        <f>G28-G39</f>
        <v>7379782840</v>
      </c>
      <c r="H42" s="362"/>
      <c r="K42" s="55">
        <f>K28-K39</f>
        <v>6478894073</v>
      </c>
      <c r="M42" s="55">
        <f>G42-K42</f>
        <v>900888767</v>
      </c>
    </row>
    <row r="43" spans="1:13" ht="16.5" thickTop="1" x14ac:dyDescent="0.25">
      <c r="C43" s="357"/>
      <c r="D43" s="357"/>
      <c r="E43" s="357"/>
      <c r="F43" s="357"/>
      <c r="G43" s="357"/>
      <c r="H43" s="357"/>
    </row>
    <row r="44" spans="1:13" x14ac:dyDescent="0.25">
      <c r="C44" s="357"/>
      <c r="D44" s="357"/>
      <c r="E44" s="357"/>
      <c r="F44" s="357"/>
      <c r="G44" s="357"/>
      <c r="H44" s="357"/>
    </row>
    <row r="45" spans="1:13" x14ac:dyDescent="0.25">
      <c r="B45" s="14" t="s">
        <v>143</v>
      </c>
      <c r="C45" s="357"/>
      <c r="D45" s="357"/>
      <c r="E45" s="357"/>
      <c r="F45" s="357"/>
      <c r="G45" s="357"/>
      <c r="H45" s="357"/>
    </row>
    <row r="46" spans="1:13" x14ac:dyDescent="0.25">
      <c r="C46" s="14"/>
    </row>
  </sheetData>
  <mergeCells count="3">
    <mergeCell ref="B4:M4"/>
    <mergeCell ref="B6:M6"/>
    <mergeCell ref="B7:M7"/>
  </mergeCells>
  <phoneticPr fontId="0" type="noConversion"/>
  <printOptions horizontalCentered="1"/>
  <pageMargins left="1.25" right="0.75" top="1" bottom="1" header="0.5" footer="0.5"/>
  <pageSetup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F40"/>
  <sheetViews>
    <sheetView showGridLines="0" zoomScaleNormal="100" workbookViewId="0">
      <selection activeCell="F2" sqref="F2"/>
    </sheetView>
  </sheetViews>
  <sheetFormatPr defaultColWidth="9.625" defaultRowHeight="15.75" x14ac:dyDescent="0.25"/>
  <cols>
    <col min="1" max="1" width="3.625" style="66" customWidth="1"/>
    <col min="2" max="2" width="41.125" style="2" customWidth="1"/>
    <col min="3" max="4" width="13.625" style="2" customWidth="1"/>
    <col min="5" max="5" width="2.75" style="2" bestFit="1" customWidth="1"/>
    <col min="6" max="6" width="17.5" style="2" customWidth="1"/>
    <col min="7" max="16384" width="9.625" style="2"/>
  </cols>
  <sheetData>
    <row r="1" spans="1:6" x14ac:dyDescent="0.25">
      <c r="A1" s="352"/>
      <c r="B1" s="10"/>
      <c r="C1" s="10"/>
      <c r="D1" s="10"/>
      <c r="E1" s="10"/>
      <c r="F1" s="529" t="s">
        <v>766</v>
      </c>
    </row>
    <row r="2" spans="1:6" x14ac:dyDescent="0.25">
      <c r="A2" s="352"/>
      <c r="B2" s="10"/>
      <c r="C2" s="10"/>
      <c r="D2" s="10"/>
      <c r="E2" s="10"/>
      <c r="F2" s="11" t="str">
        <f>"Sponsoring Witness: "&amp;Inputs!B13&amp;""</f>
        <v>Sponsoring Witness: Blake</v>
      </c>
    </row>
    <row r="3" spans="1:6" x14ac:dyDescent="0.25">
      <c r="F3" s="7" t="s">
        <v>219</v>
      </c>
    </row>
    <row r="4" spans="1:6" x14ac:dyDescent="0.25">
      <c r="A4" s="799" t="s">
        <v>230</v>
      </c>
      <c r="B4" s="799"/>
      <c r="C4" s="799"/>
      <c r="D4" s="799"/>
      <c r="E4" s="799"/>
      <c r="F4" s="799"/>
    </row>
    <row r="5" spans="1:6" x14ac:dyDescent="0.25">
      <c r="A5" s="68"/>
      <c r="B5" s="15"/>
      <c r="C5" s="15"/>
      <c r="D5" s="15"/>
      <c r="E5" s="15"/>
      <c r="F5" s="15"/>
    </row>
    <row r="6" spans="1:6" x14ac:dyDescent="0.25">
      <c r="A6" s="353" t="s">
        <v>107</v>
      </c>
      <c r="B6" s="15"/>
      <c r="C6" s="15"/>
      <c r="D6" s="15"/>
      <c r="E6" s="15"/>
      <c r="F6" s="15"/>
    </row>
    <row r="7" spans="1:6" x14ac:dyDescent="0.25">
      <c r="A7" s="353" t="s">
        <v>108</v>
      </c>
      <c r="B7" s="15"/>
      <c r="C7" s="15"/>
      <c r="D7" s="15"/>
      <c r="E7" s="15"/>
      <c r="F7" s="15"/>
    </row>
    <row r="8" spans="1:6" x14ac:dyDescent="0.25">
      <c r="A8" s="338" t="str">
        <f>"For the Twelve Months Ended "&amp;Inputs!B3&amp;""</f>
        <v>For the Twelve Months Ended March 31, 2012</v>
      </c>
      <c r="B8" s="15"/>
      <c r="C8" s="15"/>
      <c r="D8" s="15"/>
      <c r="E8" s="15"/>
      <c r="F8" s="15"/>
    </row>
    <row r="9" spans="1:6" x14ac:dyDescent="0.25">
      <c r="A9" s="67"/>
      <c r="E9" s="1"/>
    </row>
    <row r="10" spans="1:6" x14ac:dyDescent="0.25">
      <c r="A10" s="67"/>
      <c r="E10" s="1"/>
    </row>
    <row r="11" spans="1:6" x14ac:dyDescent="0.25">
      <c r="F11" s="8" t="s">
        <v>151</v>
      </c>
    </row>
    <row r="12" spans="1:6" x14ac:dyDescent="0.25">
      <c r="F12" s="18">
        <v>-1</v>
      </c>
    </row>
    <row r="13" spans="1:6" x14ac:dyDescent="0.25">
      <c r="F13" s="3"/>
    </row>
    <row r="14" spans="1:6" x14ac:dyDescent="0.25">
      <c r="A14" s="1"/>
    </row>
    <row r="15" spans="1:6" x14ac:dyDescent="0.25">
      <c r="A15" s="70" t="s">
        <v>170</v>
      </c>
      <c r="B15" s="2" t="s">
        <v>109</v>
      </c>
      <c r="F15" s="46">
        <f>'Ex 3'!D41</f>
        <v>3500935146</v>
      </c>
    </row>
    <row r="16" spans="1:6" x14ac:dyDescent="0.25">
      <c r="A16" s="70"/>
    </row>
    <row r="17" spans="1:6" x14ac:dyDescent="0.25">
      <c r="A17" s="397" t="s">
        <v>171</v>
      </c>
      <c r="B17" s="14" t="s">
        <v>36</v>
      </c>
      <c r="F17" s="46">
        <f>'Ex 4 (Page1)'!H42</f>
        <v>3310817936</v>
      </c>
    </row>
    <row r="18" spans="1:6" x14ac:dyDescent="0.25">
      <c r="A18" s="70"/>
    </row>
    <row r="19" spans="1:6" x14ac:dyDescent="0.25">
      <c r="A19" s="397" t="s">
        <v>172</v>
      </c>
      <c r="B19" s="14" t="s">
        <v>37</v>
      </c>
      <c r="F19" s="46">
        <f>'Ex 5'!D42</f>
        <v>6118746113</v>
      </c>
    </row>
    <row r="20" spans="1:6" x14ac:dyDescent="0.25">
      <c r="A20" s="70"/>
      <c r="F20" s="9"/>
    </row>
    <row r="21" spans="1:6" x14ac:dyDescent="0.25">
      <c r="A21" s="397" t="s">
        <v>173</v>
      </c>
      <c r="B21" s="2" t="s">
        <v>110</v>
      </c>
      <c r="F21" s="46">
        <f>'Ex 1'!K13</f>
        <v>202748924</v>
      </c>
    </row>
    <row r="22" spans="1:6" x14ac:dyDescent="0.25">
      <c r="A22" s="70"/>
      <c r="F22" s="25"/>
    </row>
    <row r="23" spans="1:6" x14ac:dyDescent="0.25">
      <c r="A23" s="397" t="s">
        <v>174</v>
      </c>
      <c r="B23" s="2" t="s">
        <v>111</v>
      </c>
      <c r="F23" s="25"/>
    </row>
    <row r="24" spans="1:6" x14ac:dyDescent="0.25">
      <c r="A24" s="397" t="s">
        <v>14</v>
      </c>
      <c r="B24" s="14" t="s">
        <v>118</v>
      </c>
      <c r="C24" s="45"/>
      <c r="F24" s="41">
        <f>+F21/F15</f>
        <v>5.7912790595864412E-2</v>
      </c>
    </row>
    <row r="25" spans="1:6" x14ac:dyDescent="0.25">
      <c r="A25" s="397" t="s">
        <v>15</v>
      </c>
      <c r="B25" s="14" t="s">
        <v>38</v>
      </c>
      <c r="C25" s="45"/>
      <c r="F25" s="41">
        <f>F21/F17</f>
        <v>6.1238318723424966E-2</v>
      </c>
    </row>
    <row r="26" spans="1:6" ht="16.5" thickBot="1" x14ac:dyDescent="0.3">
      <c r="A26" s="397" t="s">
        <v>46</v>
      </c>
      <c r="B26" s="45" t="s">
        <v>112</v>
      </c>
      <c r="C26" s="45"/>
      <c r="F26" s="354">
        <f>+F21/F19</f>
        <v>3.3135698108021826E-2</v>
      </c>
    </row>
    <row r="27" spans="1:6" ht="16.5" thickTop="1" x14ac:dyDescent="0.25"/>
    <row r="29" spans="1:6" x14ac:dyDescent="0.25">
      <c r="A29" s="397" t="s">
        <v>47</v>
      </c>
      <c r="B29" s="2" t="s">
        <v>113</v>
      </c>
      <c r="F29" s="46">
        <f>'Ex 1'!K114</f>
        <v>199396705</v>
      </c>
    </row>
    <row r="30" spans="1:6" x14ac:dyDescent="0.25">
      <c r="A30" s="397" t="s">
        <v>48</v>
      </c>
      <c r="B30" s="14" t="s">
        <v>39</v>
      </c>
      <c r="F30" s="31">
        <f>'Ex 8'!G24</f>
        <v>82124182</v>
      </c>
    </row>
    <row r="31" spans="1:6" x14ac:dyDescent="0.25">
      <c r="A31" s="397" t="s">
        <v>116</v>
      </c>
      <c r="B31" s="530" t="s">
        <v>648</v>
      </c>
      <c r="D31" s="355">
        <f>'Ex 1'!C100</f>
        <v>36.747251999999996</v>
      </c>
      <c r="E31" s="2" t="s">
        <v>160</v>
      </c>
      <c r="F31" s="31">
        <f>-ROUND(D31/100*F30,0)</f>
        <v>-30178380</v>
      </c>
    </row>
    <row r="32" spans="1:6" x14ac:dyDescent="0.25">
      <c r="F32" s="87"/>
    </row>
    <row r="33" spans="1:6" x14ac:dyDescent="0.25">
      <c r="A33" s="397" t="s">
        <v>117</v>
      </c>
      <c r="B33" s="2" t="s">
        <v>114</v>
      </c>
      <c r="F33" s="25"/>
    </row>
    <row r="34" spans="1:6" x14ac:dyDescent="0.25">
      <c r="A34" s="70"/>
      <c r="B34" s="2" t="s">
        <v>115</v>
      </c>
      <c r="F34" s="46">
        <f>SUM(F29:F32)</f>
        <v>251342507</v>
      </c>
    </row>
    <row r="36" spans="1:6" x14ac:dyDescent="0.25">
      <c r="A36" s="397" t="s">
        <v>119</v>
      </c>
      <c r="B36" s="14" t="s">
        <v>88</v>
      </c>
    </row>
    <row r="37" spans="1:6" x14ac:dyDescent="0.25">
      <c r="A37" s="397" t="s">
        <v>40</v>
      </c>
      <c r="B37" s="45" t="s">
        <v>118</v>
      </c>
      <c r="C37" s="45"/>
      <c r="F37" s="41">
        <f>+F34/F15</f>
        <v>7.179296288512281E-2</v>
      </c>
    </row>
    <row r="38" spans="1:6" x14ac:dyDescent="0.25">
      <c r="A38" s="397" t="s">
        <v>42</v>
      </c>
      <c r="B38" s="14" t="s">
        <v>38</v>
      </c>
      <c r="C38" s="45"/>
      <c r="F38" s="41">
        <f>F34/F17</f>
        <v>7.5915532614173928E-2</v>
      </c>
    </row>
    <row r="39" spans="1:6" ht="16.5" thickBot="1" x14ac:dyDescent="0.3">
      <c r="A39" s="397" t="s">
        <v>41</v>
      </c>
      <c r="B39" s="45" t="s">
        <v>112</v>
      </c>
      <c r="C39" s="45"/>
      <c r="F39" s="354">
        <f>+F34/F19</f>
        <v>4.1077453183748398E-2</v>
      </c>
    </row>
    <row r="40" spans="1:6" ht="16.5" thickTop="1" x14ac:dyDescent="0.25"/>
  </sheetData>
  <mergeCells count="1">
    <mergeCell ref="A4:F4"/>
  </mergeCells>
  <phoneticPr fontId="0" type="noConversion"/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I25"/>
  <sheetViews>
    <sheetView showGridLines="0" zoomScale="85" zoomScaleNormal="85" workbookViewId="0">
      <selection activeCell="C30" sqref="C30"/>
    </sheetView>
  </sheetViews>
  <sheetFormatPr defaultRowHeight="15.75" x14ac:dyDescent="0.25"/>
  <cols>
    <col min="1" max="1" width="3.625" style="66" customWidth="1"/>
    <col min="2" max="2" width="20.625" style="2" customWidth="1"/>
    <col min="3" max="3" width="44" style="2" customWidth="1"/>
    <col min="4" max="4" width="4.625" style="2" customWidth="1"/>
    <col min="5" max="5" width="20.125" style="2" customWidth="1"/>
    <col min="6" max="6" width="3.625" style="526" customWidth="1"/>
    <col min="7" max="7" width="16.25" style="2" customWidth="1"/>
    <col min="8" max="8" width="3.625" style="2" customWidth="1"/>
    <col min="9" max="9" width="20.75" style="2" customWidth="1"/>
    <col min="10" max="16384" width="9" style="2"/>
  </cols>
  <sheetData>
    <row r="1" spans="1:9" x14ac:dyDescent="0.25">
      <c r="I1" s="529" t="s">
        <v>759</v>
      </c>
    </row>
    <row r="2" spans="1:9" x14ac:dyDescent="0.25">
      <c r="I2" s="529" t="str">
        <f>"Sponsoring Witness: "&amp;Inputs!$B14&amp;""</f>
        <v>Sponsoring Witness: Blake</v>
      </c>
    </row>
    <row r="3" spans="1:9" x14ac:dyDescent="0.25">
      <c r="I3" s="7" t="s">
        <v>219</v>
      </c>
    </row>
    <row r="4" spans="1:9" x14ac:dyDescent="0.25">
      <c r="A4" s="809" t="s">
        <v>230</v>
      </c>
      <c r="B4" s="809"/>
      <c r="C4" s="809"/>
      <c r="D4" s="809"/>
    </row>
    <row r="5" spans="1:9" x14ac:dyDescent="0.25">
      <c r="A5" s="68"/>
      <c r="B5" s="15"/>
      <c r="C5" s="15"/>
      <c r="D5" s="15"/>
      <c r="G5" s="15"/>
    </row>
    <row r="6" spans="1:9" x14ac:dyDescent="0.25">
      <c r="A6" s="800" t="str">
        <f>"Calculation of Overall Revenue Deficiency/(Sufficiency) at "&amp;Inputs!B3&amp;""</f>
        <v>Calculation of Overall Revenue Deficiency/(Sufficiency) at March 31, 2012</v>
      </c>
      <c r="B6" s="800"/>
      <c r="C6" s="800"/>
      <c r="D6" s="800"/>
    </row>
    <row r="7" spans="1:9" x14ac:dyDescent="0.25">
      <c r="A7" s="67"/>
      <c r="B7" s="15"/>
      <c r="C7" s="15"/>
      <c r="D7" s="15"/>
      <c r="G7" s="15"/>
    </row>
    <row r="8" spans="1:9" x14ac:dyDescent="0.25">
      <c r="A8" s="67"/>
      <c r="B8" s="15"/>
      <c r="C8" s="15"/>
      <c r="D8" s="15"/>
      <c r="E8" s="511" t="s">
        <v>757</v>
      </c>
      <c r="G8" s="511" t="s">
        <v>756</v>
      </c>
      <c r="I8" s="511" t="s">
        <v>758</v>
      </c>
    </row>
    <row r="9" spans="1:9" x14ac:dyDescent="0.25">
      <c r="A9" s="69"/>
      <c r="E9" s="511" t="s">
        <v>414</v>
      </c>
      <c r="F9" s="540"/>
      <c r="G9" s="511" t="s">
        <v>414</v>
      </c>
      <c r="H9" s="508"/>
      <c r="I9" s="511" t="s">
        <v>414</v>
      </c>
    </row>
    <row r="10" spans="1:9" x14ac:dyDescent="0.25">
      <c r="E10" s="512">
        <v>-1</v>
      </c>
      <c r="F10" s="540"/>
      <c r="G10" s="512">
        <v>-2</v>
      </c>
      <c r="H10" s="508"/>
      <c r="I10" s="512">
        <v>-3</v>
      </c>
    </row>
    <row r="11" spans="1:9" s="509" customFormat="1" x14ac:dyDescent="0.25">
      <c r="A11" s="513"/>
      <c r="E11" s="514"/>
      <c r="F11" s="540"/>
      <c r="G11" s="514"/>
      <c r="H11" s="508"/>
      <c r="I11" s="511" t="s">
        <v>760</v>
      </c>
    </row>
    <row r="12" spans="1:9" ht="15.75" customHeight="1" x14ac:dyDescent="0.25">
      <c r="E12" s="514"/>
      <c r="F12" s="540"/>
      <c r="G12" s="514"/>
      <c r="H12" s="508"/>
      <c r="I12" s="514"/>
    </row>
    <row r="13" spans="1:9" x14ac:dyDescent="0.25">
      <c r="A13" s="70" t="s">
        <v>170</v>
      </c>
      <c r="B13" s="530" t="s">
        <v>670</v>
      </c>
      <c r="E13" s="72">
        <v>3294685544</v>
      </c>
      <c r="G13" s="72">
        <f>'Ex 2'!$J43</f>
        <v>3294685544</v>
      </c>
      <c r="I13" s="72">
        <f>G13-E13</f>
        <v>0</v>
      </c>
    </row>
    <row r="14" spans="1:9" x14ac:dyDescent="0.25">
      <c r="A14" s="70"/>
      <c r="E14" s="72"/>
      <c r="G14" s="72"/>
      <c r="I14" s="72"/>
    </row>
    <row r="15" spans="1:9" x14ac:dyDescent="0.25">
      <c r="A15" s="70" t="s">
        <v>171</v>
      </c>
      <c r="B15" s="530" t="s">
        <v>671</v>
      </c>
      <c r="E15" s="212">
        <v>7.6200000000000004E-2</v>
      </c>
      <c r="G15" s="212">
        <f>'Ex 2'!$P43</f>
        <v>7.6200000000000004E-2</v>
      </c>
      <c r="I15" s="212">
        <f>G15-E15</f>
        <v>0</v>
      </c>
    </row>
    <row r="16" spans="1:9" x14ac:dyDescent="0.25">
      <c r="A16" s="70"/>
      <c r="E16" s="72"/>
      <c r="G16" s="72"/>
      <c r="I16" s="72"/>
    </row>
    <row r="17" spans="1:9" x14ac:dyDescent="0.25">
      <c r="A17" s="70" t="s">
        <v>172</v>
      </c>
      <c r="B17" s="2" t="s">
        <v>13</v>
      </c>
      <c r="E17" s="72">
        <v>251055038</v>
      </c>
      <c r="G17" s="72">
        <f>ROUND(G13*G15,0)</f>
        <v>251055038</v>
      </c>
      <c r="I17" s="72">
        <f>G17-E17</f>
        <v>0</v>
      </c>
    </row>
    <row r="18" spans="1:9" x14ac:dyDescent="0.25">
      <c r="A18" s="70"/>
      <c r="E18" s="72"/>
      <c r="G18" s="72"/>
      <c r="I18" s="72"/>
    </row>
    <row r="19" spans="1:9" x14ac:dyDescent="0.25">
      <c r="A19" s="70" t="s">
        <v>173</v>
      </c>
      <c r="B19" s="14" t="s">
        <v>146</v>
      </c>
      <c r="E19" s="207">
        <v>199192491</v>
      </c>
      <c r="G19" s="207">
        <f>+'Ex 1'!$K114</f>
        <v>199396705</v>
      </c>
      <c r="I19" s="207">
        <f>G19-E19</f>
        <v>204214</v>
      </c>
    </row>
    <row r="20" spans="1:9" x14ac:dyDescent="0.25">
      <c r="A20" s="70"/>
      <c r="E20" s="206"/>
      <c r="G20" s="206"/>
      <c r="I20" s="206"/>
    </row>
    <row r="21" spans="1:9" x14ac:dyDescent="0.25">
      <c r="A21" s="70" t="s">
        <v>174</v>
      </c>
      <c r="B21" s="14" t="s">
        <v>147</v>
      </c>
      <c r="E21" s="40">
        <v>51862547</v>
      </c>
      <c r="G21" s="40">
        <f>G17-G19</f>
        <v>51658333</v>
      </c>
      <c r="I21" s="40">
        <f>G21-E21</f>
        <v>-204214</v>
      </c>
    </row>
    <row r="22" spans="1:9" x14ac:dyDescent="0.25">
      <c r="A22" s="70" t="s">
        <v>14</v>
      </c>
      <c r="B22" s="205" t="str">
        <f>"Gross Up Revenue Factor - Exhibit 1, "&amp;'1.34'!G4</f>
        <v>Gross Up Revenue Factor - Exhibit 1, Reference Schedule 1.34</v>
      </c>
      <c r="C22" s="100"/>
      <c r="D22" s="100"/>
      <c r="E22" s="155">
        <v>0.62902705999999997</v>
      </c>
      <c r="G22" s="155">
        <f>+'1.34'!$G40/100</f>
        <v>0.62902705999999997</v>
      </c>
      <c r="I22" s="155">
        <f>G22-E22</f>
        <v>0</v>
      </c>
    </row>
    <row r="23" spans="1:9" x14ac:dyDescent="0.25">
      <c r="A23" s="70"/>
      <c r="E23" s="510"/>
      <c r="G23" s="19"/>
      <c r="I23" s="510"/>
    </row>
    <row r="24" spans="1:9" ht="26.25" customHeight="1" thickBot="1" x14ac:dyDescent="0.3">
      <c r="A24" s="70" t="s">
        <v>15</v>
      </c>
      <c r="B24" s="14" t="s">
        <v>150</v>
      </c>
      <c r="E24" s="121">
        <v>82448833</v>
      </c>
      <c r="G24" s="121">
        <f>ROUND(G21/G22,0)</f>
        <v>82124182</v>
      </c>
      <c r="I24" s="121">
        <f>G24-E24</f>
        <v>-324651</v>
      </c>
    </row>
    <row r="25" spans="1:9" ht="16.5" thickTop="1" x14ac:dyDescent="0.25"/>
  </sheetData>
  <mergeCells count="2">
    <mergeCell ref="A4:D4"/>
    <mergeCell ref="A6:D6"/>
  </mergeCells>
  <phoneticPr fontId="0" type="noConversion"/>
  <printOptions horizontalCentered="1" gridLinesSet="0"/>
  <pageMargins left="1.25" right="0.75" top="1" bottom="1" header="0.25" footer="0.5"/>
  <pageSetup scale="56" orientation="portrait" r:id="rId1"/>
  <headerFooter alignWithMargins="0"/>
  <cellWatches>
    <cellWatch r="G24"/>
  </cellWatch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8"/>
  <sheetViews>
    <sheetView showGridLines="0" zoomScale="85" zoomScaleNormal="85" workbookViewId="0">
      <selection activeCell="K2" sqref="K2"/>
    </sheetView>
  </sheetViews>
  <sheetFormatPr defaultRowHeight="15.75" x14ac:dyDescent="0.25"/>
  <cols>
    <col min="1" max="1" width="1.625" style="171" customWidth="1"/>
    <col min="2" max="2" width="8.125" style="227" customWidth="1"/>
    <col min="3" max="3" width="21.125" style="171" bestFit="1" customWidth="1"/>
    <col min="4" max="4" width="17.375" style="171" customWidth="1"/>
    <col min="5" max="5" width="1.625" style="171" customWidth="1"/>
    <col min="6" max="6" width="9.625" style="171" customWidth="1"/>
    <col min="7" max="7" width="1.625" style="171" customWidth="1"/>
    <col min="8" max="8" width="13.625" style="171" customWidth="1"/>
    <col min="9" max="9" width="4.125" style="171" bestFit="1" customWidth="1"/>
    <col min="10" max="10" width="15.625" style="171" customWidth="1"/>
    <col min="11" max="11" width="4.125" style="171" customWidth="1"/>
    <col min="12" max="12" width="1.625" style="171" customWidth="1"/>
    <col min="13" max="13" width="12.5" style="171" customWidth="1"/>
    <col min="14" max="16384" width="9" style="171"/>
  </cols>
  <sheetData>
    <row r="1" spans="1:13" s="2" customFormat="1" x14ac:dyDescent="0.25">
      <c r="A1" s="66"/>
      <c r="B1" s="3"/>
      <c r="E1" s="11"/>
      <c r="F1" s="209"/>
      <c r="G1" s="11"/>
      <c r="H1" s="209"/>
      <c r="K1" s="529" t="s">
        <v>767</v>
      </c>
    </row>
    <row r="2" spans="1:13" s="2" customFormat="1" x14ac:dyDescent="0.25">
      <c r="A2" s="66"/>
      <c r="B2" s="3"/>
      <c r="E2" s="11"/>
      <c r="F2" s="209"/>
      <c r="G2" s="11"/>
      <c r="H2" s="209"/>
      <c r="K2" s="529" t="str">
        <f>"Sponsoring Witness: "&amp;Inputs!$B15&amp;""</f>
        <v>Sponsoring Witness: Blake</v>
      </c>
      <c r="M2" s="529"/>
    </row>
    <row r="3" spans="1:13" s="2" customFormat="1" x14ac:dyDescent="0.25">
      <c r="A3" s="66"/>
      <c r="B3" s="3"/>
      <c r="E3" s="7"/>
      <c r="F3" s="210"/>
      <c r="G3" s="7"/>
      <c r="H3" s="210"/>
      <c r="K3" s="7" t="s">
        <v>219</v>
      </c>
    </row>
    <row r="4" spans="1:13" s="2" customFormat="1" x14ac:dyDescent="0.25">
      <c r="A4" s="66"/>
      <c r="B4" s="3"/>
      <c r="E4" s="7"/>
      <c r="F4" s="210"/>
      <c r="G4" s="7"/>
      <c r="H4" s="210"/>
      <c r="K4" s="7"/>
    </row>
    <row r="5" spans="1:13" s="2" customFormat="1" x14ac:dyDescent="0.25">
      <c r="A5" s="809" t="s">
        <v>230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</row>
    <row r="6" spans="1:13" s="2" customFormat="1" x14ac:dyDescent="0.25">
      <c r="A6" s="68"/>
      <c r="B6" s="22"/>
      <c r="C6" s="15"/>
      <c r="D6" s="15"/>
      <c r="E6" s="15"/>
      <c r="F6" s="211"/>
      <c r="G6" s="15"/>
      <c r="H6" s="211"/>
      <c r="I6" s="15"/>
    </row>
    <row r="7" spans="1:13" s="2" customFormat="1" x14ac:dyDescent="0.25">
      <c r="A7" s="810" t="s">
        <v>16</v>
      </c>
      <c r="B7" s="810"/>
      <c r="C7" s="810"/>
      <c r="D7" s="810"/>
      <c r="E7" s="810"/>
      <c r="F7" s="810"/>
      <c r="G7" s="810"/>
      <c r="H7" s="810"/>
      <c r="I7" s="810"/>
      <c r="J7" s="810"/>
      <c r="K7" s="810"/>
      <c r="L7" s="810"/>
    </row>
    <row r="8" spans="1:13" s="2" customFormat="1" x14ac:dyDescent="0.25">
      <c r="A8" s="800" t="str">
        <f>"For the Twelve Months Ended "&amp;Inputs!B3&amp;""</f>
        <v>For the Twelve Months Ended March 31, 2012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79"/>
    </row>
    <row r="9" spans="1:13" s="2" customFormat="1" x14ac:dyDescent="0.25">
      <c r="A9" s="213"/>
      <c r="B9" s="218"/>
      <c r="C9" s="213"/>
      <c r="D9" s="213"/>
      <c r="E9" s="213"/>
      <c r="F9" s="213"/>
      <c r="G9" s="213"/>
      <c r="H9" s="213"/>
      <c r="I9" s="213"/>
      <c r="J9" s="213"/>
      <c r="K9" s="213"/>
      <c r="L9" s="213"/>
    </row>
    <row r="10" spans="1:13" s="2" customFormat="1" x14ac:dyDescent="0.25">
      <c r="A10" s="213"/>
      <c r="B10" s="218"/>
      <c r="C10" s="213"/>
      <c r="D10" s="213"/>
      <c r="E10" s="213"/>
      <c r="F10" s="213"/>
      <c r="G10" s="213"/>
      <c r="H10" s="213"/>
      <c r="I10" s="213"/>
      <c r="J10" s="213"/>
      <c r="K10" s="213"/>
      <c r="L10" s="213"/>
    </row>
    <row r="11" spans="1:13" x14ac:dyDescent="0.25">
      <c r="B11" s="811"/>
      <c r="C11" s="812"/>
      <c r="D11" s="812"/>
      <c r="E11" s="812"/>
      <c r="F11" s="812"/>
      <c r="G11" s="812"/>
      <c r="H11" s="812"/>
      <c r="I11" s="812"/>
      <c r="J11" s="812"/>
      <c r="K11" s="812"/>
    </row>
    <row r="12" spans="1:13" x14ac:dyDescent="0.25">
      <c r="B12" s="219"/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3" x14ac:dyDescent="0.25">
      <c r="B13" s="219"/>
      <c r="C13" s="172"/>
      <c r="D13" s="168" t="s">
        <v>167</v>
      </c>
      <c r="E13" s="168"/>
      <c r="F13" s="172"/>
      <c r="G13" s="172"/>
      <c r="H13" s="172"/>
      <c r="I13" s="172"/>
      <c r="J13" s="172"/>
      <c r="K13" s="172"/>
    </row>
    <row r="14" spans="1:13" x14ac:dyDescent="0.25">
      <c r="B14" s="219"/>
      <c r="C14" s="172"/>
      <c r="D14" s="169" t="s">
        <v>239</v>
      </c>
      <c r="E14" s="172"/>
      <c r="F14" s="168" t="s">
        <v>351</v>
      </c>
      <c r="G14" s="172"/>
      <c r="H14" s="168" t="s">
        <v>165</v>
      </c>
      <c r="I14" s="168"/>
      <c r="J14" s="168" t="s">
        <v>352</v>
      </c>
      <c r="K14" s="172"/>
    </row>
    <row r="15" spans="1:13" x14ac:dyDescent="0.25">
      <c r="B15" s="219"/>
      <c r="C15" s="172"/>
      <c r="D15" s="170" t="s">
        <v>238</v>
      </c>
      <c r="E15" s="172"/>
      <c r="F15" s="168" t="s">
        <v>164</v>
      </c>
      <c r="G15" s="168"/>
      <c r="H15" s="168" t="s">
        <v>163</v>
      </c>
      <c r="I15" s="172"/>
      <c r="J15" s="168" t="s">
        <v>353</v>
      </c>
      <c r="K15" s="172"/>
    </row>
    <row r="16" spans="1:13" x14ac:dyDescent="0.25">
      <c r="B16" s="219"/>
      <c r="C16" s="172"/>
      <c r="D16" s="170" t="s">
        <v>194</v>
      </c>
      <c r="E16" s="172"/>
      <c r="F16" s="168" t="s">
        <v>151</v>
      </c>
      <c r="G16" s="168"/>
      <c r="H16" s="168" t="s">
        <v>168</v>
      </c>
      <c r="I16" s="172"/>
      <c r="J16" s="168" t="s">
        <v>166</v>
      </c>
      <c r="K16" s="172"/>
    </row>
    <row r="17" spans="2:14" x14ac:dyDescent="0.25">
      <c r="B17" s="219"/>
      <c r="C17" s="172"/>
      <c r="D17" s="565" t="s">
        <v>667</v>
      </c>
      <c r="E17" s="172"/>
      <c r="F17" s="172"/>
      <c r="G17" s="168"/>
      <c r="H17" s="565" t="s">
        <v>668</v>
      </c>
      <c r="I17" s="172"/>
      <c r="J17" s="220" t="s">
        <v>31</v>
      </c>
      <c r="K17" s="172"/>
    </row>
    <row r="18" spans="2:14" x14ac:dyDescent="0.25">
      <c r="B18" s="219"/>
      <c r="C18" s="172"/>
      <c r="D18" s="221" t="s">
        <v>159</v>
      </c>
      <c r="E18" s="172"/>
      <c r="F18" s="18">
        <v>-2</v>
      </c>
      <c r="G18" s="168"/>
      <c r="H18" s="18">
        <v>-3</v>
      </c>
      <c r="I18" s="172"/>
      <c r="J18" s="18">
        <v>-4</v>
      </c>
      <c r="K18" s="172"/>
    </row>
    <row r="19" spans="2:14" x14ac:dyDescent="0.25">
      <c r="B19" s="219"/>
      <c r="C19" s="172"/>
      <c r="D19" s="173"/>
      <c r="E19" s="172"/>
      <c r="F19" s="172"/>
      <c r="G19" s="168"/>
      <c r="H19" s="172"/>
      <c r="I19" s="172"/>
      <c r="J19" s="168"/>
      <c r="K19" s="172"/>
    </row>
    <row r="20" spans="2:14" x14ac:dyDescent="0.25">
      <c r="B20" s="222" t="s">
        <v>170</v>
      </c>
      <c r="C20" s="174" t="s">
        <v>195</v>
      </c>
      <c r="D20" s="175">
        <f>'Ex 2'!J37</f>
        <v>0</v>
      </c>
      <c r="E20" s="176"/>
      <c r="F20" s="325">
        <f>ROUND(D20/D$26,4)</f>
        <v>0</v>
      </c>
      <c r="G20" s="177"/>
      <c r="H20" s="178">
        <f>'Ex 2'!N37</f>
        <v>4.3E-3</v>
      </c>
      <c r="I20" s="179"/>
      <c r="J20" s="180">
        <f>ROUND(F20*H20,4)</f>
        <v>0</v>
      </c>
      <c r="K20" s="172"/>
    </row>
    <row r="21" spans="2:14" x14ac:dyDescent="0.25">
      <c r="B21" s="223"/>
      <c r="C21" s="181"/>
      <c r="D21" s="182"/>
      <c r="E21" s="176"/>
      <c r="F21" s="183"/>
      <c r="G21" s="177"/>
      <c r="H21" s="228"/>
      <c r="I21" s="185"/>
      <c r="J21" s="184"/>
      <c r="K21" s="172"/>
    </row>
    <row r="22" spans="2:14" x14ac:dyDescent="0.25">
      <c r="B22" s="222" t="s">
        <v>171</v>
      </c>
      <c r="C22" s="174" t="s">
        <v>211</v>
      </c>
      <c r="D22" s="175">
        <f>'Ex 2'!J39</f>
        <v>1525295858</v>
      </c>
      <c r="E22" s="176"/>
      <c r="F22" s="325">
        <f>ROUND(D22/D$26,4)</f>
        <v>0.46300000000000002</v>
      </c>
      <c r="G22" s="177"/>
      <c r="H22" s="178">
        <f>'Ex 2'!N39</f>
        <v>3.6999999999999998E-2</v>
      </c>
      <c r="I22" s="179"/>
      <c r="J22" s="180">
        <f>ROUND(F22*H22,4)</f>
        <v>1.7100000000000001E-2</v>
      </c>
      <c r="K22" s="172"/>
    </row>
    <row r="23" spans="2:14" x14ac:dyDescent="0.25">
      <c r="B23" s="223"/>
      <c r="C23" s="181"/>
      <c r="D23" s="182"/>
      <c r="E23" s="176"/>
      <c r="F23" s="183"/>
      <c r="G23" s="177"/>
      <c r="H23" s="228"/>
      <c r="I23" s="185"/>
      <c r="J23" s="184"/>
      <c r="K23" s="172"/>
    </row>
    <row r="24" spans="2:14" x14ac:dyDescent="0.25">
      <c r="B24" s="222" t="s">
        <v>172</v>
      </c>
      <c r="C24" s="174" t="s">
        <v>212</v>
      </c>
      <c r="D24" s="175">
        <f>'Ex 2'!J41</f>
        <v>1769389686</v>
      </c>
      <c r="E24" s="172"/>
      <c r="F24" s="326">
        <f>1-F20-F22</f>
        <v>0.53699999999999992</v>
      </c>
      <c r="G24" s="172"/>
      <c r="H24" s="180">
        <f>ROUND(J24/F24,4)</f>
        <v>8.0799999999999997E-2</v>
      </c>
      <c r="I24" s="179" t="s">
        <v>290</v>
      </c>
      <c r="J24" s="214">
        <f>J31-J20-J22</f>
        <v>4.3399999999999994E-2</v>
      </c>
      <c r="K24" s="215" t="s">
        <v>337</v>
      </c>
    </row>
    <row r="25" spans="2:14" x14ac:dyDescent="0.25">
      <c r="B25" s="222"/>
      <c r="C25" s="181"/>
      <c r="D25" s="216"/>
      <c r="E25" s="172"/>
      <c r="F25" s="172"/>
      <c r="G25" s="172"/>
      <c r="H25" s="186"/>
      <c r="I25" s="185"/>
      <c r="J25" s="217"/>
      <c r="K25" s="172"/>
    </row>
    <row r="26" spans="2:14" ht="16.5" thickBot="1" x14ac:dyDescent="0.3">
      <c r="B26" s="222" t="s">
        <v>173</v>
      </c>
      <c r="C26" s="100" t="s">
        <v>175</v>
      </c>
      <c r="D26" s="224">
        <f>SUM(D20:D24)</f>
        <v>3294685544</v>
      </c>
      <c r="E26" s="172"/>
      <c r="F26" s="225">
        <f>SUM(F20:F24)</f>
        <v>1</v>
      </c>
      <c r="G26" s="172"/>
      <c r="H26" s="187"/>
      <c r="I26" s="185"/>
      <c r="J26" s="226">
        <f>SUM(J19:J24)</f>
        <v>6.0499999999999998E-2</v>
      </c>
      <c r="K26" s="172"/>
    </row>
    <row r="27" spans="2:14" ht="16.5" thickTop="1" x14ac:dyDescent="0.25">
      <c r="B27" s="223"/>
      <c r="C27" s="181"/>
      <c r="D27" s="177"/>
      <c r="E27" s="172"/>
      <c r="F27" s="172"/>
      <c r="G27" s="172"/>
      <c r="H27" s="187"/>
      <c r="I27" s="185"/>
      <c r="J27" s="188"/>
      <c r="K27" s="172"/>
    </row>
    <row r="28" spans="2:14" x14ac:dyDescent="0.25">
      <c r="B28" s="223"/>
      <c r="C28" s="181"/>
      <c r="D28" s="177"/>
      <c r="E28" s="172"/>
      <c r="F28" s="172"/>
      <c r="G28" s="172"/>
      <c r="H28" s="187"/>
      <c r="I28" s="185"/>
      <c r="J28" s="188"/>
      <c r="K28" s="172"/>
    </row>
    <row r="29" spans="2:14" x14ac:dyDescent="0.25">
      <c r="B29" s="222" t="s">
        <v>174</v>
      </c>
      <c r="C29" s="33" t="s">
        <v>146</v>
      </c>
      <c r="D29" s="177"/>
      <c r="E29" s="172"/>
      <c r="F29" s="172"/>
      <c r="G29" s="172"/>
      <c r="H29" s="187"/>
      <c r="I29" s="185"/>
      <c r="J29" s="324">
        <f>'Ex 1'!K114</f>
        <v>199396705</v>
      </c>
      <c r="K29" s="215" t="s">
        <v>354</v>
      </c>
      <c r="N29" s="189"/>
    </row>
    <row r="30" spans="2:14" x14ac:dyDescent="0.25">
      <c r="B30" s="223"/>
      <c r="C30" s="181"/>
      <c r="D30" s="177"/>
      <c r="E30" s="172"/>
      <c r="F30" s="172"/>
      <c r="G30" s="172"/>
      <c r="H30" s="187"/>
      <c r="I30" s="185"/>
      <c r="J30" s="188"/>
      <c r="K30" s="172"/>
    </row>
    <row r="31" spans="2:14" x14ac:dyDescent="0.25">
      <c r="B31" s="222" t="s">
        <v>14</v>
      </c>
      <c r="C31" s="174" t="s">
        <v>356</v>
      </c>
      <c r="D31" s="177"/>
      <c r="E31" s="172"/>
      <c r="F31" s="172"/>
      <c r="G31" s="172"/>
      <c r="H31" s="187"/>
      <c r="I31" s="185"/>
      <c r="J31" s="185">
        <f>ROUND(J29/D26,4)</f>
        <v>6.0499999999999998E-2</v>
      </c>
      <c r="K31" s="380" t="s">
        <v>355</v>
      </c>
    </row>
    <row r="35" spans="2:10" x14ac:dyDescent="0.25">
      <c r="B35" s="227" t="s">
        <v>357</v>
      </c>
      <c r="C35" s="204" t="s">
        <v>96</v>
      </c>
      <c r="J35" s="625"/>
    </row>
    <row r="36" spans="2:10" x14ac:dyDescent="0.25">
      <c r="C36" s="204" t="s">
        <v>97</v>
      </c>
    </row>
    <row r="37" spans="2:10" x14ac:dyDescent="0.25">
      <c r="C37" s="456" t="s">
        <v>669</v>
      </c>
    </row>
    <row r="38" spans="2:10" x14ac:dyDescent="0.25">
      <c r="C38" s="204" t="s">
        <v>98</v>
      </c>
    </row>
  </sheetData>
  <mergeCells count="4">
    <mergeCell ref="A5:L5"/>
    <mergeCell ref="A7:L7"/>
    <mergeCell ref="B11:K11"/>
    <mergeCell ref="A8:K8"/>
  </mergeCells>
  <phoneticPr fontId="24" type="noConversion"/>
  <printOptions horizontalCentered="1"/>
  <pageMargins left="0.75" right="0.5" top="1" bottom="0" header="0.25" footer="0.5"/>
  <pageSetup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">
    <pageSetUpPr fitToPage="1"/>
  </sheetPr>
  <dimension ref="A1:I60"/>
  <sheetViews>
    <sheetView showGridLines="0" zoomScaleNormal="100" zoomScaleSheetLayoutView="70" workbookViewId="0">
      <selection activeCell="H25" sqref="H25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5.125" style="144" customWidth="1"/>
    <col min="4" max="4" width="16.125" style="144" customWidth="1"/>
    <col min="5" max="5" width="2.625" style="144" customWidth="1"/>
    <col min="6" max="6" width="16.125" style="144" customWidth="1"/>
    <col min="7" max="7" width="9.625" style="144"/>
    <col min="8" max="8" width="13" style="144" bestFit="1" customWidth="1"/>
    <col min="9" max="9" width="10.125" style="144" bestFit="1" customWidth="1"/>
    <col min="10" max="16384" width="9.625" style="144"/>
  </cols>
  <sheetData>
    <row r="1" spans="1:6" ht="15.75" x14ac:dyDescent="0.25">
      <c r="A1" s="1"/>
      <c r="B1" s="2"/>
      <c r="C1" s="2"/>
      <c r="D1" s="2"/>
      <c r="E1" s="2"/>
      <c r="F1" s="2"/>
    </row>
    <row r="2" spans="1:6" ht="15.75" x14ac:dyDescent="0.25">
      <c r="A2" s="2"/>
      <c r="B2" s="2"/>
      <c r="C2" s="2"/>
      <c r="D2" s="2"/>
      <c r="E2" s="2"/>
      <c r="F2" s="2"/>
    </row>
    <row r="3" spans="1:6" ht="15.75" x14ac:dyDescent="0.25">
      <c r="A3" s="2"/>
      <c r="B3" s="2"/>
      <c r="C3" s="2"/>
      <c r="D3" s="1"/>
      <c r="E3" s="1"/>
      <c r="F3" s="7" t="str">
        <f>'Ex 1'!$K$1</f>
        <v>Revised Exhibit 1</v>
      </c>
    </row>
    <row r="4" spans="1:6" ht="15.75" x14ac:dyDescent="0.25">
      <c r="A4" s="2"/>
      <c r="B4" s="2"/>
      <c r="C4" s="2"/>
      <c r="D4" s="1"/>
      <c r="E4" s="1"/>
      <c r="F4" s="30" t="str">
        <f>"Reference Schedule "&amp;Inputs!$A16&amp;""</f>
        <v>Reference Schedule 1.00</v>
      </c>
    </row>
    <row r="5" spans="1:6" ht="15.75" x14ac:dyDescent="0.25">
      <c r="A5" s="2"/>
      <c r="B5" s="2"/>
      <c r="C5" s="2"/>
      <c r="D5" s="2"/>
      <c r="E5" s="2"/>
      <c r="F5" s="529" t="str">
        <f>"Sponsoring Witness: "&amp;Inputs!$B16&amp;""</f>
        <v>Sponsoring Witness: Bellar</v>
      </c>
    </row>
    <row r="6" spans="1:6" ht="15.75" x14ac:dyDescent="0.25">
      <c r="A6" s="2"/>
      <c r="B6" s="2"/>
      <c r="C6" s="2"/>
      <c r="D6" s="2"/>
      <c r="E6" s="2"/>
      <c r="F6" s="2"/>
    </row>
    <row r="7" spans="1:6" ht="15.75" x14ac:dyDescent="0.25">
      <c r="A7" s="2"/>
      <c r="B7" s="2"/>
      <c r="C7" s="2"/>
      <c r="D7" s="2"/>
      <c r="E7" s="2"/>
      <c r="F7" s="2"/>
    </row>
    <row r="8" spans="1:6" ht="15.75" x14ac:dyDescent="0.25">
      <c r="A8" s="4" t="s">
        <v>230</v>
      </c>
      <c r="B8" s="4"/>
      <c r="C8" s="4"/>
      <c r="D8" s="6"/>
      <c r="E8" s="6"/>
      <c r="F8" s="6"/>
    </row>
    <row r="9" spans="1:6" ht="15.75" x14ac:dyDescent="0.25">
      <c r="A9" s="4"/>
      <c r="B9" s="4"/>
      <c r="C9" s="4"/>
      <c r="D9" s="2"/>
      <c r="E9" s="2"/>
      <c r="F9" s="2"/>
    </row>
    <row r="10" spans="1:6" ht="15.75" x14ac:dyDescent="0.25">
      <c r="A10" s="4"/>
      <c r="B10" s="4"/>
      <c r="C10" s="4"/>
      <c r="D10" s="2"/>
      <c r="E10" s="2"/>
      <c r="F10" s="2"/>
    </row>
    <row r="11" spans="1:6" ht="15.75" x14ac:dyDescent="0.25">
      <c r="A11" s="4" t="s">
        <v>221</v>
      </c>
      <c r="B11" s="4"/>
      <c r="C11" s="4"/>
      <c r="D11" s="6"/>
      <c r="E11" s="6"/>
      <c r="F11" s="6"/>
    </row>
    <row r="12" spans="1:6" ht="15.75" x14ac:dyDescent="0.25">
      <c r="A12" s="1"/>
      <c r="B12" s="2"/>
      <c r="C12" s="2"/>
      <c r="D12" s="2"/>
      <c r="E12" s="2"/>
      <c r="F12" s="2"/>
    </row>
    <row r="13" spans="1:6" ht="15.75" x14ac:dyDescent="0.25">
      <c r="A13" s="1"/>
      <c r="B13" s="2"/>
      <c r="C13" s="2"/>
      <c r="D13" s="2"/>
      <c r="E13" s="2"/>
      <c r="F13" s="2"/>
    </row>
    <row r="14" spans="1:6" ht="15.75" x14ac:dyDescent="0.25">
      <c r="A14" s="1"/>
      <c r="B14" s="2"/>
      <c r="C14" s="2"/>
      <c r="D14" s="2"/>
      <c r="E14" s="2"/>
      <c r="F14" s="2"/>
    </row>
    <row r="15" spans="1:6" ht="15.75" x14ac:dyDescent="0.25">
      <c r="A15" s="2"/>
      <c r="B15" s="21"/>
      <c r="C15" s="2"/>
      <c r="E15" s="21"/>
      <c r="F15" s="21"/>
    </row>
    <row r="16" spans="1:6" ht="15.75" x14ac:dyDescent="0.25">
      <c r="A16" s="25"/>
      <c r="B16" s="34"/>
      <c r="C16" s="35"/>
      <c r="E16" s="36"/>
      <c r="F16" s="36"/>
    </row>
    <row r="17" spans="1:9" ht="15.75" x14ac:dyDescent="0.25">
      <c r="A17" s="25" t="str">
        <f>"1.  Unbilled revenues at "&amp;Inputs!B4&amp;""</f>
        <v>1.  Unbilled revenues at March 31, 2011</v>
      </c>
      <c r="B17" s="146"/>
      <c r="C17" s="147"/>
      <c r="E17" s="49"/>
      <c r="F17" s="49">
        <v>61634000</v>
      </c>
    </row>
    <row r="18" spans="1:9" ht="15.75" x14ac:dyDescent="0.25">
      <c r="A18" s="29"/>
      <c r="B18" s="36"/>
      <c r="C18" s="81"/>
      <c r="E18" s="36"/>
      <c r="F18" s="36"/>
    </row>
    <row r="19" spans="1:9" ht="15.75" x14ac:dyDescent="0.25">
      <c r="A19" s="29" t="str">
        <f>"2.  Unbilled revenues at "&amp;Inputs!B3&amp;""</f>
        <v>2.  Unbilled revenues at March 31, 2012</v>
      </c>
      <c r="B19" s="36"/>
      <c r="C19" s="36"/>
      <c r="E19" s="36"/>
      <c r="F19" s="51">
        <v>-56527000</v>
      </c>
      <c r="H19" s="36"/>
      <c r="I19" s="148"/>
    </row>
    <row r="20" spans="1:9" ht="15.75" x14ac:dyDescent="0.25">
      <c r="A20" s="29"/>
      <c r="B20" s="36"/>
      <c r="C20" s="36"/>
      <c r="E20" s="36"/>
      <c r="F20" s="36"/>
    </row>
    <row r="21" spans="1:9" ht="16.5" thickBot="1" x14ac:dyDescent="0.3">
      <c r="A21" s="293" t="s">
        <v>421</v>
      </c>
      <c r="B21" s="56"/>
      <c r="C21" s="49"/>
      <c r="E21" s="56"/>
      <c r="F21" s="47">
        <f>+F17+F19</f>
        <v>5107000</v>
      </c>
    </row>
    <row r="22" spans="1:9" ht="16.5" thickTop="1" x14ac:dyDescent="0.25">
      <c r="A22" s="25"/>
      <c r="B22" s="81"/>
      <c r="C22" s="36"/>
      <c r="D22" s="36"/>
      <c r="E22" s="36"/>
      <c r="F22" s="36"/>
    </row>
    <row r="23" spans="1:9" ht="15.75" x14ac:dyDescent="0.25">
      <c r="A23" s="25"/>
      <c r="B23" s="81"/>
      <c r="C23" s="36"/>
      <c r="D23" s="36"/>
      <c r="E23" s="36"/>
      <c r="F23" s="36"/>
    </row>
    <row r="24" spans="1:9" ht="15.75" x14ac:dyDescent="0.25">
      <c r="A24" s="25"/>
      <c r="B24" s="81"/>
      <c r="C24" s="36"/>
      <c r="D24" s="166"/>
      <c r="E24" s="36"/>
      <c r="F24" s="36"/>
    </row>
    <row r="25" spans="1:9" ht="15.75" x14ac:dyDescent="0.25">
      <c r="A25" s="25"/>
      <c r="B25" s="81"/>
      <c r="C25" s="36"/>
      <c r="D25" s="36"/>
      <c r="E25" s="36"/>
      <c r="F25" s="36"/>
    </row>
    <row r="26" spans="1:9" ht="15.75" x14ac:dyDescent="0.25">
      <c r="A26" s="25"/>
      <c r="B26" s="39"/>
      <c r="C26" s="36"/>
      <c r="D26" s="36"/>
      <c r="E26" s="36"/>
      <c r="F26" s="36"/>
    </row>
    <row r="27" spans="1:9" ht="15.75" x14ac:dyDescent="0.25">
      <c r="A27" s="25"/>
      <c r="B27" s="36"/>
      <c r="C27" s="38"/>
      <c r="D27" s="36"/>
      <c r="E27" s="36"/>
      <c r="F27" s="36"/>
    </row>
    <row r="28" spans="1:9" ht="15.75" x14ac:dyDescent="0.25">
      <c r="A28" s="25"/>
      <c r="B28" s="36"/>
      <c r="C28" s="39"/>
      <c r="D28" s="36"/>
      <c r="E28" s="36"/>
      <c r="F28" s="36"/>
    </row>
    <row r="29" spans="1:9" ht="15.75" x14ac:dyDescent="0.25">
      <c r="A29" s="25"/>
      <c r="B29" s="36"/>
      <c r="C29" s="38"/>
      <c r="D29" s="36"/>
      <c r="E29" s="36"/>
      <c r="F29" s="36"/>
    </row>
    <row r="30" spans="1:9" ht="15.75" x14ac:dyDescent="0.25">
      <c r="A30" s="25"/>
      <c r="B30" s="36"/>
      <c r="C30" s="39"/>
      <c r="D30" s="36"/>
      <c r="E30" s="36"/>
      <c r="F30" s="36"/>
    </row>
    <row r="31" spans="1:9" ht="15.75" x14ac:dyDescent="0.25">
      <c r="A31" s="26"/>
      <c r="B31" s="37"/>
      <c r="C31" s="37"/>
      <c r="D31" s="37"/>
      <c r="E31" s="37"/>
      <c r="F31" s="37"/>
    </row>
    <row r="32" spans="1:9" ht="15.75" x14ac:dyDescent="0.25">
      <c r="A32" s="25"/>
      <c r="B32" s="25"/>
      <c r="C32" s="25"/>
      <c r="D32" s="25"/>
      <c r="E32" s="25"/>
      <c r="F32" s="25"/>
    </row>
    <row r="33" spans="1:6" ht="15.75" x14ac:dyDescent="0.25">
      <c r="A33" s="25"/>
      <c r="B33" s="25"/>
      <c r="C33" s="25"/>
      <c r="D33" s="25"/>
      <c r="E33" s="25"/>
      <c r="F33" s="25"/>
    </row>
    <row r="34" spans="1:6" ht="15.75" x14ac:dyDescent="0.25">
      <c r="A34" s="25"/>
      <c r="B34" s="25"/>
      <c r="C34" s="25"/>
      <c r="D34" s="25"/>
      <c r="E34" s="25"/>
      <c r="F34" s="25"/>
    </row>
    <row r="35" spans="1:6" ht="15.75" x14ac:dyDescent="0.25">
      <c r="A35" s="25"/>
      <c r="B35" s="25"/>
      <c r="C35" s="25"/>
      <c r="D35" s="25"/>
      <c r="E35" s="25"/>
      <c r="F35" s="25"/>
    </row>
    <row r="36" spans="1:6" ht="15.75" x14ac:dyDescent="0.25">
      <c r="A36" s="25"/>
      <c r="B36" s="25"/>
      <c r="C36" s="25"/>
      <c r="D36" s="25"/>
      <c r="E36" s="25"/>
      <c r="F36" s="25"/>
    </row>
    <row r="37" spans="1:6" ht="15.75" x14ac:dyDescent="0.25">
      <c r="A37" s="25"/>
      <c r="B37" s="25"/>
      <c r="C37" s="25"/>
      <c r="D37" s="25"/>
      <c r="E37" s="25"/>
      <c r="F37" s="25"/>
    </row>
    <row r="38" spans="1:6" ht="15.75" x14ac:dyDescent="0.25">
      <c r="A38" s="25"/>
      <c r="B38" s="25"/>
      <c r="C38" s="25"/>
      <c r="D38" s="25"/>
      <c r="E38" s="25"/>
      <c r="F38" s="25"/>
    </row>
    <row r="39" spans="1:6" ht="15.75" x14ac:dyDescent="0.25">
      <c r="A39" s="25"/>
      <c r="B39" s="25"/>
      <c r="C39" s="25"/>
      <c r="D39" s="25"/>
      <c r="E39" s="25"/>
      <c r="F39" s="25"/>
    </row>
    <row r="40" spans="1:6" ht="15.75" x14ac:dyDescent="0.25">
      <c r="A40" s="25"/>
      <c r="B40" s="25"/>
      <c r="C40" s="25"/>
      <c r="D40" s="25"/>
      <c r="E40" s="25"/>
      <c r="F40" s="25"/>
    </row>
    <row r="41" spans="1:6" ht="15.75" x14ac:dyDescent="0.25">
      <c r="A41" s="25"/>
      <c r="B41" s="25"/>
      <c r="C41" s="25"/>
      <c r="D41" s="25"/>
      <c r="E41" s="25"/>
      <c r="F41" s="25"/>
    </row>
    <row r="42" spans="1:6" ht="15.75" x14ac:dyDescent="0.25">
      <c r="A42" s="25"/>
      <c r="B42" s="25"/>
      <c r="C42" s="25"/>
      <c r="D42" s="25"/>
      <c r="E42" s="25"/>
      <c r="F42" s="25"/>
    </row>
    <row r="43" spans="1:6" ht="15.75" x14ac:dyDescent="0.25">
      <c r="A43" s="25"/>
      <c r="B43" s="25"/>
      <c r="C43" s="25"/>
      <c r="D43" s="25"/>
      <c r="E43" s="25"/>
      <c r="F43" s="25"/>
    </row>
    <row r="44" spans="1:6" ht="15.75" x14ac:dyDescent="0.25">
      <c r="A44" s="25"/>
      <c r="B44" s="25"/>
      <c r="C44" s="25"/>
      <c r="D44" s="25"/>
      <c r="E44" s="25"/>
      <c r="F44" s="25"/>
    </row>
    <row r="45" spans="1:6" ht="15.75" x14ac:dyDescent="0.25">
      <c r="A45" s="25"/>
      <c r="B45" s="25"/>
      <c r="C45" s="25"/>
      <c r="D45" s="25"/>
      <c r="E45" s="25"/>
      <c r="F45" s="25"/>
    </row>
    <row r="46" spans="1:6" ht="15.75" x14ac:dyDescent="0.25">
      <c r="A46" s="25"/>
      <c r="B46" s="25"/>
      <c r="C46" s="25"/>
      <c r="D46" s="25"/>
      <c r="E46" s="25"/>
      <c r="F46" s="25"/>
    </row>
    <row r="47" spans="1:6" ht="15.75" x14ac:dyDescent="0.25">
      <c r="A47" s="25"/>
      <c r="B47" s="25"/>
      <c r="C47" s="25"/>
      <c r="D47" s="25"/>
      <c r="E47" s="25"/>
      <c r="F47" s="25"/>
    </row>
    <row r="48" spans="1:6" ht="15.75" x14ac:dyDescent="0.25">
      <c r="A48" s="25"/>
      <c r="B48" s="25"/>
      <c r="C48" s="25"/>
      <c r="D48" s="25"/>
      <c r="E48" s="25"/>
      <c r="F48" s="25"/>
    </row>
    <row r="49" spans="1:6" ht="15.75" x14ac:dyDescent="0.25">
      <c r="A49" s="25"/>
      <c r="B49" s="25"/>
      <c r="C49" s="25"/>
      <c r="D49" s="25"/>
      <c r="E49" s="25"/>
      <c r="F49" s="25"/>
    </row>
    <row r="50" spans="1:6" ht="15.75" x14ac:dyDescent="0.25">
      <c r="A50" s="25"/>
      <c r="B50" s="25"/>
      <c r="C50" s="25"/>
      <c r="D50" s="25"/>
      <c r="E50" s="25"/>
      <c r="F50" s="25"/>
    </row>
    <row r="51" spans="1:6" ht="15.75" x14ac:dyDescent="0.25">
      <c r="A51" s="25"/>
      <c r="B51" s="25"/>
      <c r="C51" s="25"/>
      <c r="D51" s="25"/>
      <c r="E51" s="25"/>
      <c r="F51" s="25"/>
    </row>
    <row r="52" spans="1:6" ht="15.75" x14ac:dyDescent="0.25">
      <c r="A52" s="25"/>
      <c r="B52" s="25"/>
      <c r="C52" s="25"/>
      <c r="D52" s="25"/>
      <c r="E52" s="25"/>
      <c r="F52" s="25"/>
    </row>
    <row r="53" spans="1:6" ht="15.75" x14ac:dyDescent="0.25">
      <c r="A53" s="25"/>
      <c r="B53" s="25"/>
      <c r="C53" s="25"/>
      <c r="D53" s="25"/>
      <c r="E53" s="25"/>
      <c r="F53" s="25"/>
    </row>
    <row r="54" spans="1:6" ht="15.75" x14ac:dyDescent="0.25">
      <c r="A54" s="25"/>
      <c r="B54" s="25"/>
      <c r="C54" s="25"/>
      <c r="D54" s="25"/>
      <c r="E54" s="25"/>
      <c r="F54" s="25"/>
    </row>
    <row r="55" spans="1:6" ht="15.75" x14ac:dyDescent="0.25">
      <c r="A55" s="2"/>
      <c r="B55" s="2"/>
      <c r="C55" s="2"/>
      <c r="D55" s="2"/>
      <c r="E55" s="2"/>
      <c r="F55" s="2"/>
    </row>
    <row r="56" spans="1:6" ht="15.75" x14ac:dyDescent="0.25">
      <c r="A56" s="2"/>
      <c r="B56" s="2"/>
      <c r="C56" s="2"/>
      <c r="D56" s="2"/>
      <c r="E56" s="2"/>
      <c r="F56" s="2"/>
    </row>
    <row r="57" spans="1:6" ht="15.75" x14ac:dyDescent="0.25">
      <c r="A57" s="2"/>
      <c r="B57" s="2"/>
      <c r="C57" s="2"/>
      <c r="D57" s="2"/>
      <c r="E57" s="2"/>
      <c r="F57" s="2"/>
    </row>
    <row r="58" spans="1:6" ht="15.75" x14ac:dyDescent="0.25">
      <c r="A58" s="2"/>
      <c r="B58" s="2"/>
      <c r="C58" s="2"/>
      <c r="D58" s="2"/>
      <c r="E58" s="2"/>
      <c r="F58" s="2"/>
    </row>
    <row r="59" spans="1:6" ht="15.75" x14ac:dyDescent="0.25">
      <c r="A59" s="2"/>
      <c r="B59" s="2"/>
      <c r="C59" s="2"/>
      <c r="D59" s="2"/>
      <c r="E59" s="2"/>
      <c r="F59" s="2"/>
    </row>
    <row r="60" spans="1:6" ht="15.75" x14ac:dyDescent="0.25">
      <c r="A60" s="2"/>
      <c r="B60" s="2"/>
      <c r="C60" s="2"/>
      <c r="D60" s="2"/>
      <c r="E60" s="2"/>
      <c r="F60" s="2"/>
    </row>
  </sheetData>
  <phoneticPr fontId="0" type="noConversion"/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2">
    <pageSetUpPr fitToPage="1"/>
  </sheetPr>
  <dimension ref="A1:G3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4.25" style="2" customWidth="1"/>
    <col min="2" max="2" width="14.875" style="2" customWidth="1"/>
    <col min="3" max="3" width="10.625" style="2" customWidth="1"/>
    <col min="4" max="4" width="17.625" style="2" customWidth="1"/>
    <col min="5" max="5" width="12.125" style="2" customWidth="1"/>
    <col min="6" max="6" width="17.625" style="2" customWidth="1"/>
    <col min="7" max="7" width="9.625" style="2" customWidth="1"/>
    <col min="8" max="8" width="9.625" style="2"/>
    <col min="9" max="9" width="11.5" style="2" customWidth="1"/>
    <col min="10" max="10" width="11.625" style="2" bestFit="1" customWidth="1"/>
    <col min="11" max="11" width="12.5" style="2" customWidth="1"/>
    <col min="12" max="16384" width="9.625" style="2"/>
  </cols>
  <sheetData>
    <row r="1" spans="1:6" x14ac:dyDescent="0.25">
      <c r="A1" s="10"/>
      <c r="B1" s="10"/>
      <c r="C1" s="10"/>
      <c r="D1" s="10"/>
      <c r="E1" s="10"/>
    </row>
    <row r="2" spans="1:6" x14ac:dyDescent="0.25">
      <c r="A2" s="1"/>
    </row>
    <row r="3" spans="1:6" x14ac:dyDescent="0.25">
      <c r="F3" s="7" t="str">
        <f>'Ex 1'!$K$1</f>
        <v>Revised Exhibit 1</v>
      </c>
    </row>
    <row r="4" spans="1:6" x14ac:dyDescent="0.25">
      <c r="F4" s="30" t="str">
        <f>"Reference Schedule "&amp;Inputs!$A17&amp;""</f>
        <v>Reference Schedule 1.01</v>
      </c>
    </row>
    <row r="5" spans="1:6" x14ac:dyDescent="0.25">
      <c r="F5" s="529" t="str">
        <f>"Sponsoring Witness: "&amp;Inputs!$B17&amp;""</f>
        <v>Sponsoring Witness: Conroy</v>
      </c>
    </row>
    <row r="8" spans="1:6" x14ac:dyDescent="0.25">
      <c r="B8" s="801" t="s">
        <v>230</v>
      </c>
      <c r="C8" s="801"/>
      <c r="D8" s="801"/>
      <c r="E8" s="801"/>
      <c r="F8" s="801"/>
    </row>
    <row r="9" spans="1:6" x14ac:dyDescent="0.25">
      <c r="B9" s="15"/>
      <c r="C9" s="15"/>
      <c r="D9" s="15"/>
      <c r="E9" s="15"/>
      <c r="F9" s="13"/>
    </row>
    <row r="10" spans="1:6" s="526" customFormat="1" x14ac:dyDescent="0.25">
      <c r="B10" s="807"/>
      <c r="C10" s="813"/>
      <c r="D10" s="813"/>
      <c r="E10" s="813"/>
      <c r="F10" s="813"/>
    </row>
    <row r="11" spans="1:6" x14ac:dyDescent="0.25">
      <c r="B11" s="813" t="s">
        <v>258</v>
      </c>
      <c r="C11" s="813"/>
      <c r="D11" s="813"/>
      <c r="E11" s="813"/>
      <c r="F11" s="813"/>
    </row>
    <row r="12" spans="1:6" x14ac:dyDescent="0.25">
      <c r="B12" s="800" t="str">
        <f>"For the Twelve Months Ended "&amp;Inputs!B3&amp;""</f>
        <v>For the Twelve Months Ended March 31, 2012</v>
      </c>
      <c r="C12" s="800"/>
      <c r="D12" s="800"/>
      <c r="E12" s="800"/>
      <c r="F12" s="800"/>
    </row>
    <row r="13" spans="1:6" x14ac:dyDescent="0.25">
      <c r="B13" s="1"/>
    </row>
    <row r="16" spans="1:6" x14ac:dyDescent="0.25">
      <c r="B16" s="113"/>
      <c r="C16" s="113"/>
      <c r="D16" s="115" t="s">
        <v>243</v>
      </c>
      <c r="F16" s="115" t="s">
        <v>226</v>
      </c>
    </row>
    <row r="17" spans="1:7" x14ac:dyDescent="0.25">
      <c r="C17" s="113"/>
      <c r="D17" s="114" t="s">
        <v>251</v>
      </c>
      <c r="F17" s="114" t="s">
        <v>252</v>
      </c>
    </row>
    <row r="18" spans="1:7" x14ac:dyDescent="0.25">
      <c r="A18" s="25"/>
      <c r="B18" s="114" t="s">
        <v>226</v>
      </c>
      <c r="C18" s="113"/>
      <c r="D18" s="114" t="s">
        <v>343</v>
      </c>
      <c r="F18" s="114" t="s">
        <v>343</v>
      </c>
    </row>
    <row r="19" spans="1:7" x14ac:dyDescent="0.25">
      <c r="A19" s="25"/>
      <c r="B19" s="137" t="s">
        <v>253</v>
      </c>
      <c r="C19" s="113"/>
      <c r="D19" s="137" t="s">
        <v>254</v>
      </c>
      <c r="F19" s="137" t="s">
        <v>295</v>
      </c>
    </row>
    <row r="20" spans="1:7" x14ac:dyDescent="0.25">
      <c r="A20" s="29"/>
      <c r="B20" s="113"/>
      <c r="C20" s="113"/>
      <c r="D20" s="113"/>
      <c r="F20" s="113"/>
    </row>
    <row r="21" spans="1:7" x14ac:dyDescent="0.25">
      <c r="B21" s="116">
        <v>40634</v>
      </c>
      <c r="C21" s="113"/>
      <c r="D21" s="36">
        <v>-413989</v>
      </c>
      <c r="E21" s="251"/>
      <c r="F21" s="36">
        <v>373214.11090000003</v>
      </c>
      <c r="G21" s="116"/>
    </row>
    <row r="22" spans="1:7" x14ac:dyDescent="0.25">
      <c r="B22" s="116">
        <v>40664</v>
      </c>
      <c r="C22" s="113"/>
      <c r="D22" s="36">
        <v>-764843</v>
      </c>
      <c r="E22" s="251"/>
      <c r="F22" s="36">
        <v>1868841.9415799999</v>
      </c>
      <c r="G22" s="116"/>
    </row>
    <row r="23" spans="1:7" x14ac:dyDescent="0.25">
      <c r="B23" s="116">
        <v>40695</v>
      </c>
      <c r="C23" s="113"/>
      <c r="D23" s="36">
        <v>442436</v>
      </c>
      <c r="E23" s="251"/>
      <c r="F23" s="36">
        <v>1659021.0361200001</v>
      </c>
      <c r="G23" s="116"/>
    </row>
    <row r="24" spans="1:7" x14ac:dyDescent="0.25">
      <c r="B24" s="116">
        <v>40725</v>
      </c>
      <c r="C24" s="113"/>
      <c r="D24" s="36">
        <v>2203882</v>
      </c>
      <c r="E24" s="251"/>
      <c r="F24" s="36">
        <v>5453174.9188799998</v>
      </c>
      <c r="G24" s="116"/>
    </row>
    <row r="25" spans="1:7" x14ac:dyDescent="0.25">
      <c r="B25" s="116">
        <v>40756</v>
      </c>
      <c r="C25" s="113"/>
      <c r="D25" s="36">
        <v>1897425</v>
      </c>
      <c r="E25" s="251"/>
      <c r="F25" s="36">
        <v>4052858.3661200004</v>
      </c>
      <c r="G25" s="116"/>
    </row>
    <row r="26" spans="1:7" x14ac:dyDescent="0.25">
      <c r="B26" s="116">
        <v>40787</v>
      </c>
      <c r="C26" s="113"/>
      <c r="D26" s="36">
        <v>5048751</v>
      </c>
      <c r="E26" s="251"/>
      <c r="F26" s="36">
        <v>2211015.8520899997</v>
      </c>
      <c r="G26" s="116"/>
    </row>
    <row r="27" spans="1:7" s="526" customFormat="1" x14ac:dyDescent="0.25">
      <c r="B27" s="116">
        <v>40817</v>
      </c>
      <c r="C27" s="113"/>
      <c r="D27" s="36">
        <v>3444797</v>
      </c>
      <c r="E27" s="251"/>
      <c r="F27" s="36">
        <v>-2873345.1453</v>
      </c>
      <c r="G27" s="116"/>
    </row>
    <row r="28" spans="1:7" s="526" customFormat="1" x14ac:dyDescent="0.25">
      <c r="B28" s="116">
        <v>40848</v>
      </c>
      <c r="C28" s="113"/>
      <c r="D28" s="36">
        <v>2048455</v>
      </c>
      <c r="E28" s="251"/>
      <c r="F28" s="36">
        <v>-786511.11671999993</v>
      </c>
      <c r="G28" s="116"/>
    </row>
    <row r="29" spans="1:7" s="526" customFormat="1" x14ac:dyDescent="0.25">
      <c r="B29" s="116">
        <v>40878</v>
      </c>
      <c r="C29" s="113"/>
      <c r="D29" s="36">
        <v>-3104271</v>
      </c>
      <c r="E29" s="251"/>
      <c r="F29" s="36">
        <v>-553490.67235000001</v>
      </c>
      <c r="G29" s="116"/>
    </row>
    <row r="30" spans="1:7" s="526" customFormat="1" x14ac:dyDescent="0.25">
      <c r="B30" s="116">
        <v>40909</v>
      </c>
      <c r="C30" s="113"/>
      <c r="D30" s="36">
        <v>-903167</v>
      </c>
      <c r="E30" s="251"/>
      <c r="F30" s="36">
        <v>-171525.09420000002</v>
      </c>
      <c r="G30" s="116"/>
    </row>
    <row r="31" spans="1:7" s="526" customFormat="1" x14ac:dyDescent="0.25">
      <c r="B31" s="116">
        <v>40940</v>
      </c>
      <c r="C31" s="113"/>
      <c r="D31" s="36">
        <v>-596277</v>
      </c>
      <c r="E31" s="251"/>
      <c r="F31" s="36">
        <v>834055.04304000002</v>
      </c>
      <c r="G31" s="116"/>
    </row>
    <row r="32" spans="1:7" s="526" customFormat="1" x14ac:dyDescent="0.25">
      <c r="B32" s="116">
        <v>40969</v>
      </c>
      <c r="C32" s="113"/>
      <c r="D32" s="36">
        <v>-147138</v>
      </c>
      <c r="E32" s="251"/>
      <c r="F32" s="36">
        <v>717839.78949</v>
      </c>
      <c r="G32" s="116"/>
    </row>
    <row r="33" spans="2:6" ht="23.25" customHeight="1" thickBot="1" x14ac:dyDescent="0.3">
      <c r="B33" s="113" t="s">
        <v>151</v>
      </c>
      <c r="C33" s="113"/>
      <c r="D33" s="121">
        <f>ROUND(SUM(D21:D32),0)</f>
        <v>9156061</v>
      </c>
      <c r="F33" s="121">
        <f>ROUND(SUM(F21:F32),0)</f>
        <v>12785149</v>
      </c>
    </row>
    <row r="34" spans="2:6" ht="16.5" thickTop="1" x14ac:dyDescent="0.25">
      <c r="B34" s="113"/>
      <c r="C34" s="113"/>
      <c r="D34" s="49"/>
      <c r="F34" s="49"/>
    </row>
    <row r="35" spans="2:6" ht="16.5" thickBot="1" x14ac:dyDescent="0.3">
      <c r="B35" s="2" t="s">
        <v>330</v>
      </c>
      <c r="D35" s="55">
        <f>ROUND(-D33,0)</f>
        <v>-9156061</v>
      </c>
      <c r="F35" s="55">
        <f>-F33</f>
        <v>-12785149</v>
      </c>
    </row>
    <row r="36" spans="2:6" ht="16.5" thickTop="1" x14ac:dyDescent="0.25"/>
    <row r="37" spans="2:6" x14ac:dyDescent="0.25">
      <c r="B37" s="113" t="s">
        <v>311</v>
      </c>
      <c r="F37" s="49"/>
    </row>
    <row r="38" spans="2:6" x14ac:dyDescent="0.25">
      <c r="B38" s="383" t="s">
        <v>527</v>
      </c>
    </row>
    <row r="39" spans="2:6" x14ac:dyDescent="0.25">
      <c r="F39" s="49"/>
    </row>
  </sheetData>
  <mergeCells count="4">
    <mergeCell ref="B8:F8"/>
    <mergeCell ref="B11:F11"/>
    <mergeCell ref="B12:F12"/>
    <mergeCell ref="B10:F10"/>
  </mergeCells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21" enableFormatConditionsCalculation="0">
    <pageSetUpPr fitToPage="1"/>
  </sheetPr>
  <dimension ref="A3:D30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68.625" style="2" customWidth="1"/>
    <col min="2" max="2" width="19.75" style="2" customWidth="1"/>
    <col min="3" max="16384" width="9.625" style="2"/>
  </cols>
  <sheetData>
    <row r="3" spans="1:4" x14ac:dyDescent="0.25">
      <c r="B3" s="7" t="str">
        <f>'Ex 1'!$K$1</f>
        <v>Revised Exhibit 1</v>
      </c>
    </row>
    <row r="4" spans="1:4" x14ac:dyDescent="0.25">
      <c r="B4" s="30" t="str">
        <f>"Reference Schedule "&amp;Inputs!$A18&amp;""</f>
        <v>Reference Schedule 1.02</v>
      </c>
    </row>
    <row r="5" spans="1:4" x14ac:dyDescent="0.25">
      <c r="B5" s="529" t="str">
        <f>"Sponsoring Witness: "&amp;Inputs!$B18&amp;""</f>
        <v>Sponsoring Witness: Conroy</v>
      </c>
    </row>
    <row r="6" spans="1:4" x14ac:dyDescent="0.25">
      <c r="B6" s="7"/>
    </row>
    <row r="8" spans="1:4" x14ac:dyDescent="0.25">
      <c r="A8" s="4" t="s">
        <v>230</v>
      </c>
      <c r="B8" s="15"/>
    </row>
    <row r="9" spans="1:4" x14ac:dyDescent="0.25">
      <c r="A9" s="15"/>
      <c r="B9" s="15"/>
    </row>
    <row r="10" spans="1:4" x14ac:dyDescent="0.25">
      <c r="A10" s="14"/>
      <c r="B10" s="15"/>
    </row>
    <row r="11" spans="1:4" x14ac:dyDescent="0.25">
      <c r="A11" s="527" t="s">
        <v>422</v>
      </c>
      <c r="B11" s="5"/>
    </row>
    <row r="12" spans="1:4" x14ac:dyDescent="0.25">
      <c r="A12" s="800" t="str">
        <f>"For the Twelve Months Ended "&amp;Inputs!B3&amp;""</f>
        <v>For the Twelve Months Ended March 31, 2012</v>
      </c>
      <c r="B12" s="800"/>
      <c r="C12" s="208"/>
      <c r="D12" s="208"/>
    </row>
    <row r="15" spans="1:4" x14ac:dyDescent="0.25">
      <c r="B15" s="8"/>
    </row>
    <row r="16" spans="1:4" ht="18" x14ac:dyDescent="0.4">
      <c r="B16" s="57"/>
    </row>
    <row r="17" spans="1:2" x14ac:dyDescent="0.25">
      <c r="A17" s="530" t="s">
        <v>375</v>
      </c>
      <c r="B17" s="293"/>
    </row>
    <row r="18" spans="1:2" x14ac:dyDescent="0.25">
      <c r="A18" s="530" t="s">
        <v>470</v>
      </c>
      <c r="B18" s="252">
        <v>-3616225</v>
      </c>
    </row>
    <row r="19" spans="1:2" x14ac:dyDescent="0.25">
      <c r="A19" s="1"/>
      <c r="B19" s="252"/>
    </row>
    <row r="20" spans="1:2" x14ac:dyDescent="0.25">
      <c r="A20" s="530" t="s">
        <v>423</v>
      </c>
      <c r="B20" s="293"/>
    </row>
    <row r="21" spans="1:2" x14ac:dyDescent="0.25">
      <c r="A21" s="530" t="s">
        <v>470</v>
      </c>
      <c r="B21" s="425">
        <v>6502064</v>
      </c>
    </row>
    <row r="23" spans="1:2" ht="16.5" thickBot="1" x14ac:dyDescent="0.3">
      <c r="A23" s="33" t="s">
        <v>424</v>
      </c>
      <c r="B23" s="55">
        <f>SUM(B18:B21)</f>
        <v>2885839</v>
      </c>
    </row>
    <row r="24" spans="1:2" ht="16.5" thickTop="1" x14ac:dyDescent="0.25"/>
    <row r="26" spans="1:2" x14ac:dyDescent="0.25">
      <c r="A26" s="383"/>
    </row>
    <row r="27" spans="1:2" x14ac:dyDescent="0.25">
      <c r="A27" s="383" t="s">
        <v>471</v>
      </c>
      <c r="B27" s="350"/>
    </row>
    <row r="28" spans="1:2" x14ac:dyDescent="0.25">
      <c r="B28" s="293"/>
    </row>
    <row r="29" spans="1:2" x14ac:dyDescent="0.25">
      <c r="B29" s="387"/>
    </row>
    <row r="30" spans="1:2" x14ac:dyDescent="0.25">
      <c r="B30" s="25"/>
    </row>
  </sheetData>
  <mergeCells count="1">
    <mergeCell ref="A12:B12"/>
  </mergeCells>
  <phoneticPr fontId="0" type="noConversion"/>
  <printOptions horizontalCentered="1" gridLinesSet="0"/>
  <pageMargins left="1.25" right="0.75" top="1" bottom="0.75" header="0.5" footer="0.5"/>
  <pageSetup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3:G24"/>
  <sheetViews>
    <sheetView showGridLines="0" zoomScaleNormal="100" workbookViewId="0">
      <selection activeCell="A3" sqref="A3"/>
    </sheetView>
  </sheetViews>
  <sheetFormatPr defaultColWidth="9.625" defaultRowHeight="15.75" x14ac:dyDescent="0.25"/>
  <cols>
    <col min="1" max="1" width="43.625" style="526" customWidth="1"/>
    <col min="2" max="2" width="9.625" style="526" customWidth="1"/>
    <col min="3" max="3" width="13.375" style="526" customWidth="1"/>
    <col min="4" max="6" width="9.625" style="526"/>
    <col min="7" max="7" width="13.5" style="526" customWidth="1"/>
    <col min="8" max="16384" width="9.625" style="526"/>
  </cols>
  <sheetData>
    <row r="3" spans="1:3" x14ac:dyDescent="0.25">
      <c r="C3" s="528" t="str">
        <f>'Ex 1'!$K$1</f>
        <v>Revised Exhibit 1</v>
      </c>
    </row>
    <row r="4" spans="1:3" x14ac:dyDescent="0.25">
      <c r="C4" s="30" t="str">
        <f>"Reference Schedule "&amp;Inputs!$A19&amp;""</f>
        <v>Reference Schedule 1.03</v>
      </c>
    </row>
    <row r="5" spans="1:3" x14ac:dyDescent="0.25">
      <c r="C5" s="529" t="str">
        <f>"Sponsoring Witness: "&amp;Inputs!$B19&amp;""</f>
        <v>Sponsoring Witness: Conroy</v>
      </c>
    </row>
    <row r="8" spans="1:3" x14ac:dyDescent="0.25">
      <c r="A8" s="4" t="s">
        <v>230</v>
      </c>
      <c r="B8" s="527"/>
      <c r="C8" s="527"/>
    </row>
    <row r="9" spans="1:3" x14ac:dyDescent="0.25">
      <c r="A9" s="527"/>
      <c r="B9" s="527"/>
      <c r="C9" s="527"/>
    </row>
    <row r="10" spans="1:3" x14ac:dyDescent="0.25">
      <c r="A10" s="527"/>
      <c r="B10" s="527"/>
      <c r="C10" s="527"/>
    </row>
    <row r="11" spans="1:3" x14ac:dyDescent="0.25">
      <c r="A11" s="527" t="s">
        <v>646</v>
      </c>
      <c r="B11" s="527"/>
      <c r="C11" s="527"/>
    </row>
    <row r="12" spans="1:3" x14ac:dyDescent="0.25">
      <c r="A12" s="800" t="str">
        <f>"For the Twelve Months Ended "&amp;Inputs!B3&amp;""</f>
        <v>For the Twelve Months Ended March 31, 2012</v>
      </c>
      <c r="B12" s="800"/>
      <c r="C12" s="800"/>
    </row>
    <row r="15" spans="1:3" x14ac:dyDescent="0.25">
      <c r="B15" s="8"/>
    </row>
    <row r="16" spans="1:3" ht="23.25" customHeight="1" x14ac:dyDescent="0.4">
      <c r="B16" s="53"/>
      <c r="C16" s="54"/>
    </row>
    <row r="17" spans="1:7" x14ac:dyDescent="0.25">
      <c r="B17" s="3"/>
      <c r="G17" s="100"/>
    </row>
    <row r="18" spans="1:7" x14ac:dyDescent="0.25">
      <c r="A18" s="1" t="s">
        <v>299</v>
      </c>
      <c r="C18" s="117">
        <v>-2638801</v>
      </c>
      <c r="G18" s="117"/>
    </row>
    <row r="19" spans="1:7" x14ac:dyDescent="0.25">
      <c r="A19" s="1"/>
      <c r="C19" s="90"/>
      <c r="G19" s="90"/>
    </row>
    <row r="20" spans="1:7" x14ac:dyDescent="0.25">
      <c r="A20" s="1" t="s">
        <v>300</v>
      </c>
      <c r="C20" s="90">
        <v>-2614696</v>
      </c>
      <c r="G20" s="90"/>
    </row>
    <row r="21" spans="1:7" x14ac:dyDescent="0.25">
      <c r="A21" s="530" t="s">
        <v>179</v>
      </c>
      <c r="C21" s="32"/>
      <c r="G21" s="698"/>
    </row>
    <row r="22" spans="1:7" x14ac:dyDescent="0.25">
      <c r="C22" s="89"/>
      <c r="G22" s="100"/>
    </row>
    <row r="23" spans="1:7" ht="16.5" thickBot="1" x14ac:dyDescent="0.3">
      <c r="A23" s="1" t="s">
        <v>301</v>
      </c>
      <c r="C23" s="589">
        <f>C18-C20</f>
        <v>-24105</v>
      </c>
    </row>
    <row r="24" spans="1:7" ht="16.5" thickTop="1" x14ac:dyDescent="0.25"/>
  </sheetData>
  <mergeCells count="1">
    <mergeCell ref="A12:C12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/>
  <dimension ref="A3:U46"/>
  <sheetViews>
    <sheetView showGridLines="0" view="pageBreakPreview" zoomScale="90" zoomScaleNormal="80" zoomScaleSheetLayoutView="90" workbookViewId="0">
      <selection activeCell="A12" sqref="A12"/>
    </sheetView>
  </sheetViews>
  <sheetFormatPr defaultColWidth="9.625" defaultRowHeight="15.75" x14ac:dyDescent="0.25"/>
  <cols>
    <col min="1" max="1" width="10.375" style="440" customWidth="1"/>
    <col min="2" max="2" width="3.625" style="440" customWidth="1"/>
    <col min="3" max="3" width="18" style="440" customWidth="1"/>
    <col min="4" max="4" width="3.625" style="440" customWidth="1"/>
    <col min="5" max="5" width="21.375" style="440" customWidth="1"/>
    <col min="6" max="6" width="3.625" style="440" customWidth="1"/>
    <col min="7" max="7" width="21.625" style="440" customWidth="1"/>
    <col min="8" max="8" width="3.625" style="440" customWidth="1"/>
    <col min="9" max="9" width="17.25" style="440" customWidth="1"/>
    <col min="10" max="10" width="3.625" style="440" customWidth="1"/>
    <col min="11" max="11" width="19.625" style="440" customWidth="1"/>
    <col min="12" max="12" width="3.625" style="440" customWidth="1"/>
    <col min="13" max="13" width="14.625" style="440" bestFit="1" customWidth="1"/>
    <col min="14" max="14" width="3.625" style="440" customWidth="1"/>
    <col min="15" max="15" width="16.375" style="440" bestFit="1" customWidth="1"/>
    <col min="16" max="16" width="9.625" style="440"/>
    <col min="17" max="17" width="5.875" style="440" customWidth="1"/>
    <col min="18" max="19" width="13.5" style="440" bestFit="1" customWidth="1"/>
    <col min="20" max="21" width="12.25" style="440" bestFit="1" customWidth="1"/>
    <col min="22" max="16384" width="9.625" style="440"/>
  </cols>
  <sheetData>
    <row r="3" spans="1:19" x14ac:dyDescent="0.25">
      <c r="M3" s="661"/>
      <c r="N3" s="505"/>
      <c r="O3" s="275" t="str">
        <f>'Ex 1'!$K$1</f>
        <v>Revised Exhibit 1</v>
      </c>
    </row>
    <row r="4" spans="1:19" x14ac:dyDescent="0.25">
      <c r="M4" s="659"/>
      <c r="N4" s="505"/>
      <c r="O4" s="660" t="str">
        <f>"Reference Schedule "&amp;Inputs!$A20&amp;""</f>
        <v>Reference Schedule 1.04</v>
      </c>
    </row>
    <row r="5" spans="1:19" x14ac:dyDescent="0.25">
      <c r="M5" s="661"/>
      <c r="N5" s="505"/>
      <c r="O5" s="398" t="str">
        <f>"Sponsoring Witness: "&amp;Inputs!$B20&amp;""</f>
        <v>Sponsoring Witness: Conroy</v>
      </c>
    </row>
    <row r="6" spans="1:19" x14ac:dyDescent="0.25">
      <c r="M6" s="505"/>
      <c r="N6" s="505"/>
      <c r="O6" s="505"/>
    </row>
    <row r="7" spans="1:19" x14ac:dyDescent="0.25">
      <c r="A7" s="814" t="s">
        <v>230</v>
      </c>
      <c r="B7" s="814"/>
      <c r="C7" s="814"/>
      <c r="D7" s="814"/>
      <c r="E7" s="814"/>
      <c r="F7" s="814"/>
      <c r="G7" s="814"/>
      <c r="H7" s="814"/>
      <c r="I7" s="814"/>
      <c r="J7" s="814"/>
      <c r="K7" s="814"/>
      <c r="L7" s="814"/>
      <c r="M7" s="814"/>
    </row>
    <row r="8" spans="1:19" x14ac:dyDescent="0.25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</row>
    <row r="9" spans="1:19" x14ac:dyDescent="0.25">
      <c r="A9" s="644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</row>
    <row r="10" spans="1:19" x14ac:dyDescent="0.25">
      <c r="A10" s="815" t="s">
        <v>229</v>
      </c>
      <c r="B10" s="815"/>
      <c r="C10" s="815"/>
      <c r="D10" s="815"/>
      <c r="E10" s="815"/>
      <c r="F10" s="815"/>
      <c r="G10" s="815"/>
      <c r="H10" s="815"/>
      <c r="I10" s="815"/>
      <c r="J10" s="815"/>
      <c r="K10" s="815"/>
      <c r="L10" s="815"/>
      <c r="M10" s="815"/>
    </row>
    <row r="11" spans="1:19" x14ac:dyDescent="0.25">
      <c r="A11" s="800" t="str">
        <f>"For the Twelve Months Ended "&amp;Inputs!B3&amp;""</f>
        <v>For the Twelve Months Ended March 31, 2012</v>
      </c>
      <c r="B11" s="800"/>
      <c r="C11" s="800"/>
      <c r="D11" s="800"/>
      <c r="E11" s="800"/>
      <c r="F11" s="800"/>
      <c r="G11" s="800"/>
      <c r="H11" s="800"/>
      <c r="I11" s="800"/>
      <c r="J11" s="800"/>
      <c r="K11" s="800"/>
      <c r="L11" s="800"/>
      <c r="M11" s="800"/>
    </row>
    <row r="12" spans="1:19" x14ac:dyDescent="0.25">
      <c r="A12" s="635"/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</row>
    <row r="13" spans="1:19" x14ac:dyDescent="0.25">
      <c r="B13" s="445"/>
      <c r="C13" s="458">
        <v>-1</v>
      </c>
      <c r="D13" s="458"/>
      <c r="E13" s="458">
        <v>-2</v>
      </c>
      <c r="F13" s="458"/>
      <c r="G13" s="458">
        <v>-3</v>
      </c>
      <c r="H13" s="458"/>
      <c r="I13" s="458">
        <v>-4</v>
      </c>
      <c r="K13" s="458">
        <v>-5</v>
      </c>
      <c r="M13" s="458">
        <v>-6</v>
      </c>
      <c r="O13" s="458">
        <v>-7</v>
      </c>
      <c r="Q13" s="458"/>
    </row>
    <row r="14" spans="1:19" x14ac:dyDescent="0.25">
      <c r="C14" s="645" t="s">
        <v>457</v>
      </c>
      <c r="E14" s="645" t="s">
        <v>457</v>
      </c>
      <c r="G14" s="458" t="s">
        <v>577</v>
      </c>
      <c r="I14" s="604" t="s">
        <v>578</v>
      </c>
      <c r="K14" s="604" t="s">
        <v>459</v>
      </c>
      <c r="M14" s="8" t="s">
        <v>577</v>
      </c>
      <c r="O14" s="604" t="s">
        <v>579</v>
      </c>
      <c r="Q14" s="75"/>
    </row>
    <row r="15" spans="1:19" x14ac:dyDescent="0.25">
      <c r="A15" s="646" t="s">
        <v>580</v>
      </c>
      <c r="B15" s="448"/>
      <c r="C15" s="604" t="s">
        <v>458</v>
      </c>
      <c r="D15" s="448"/>
      <c r="E15" s="604" t="s">
        <v>458</v>
      </c>
      <c r="F15" s="448"/>
      <c r="G15" s="604" t="s">
        <v>381</v>
      </c>
      <c r="H15" s="448"/>
      <c r="I15" s="458" t="s">
        <v>215</v>
      </c>
      <c r="J15" s="448"/>
      <c r="K15" s="458" t="s">
        <v>215</v>
      </c>
      <c r="L15" s="48"/>
      <c r="M15" s="604" t="s">
        <v>381</v>
      </c>
      <c r="N15" s="48"/>
      <c r="O15" s="458" t="s">
        <v>215</v>
      </c>
      <c r="Q15" s="458"/>
      <c r="R15" s="816" t="s">
        <v>581</v>
      </c>
      <c r="S15" s="816"/>
    </row>
    <row r="16" spans="1:19" x14ac:dyDescent="0.25">
      <c r="A16" s="523" t="s">
        <v>253</v>
      </c>
      <c r="B16" s="647"/>
      <c r="C16" s="605" t="s">
        <v>472</v>
      </c>
      <c r="D16" s="648"/>
      <c r="E16" s="605" t="s">
        <v>473</v>
      </c>
      <c r="F16" s="648"/>
      <c r="G16" s="432" t="s">
        <v>582</v>
      </c>
      <c r="H16" s="648"/>
      <c r="I16" s="605" t="s">
        <v>381</v>
      </c>
      <c r="J16" s="648"/>
      <c r="K16" s="605" t="s">
        <v>583</v>
      </c>
      <c r="L16" s="648"/>
      <c r="M16" s="432" t="s">
        <v>611</v>
      </c>
      <c r="N16" s="648"/>
      <c r="O16" s="605" t="s">
        <v>381</v>
      </c>
      <c r="Q16" s="75"/>
      <c r="R16" s="649" t="s">
        <v>584</v>
      </c>
      <c r="S16" s="649" t="s">
        <v>585</v>
      </c>
    </row>
    <row r="17" spans="1:21" x14ac:dyDescent="0.25">
      <c r="A17" s="650"/>
      <c r="B17" s="647"/>
      <c r="C17" s="75"/>
      <c r="D17" s="648"/>
      <c r="E17" s="604"/>
      <c r="F17" s="648"/>
      <c r="G17" s="604"/>
      <c r="H17" s="648"/>
      <c r="I17" s="75" t="s">
        <v>586</v>
      </c>
      <c r="J17" s="648"/>
      <c r="K17" s="604"/>
      <c r="L17" s="648"/>
      <c r="M17" s="604"/>
      <c r="N17" s="648"/>
      <c r="O17" s="504" t="s">
        <v>587</v>
      </c>
      <c r="Q17" s="75"/>
      <c r="R17" s="649"/>
      <c r="S17" s="649"/>
    </row>
    <row r="18" spans="1:21" x14ac:dyDescent="0.25">
      <c r="B18" s="448"/>
      <c r="D18" s="448"/>
      <c r="F18" s="448"/>
      <c r="G18" s="448"/>
      <c r="H18" s="448"/>
      <c r="I18" s="36"/>
      <c r="J18" s="448"/>
      <c r="K18" s="49"/>
      <c r="L18" s="49"/>
      <c r="M18" s="49"/>
      <c r="N18" s="49"/>
      <c r="O18" s="153"/>
      <c r="Q18" s="36"/>
      <c r="R18" s="651"/>
      <c r="S18" s="651"/>
    </row>
    <row r="19" spans="1:21" x14ac:dyDescent="0.25">
      <c r="A19" s="652">
        <v>40634</v>
      </c>
      <c r="B19" s="448"/>
      <c r="C19" s="440">
        <v>10044427</v>
      </c>
      <c r="D19" s="448"/>
      <c r="E19" s="440">
        <v>2360484.86</v>
      </c>
      <c r="F19" s="448"/>
      <c r="G19" s="440">
        <v>13571366</v>
      </c>
      <c r="H19" s="448"/>
      <c r="J19" s="448"/>
      <c r="K19" s="448">
        <f>5661285-37954</f>
        <v>5623331</v>
      </c>
      <c r="L19" s="448"/>
      <c r="M19" s="448">
        <f>(+R19+S19)</f>
        <v>4954068</v>
      </c>
      <c r="N19" s="448"/>
      <c r="O19" s="36"/>
      <c r="R19" s="653">
        <v>4205614</v>
      </c>
      <c r="S19" s="653">
        <v>748454</v>
      </c>
      <c r="T19" s="505"/>
    </row>
    <row r="20" spans="1:21" x14ac:dyDescent="0.25">
      <c r="A20" s="652">
        <v>40664</v>
      </c>
      <c r="B20" s="448"/>
      <c r="C20" s="440">
        <v>9618565</v>
      </c>
      <c r="D20" s="448"/>
      <c r="E20" s="440">
        <v>2471732.7999999998</v>
      </c>
      <c r="F20" s="448"/>
      <c r="G20" s="440">
        <v>13144590</v>
      </c>
      <c r="H20" s="448"/>
      <c r="J20" s="448"/>
      <c r="K20" s="448">
        <f>5857242--8495</f>
        <v>5865737</v>
      </c>
      <c r="L20" s="448"/>
      <c r="M20" s="448">
        <f t="shared" ref="M20:M30" si="0">(+R20+S20)</f>
        <v>5071649</v>
      </c>
      <c r="N20" s="448"/>
      <c r="O20" s="36"/>
      <c r="R20" s="653">
        <v>4025166</v>
      </c>
      <c r="S20" s="653">
        <v>1046483</v>
      </c>
      <c r="T20" s="505"/>
    </row>
    <row r="21" spans="1:21" x14ac:dyDescent="0.25">
      <c r="A21" s="652">
        <v>40695</v>
      </c>
      <c r="B21" s="448"/>
      <c r="C21" s="440">
        <v>11018257</v>
      </c>
      <c r="D21" s="448"/>
      <c r="E21" s="440">
        <v>3699167.38</v>
      </c>
      <c r="F21" s="448"/>
      <c r="G21" s="440">
        <v>13061693</v>
      </c>
      <c r="H21" s="448"/>
      <c r="J21" s="448"/>
      <c r="K21" s="448">
        <f>6093956--9720</f>
        <v>6103676</v>
      </c>
      <c r="L21" s="448"/>
      <c r="M21" s="448">
        <f t="shared" si="0"/>
        <v>5027921</v>
      </c>
      <c r="N21" s="448"/>
      <c r="O21" s="36"/>
      <c r="R21" s="653">
        <v>4142239</v>
      </c>
      <c r="S21" s="653">
        <v>885682</v>
      </c>
      <c r="T21" s="505"/>
    </row>
    <row r="22" spans="1:21" x14ac:dyDescent="0.25">
      <c r="A22" s="652">
        <v>40725</v>
      </c>
      <c r="B22" s="448"/>
      <c r="C22" s="440">
        <v>11760729</v>
      </c>
      <c r="D22" s="448"/>
      <c r="E22" s="252">
        <v>4011784.96</v>
      </c>
      <c r="F22" s="448"/>
      <c r="G22" s="252">
        <v>13189522</v>
      </c>
      <c r="H22" s="448"/>
      <c r="J22" s="448"/>
      <c r="K22" s="503">
        <f>5973395--1066</f>
        <v>5974461</v>
      </c>
      <c r="L22" s="448"/>
      <c r="M22" s="448">
        <f t="shared" si="0"/>
        <v>5008839</v>
      </c>
      <c r="N22" s="448"/>
      <c r="O22" s="36"/>
      <c r="Q22" s="252"/>
      <c r="R22" s="653">
        <v>4021943</v>
      </c>
      <c r="S22" s="653">
        <v>986896</v>
      </c>
      <c r="T22" s="505"/>
    </row>
    <row r="23" spans="1:21" x14ac:dyDescent="0.25">
      <c r="A23" s="652">
        <v>40756</v>
      </c>
      <c r="B23" s="448"/>
      <c r="C23" s="440">
        <v>12465088</v>
      </c>
      <c r="D23" s="448"/>
      <c r="E23" s="252">
        <v>3072496.46</v>
      </c>
      <c r="F23" s="448"/>
      <c r="G23" s="252">
        <v>13808222</v>
      </c>
      <c r="H23" s="448"/>
      <c r="J23" s="448"/>
      <c r="K23" s="448">
        <f>6543787--12812</f>
        <v>6556599</v>
      </c>
      <c r="L23" s="448"/>
      <c r="M23" s="448">
        <f t="shared" si="0"/>
        <v>5522113</v>
      </c>
      <c r="N23" s="448"/>
      <c r="O23" s="36"/>
      <c r="Q23" s="252"/>
      <c r="R23" s="653">
        <v>4114717</v>
      </c>
      <c r="S23" s="653">
        <v>1407396</v>
      </c>
      <c r="T23" s="505"/>
    </row>
    <row r="24" spans="1:21" x14ac:dyDescent="0.25">
      <c r="A24" s="652">
        <v>40787</v>
      </c>
      <c r="B24" s="448"/>
      <c r="C24" s="440">
        <v>11546729</v>
      </c>
      <c r="D24" s="448"/>
      <c r="E24" s="252">
        <v>2188183.7799999998</v>
      </c>
      <c r="F24" s="448"/>
      <c r="G24" s="252">
        <v>13315107</v>
      </c>
      <c r="H24" s="448"/>
      <c r="J24" s="448"/>
      <c r="K24" s="448">
        <f>5909919--10294</f>
        <v>5920213</v>
      </c>
      <c r="L24" s="448"/>
      <c r="M24" s="448">
        <f t="shared" si="0"/>
        <v>4965558</v>
      </c>
      <c r="N24" s="448"/>
      <c r="O24" s="36"/>
      <c r="Q24" s="252"/>
      <c r="R24" s="653">
        <v>4002776</v>
      </c>
      <c r="S24" s="653">
        <v>962782</v>
      </c>
      <c r="T24" s="505"/>
    </row>
    <row r="25" spans="1:21" x14ac:dyDescent="0.25">
      <c r="A25" s="652">
        <v>40817</v>
      </c>
      <c r="B25" s="448"/>
      <c r="C25" s="440">
        <v>10611735</v>
      </c>
      <c r="D25" s="448"/>
      <c r="E25" s="252">
        <v>1928584.43</v>
      </c>
      <c r="F25" s="448"/>
      <c r="G25" s="252">
        <v>12862646</v>
      </c>
      <c r="H25" s="448"/>
      <c r="J25" s="448"/>
      <c r="K25" s="448">
        <f>5757759--9565</f>
        <v>5767324</v>
      </c>
      <c r="L25" s="448"/>
      <c r="M25" s="448">
        <f t="shared" si="0"/>
        <v>4875776</v>
      </c>
      <c r="N25" s="448"/>
      <c r="O25" s="36"/>
      <c r="Q25" s="252"/>
      <c r="R25" s="653">
        <v>3798237</v>
      </c>
      <c r="S25" s="653">
        <v>1077539</v>
      </c>
      <c r="T25" s="505"/>
    </row>
    <row r="26" spans="1:21" x14ac:dyDescent="0.25">
      <c r="A26" s="652">
        <v>40848</v>
      </c>
      <c r="B26" s="448"/>
      <c r="C26" s="440">
        <v>9449751</v>
      </c>
      <c r="D26" s="448"/>
      <c r="E26" s="252">
        <v>2749517.24</v>
      </c>
      <c r="F26" s="448"/>
      <c r="G26" s="252">
        <v>13266778</v>
      </c>
      <c r="H26" s="448"/>
      <c r="J26" s="448"/>
      <c r="K26" s="448">
        <f>6086129--4271</f>
        <v>6090400</v>
      </c>
      <c r="L26" s="448"/>
      <c r="M26" s="448">
        <f t="shared" si="0"/>
        <v>5198650</v>
      </c>
      <c r="N26" s="448"/>
      <c r="O26" s="36"/>
      <c r="Q26" s="252"/>
      <c r="R26" s="653">
        <v>3968970</v>
      </c>
      <c r="S26" s="653">
        <v>1229680</v>
      </c>
      <c r="T26" s="505"/>
    </row>
    <row r="27" spans="1:21" x14ac:dyDescent="0.25">
      <c r="A27" s="652">
        <v>40878</v>
      </c>
      <c r="B27" s="448"/>
      <c r="C27" s="440">
        <v>10705782</v>
      </c>
      <c r="D27" s="448"/>
      <c r="E27" s="252">
        <v>3531568.04</v>
      </c>
      <c r="F27" s="448"/>
      <c r="G27" s="252">
        <v>12746938</v>
      </c>
      <c r="H27" s="448"/>
      <c r="J27" s="448"/>
      <c r="K27" s="448">
        <f>5249209+936843-2416</f>
        <v>6183636</v>
      </c>
      <c r="L27" s="448"/>
      <c r="M27" s="448">
        <f t="shared" si="0"/>
        <v>5220901</v>
      </c>
      <c r="N27" s="448"/>
      <c r="O27" s="36"/>
      <c r="Q27" s="252"/>
      <c r="R27" s="653">
        <v>4100217</v>
      </c>
      <c r="S27" s="653">
        <v>1120684</v>
      </c>
      <c r="T27" s="505"/>
    </row>
    <row r="28" spans="1:21" s="505" customFormat="1" x14ac:dyDescent="0.25">
      <c r="A28" s="654">
        <v>40909</v>
      </c>
      <c r="B28" s="503"/>
      <c r="C28" s="505">
        <v>11614699</v>
      </c>
      <c r="D28" s="503"/>
      <c r="E28" s="252">
        <f>2672773+2915836</f>
        <v>5588609</v>
      </c>
      <c r="F28" s="503"/>
      <c r="G28" s="252">
        <v>12518128</v>
      </c>
      <c r="H28" s="503"/>
      <c r="I28" s="440"/>
      <c r="J28" s="448"/>
      <c r="K28" s="503">
        <f>5347905+901392--2152</f>
        <v>6251449</v>
      </c>
      <c r="L28" s="448"/>
      <c r="M28" s="448">
        <f t="shared" si="0"/>
        <v>5298360</v>
      </c>
      <c r="N28" s="448"/>
      <c r="O28" s="36"/>
      <c r="P28" s="643"/>
      <c r="Q28" s="252"/>
      <c r="R28" s="655">
        <v>4205579</v>
      </c>
      <c r="S28" s="655">
        <v>1092781</v>
      </c>
    </row>
    <row r="29" spans="1:21" s="505" customFormat="1" x14ac:dyDescent="0.25">
      <c r="A29" s="654">
        <v>40940</v>
      </c>
      <c r="B29" s="503"/>
      <c r="C29" s="505">
        <v>11968252</v>
      </c>
      <c r="D29" s="503"/>
      <c r="E29" s="252">
        <f>1859611+2667767</f>
        <v>4527378</v>
      </c>
      <c r="F29" s="503"/>
      <c r="G29" s="252">
        <v>12866061</v>
      </c>
      <c r="H29" s="503"/>
      <c r="I29" s="440"/>
      <c r="J29" s="448"/>
      <c r="K29" s="503">
        <f>5364694+631013-11946</f>
        <v>5983761</v>
      </c>
      <c r="L29" s="448"/>
      <c r="M29" s="448">
        <f t="shared" si="0"/>
        <v>5301715</v>
      </c>
      <c r="N29" s="448"/>
      <c r="O29" s="36"/>
      <c r="P29" s="643"/>
      <c r="Q29" s="252"/>
      <c r="R29" s="655">
        <v>4123571</v>
      </c>
      <c r="S29" s="655">
        <v>1178144</v>
      </c>
    </row>
    <row r="30" spans="1:21" s="505" customFormat="1" x14ac:dyDescent="0.25">
      <c r="A30" s="654">
        <v>40969</v>
      </c>
      <c r="B30" s="503"/>
      <c r="C30" s="505">
        <v>12765005</v>
      </c>
      <c r="D30" s="503"/>
      <c r="E30" s="252">
        <f>996613+1511947</f>
        <v>2508560</v>
      </c>
      <c r="F30" s="503"/>
      <c r="G30" s="252">
        <v>13145301</v>
      </c>
      <c r="H30" s="503"/>
      <c r="I30" s="448"/>
      <c r="J30" s="448"/>
      <c r="K30" s="503">
        <f>5516465+813019+5524--272586</f>
        <v>6607594</v>
      </c>
      <c r="L30" s="448"/>
      <c r="M30" s="448">
        <f t="shared" si="0"/>
        <v>5740205</v>
      </c>
      <c r="N30" s="448"/>
      <c r="O30" s="36"/>
      <c r="P30" s="643"/>
      <c r="Q30" s="252"/>
      <c r="R30" s="655">
        <v>4722577</v>
      </c>
      <c r="S30" s="655">
        <v>1017628</v>
      </c>
    </row>
    <row r="31" spans="1:21" ht="21.75" customHeight="1" x14ac:dyDescent="0.25">
      <c r="A31" s="503"/>
      <c r="B31" s="503"/>
      <c r="C31" s="656">
        <f>SUM(C19:C30)</f>
        <v>133569019</v>
      </c>
      <c r="D31" s="350"/>
      <c r="E31" s="386">
        <f>SUM(E19:E30)</f>
        <v>38638066.950000003</v>
      </c>
      <c r="F31" s="49"/>
      <c r="G31" s="386">
        <f>SUM(G19:G30)</f>
        <v>157496352</v>
      </c>
      <c r="H31" s="49"/>
      <c r="I31" s="49">
        <f t="shared" ref="I31" si="1">+C31+E31-G31</f>
        <v>14710733.949999988</v>
      </c>
      <c r="J31" s="49"/>
      <c r="K31" s="386">
        <f>SUM(K19:K30)</f>
        <v>72928181</v>
      </c>
      <c r="L31" s="49"/>
      <c r="M31" s="386">
        <f>SUM(M19:M30)</f>
        <v>62185755</v>
      </c>
      <c r="N31" s="49"/>
      <c r="O31" s="386">
        <f>+K31-M31</f>
        <v>10742426</v>
      </c>
      <c r="Q31" s="49"/>
      <c r="R31" s="651"/>
      <c r="S31" s="651"/>
      <c r="T31" s="505"/>
      <c r="U31" s="505"/>
    </row>
    <row r="32" spans="1:21" x14ac:dyDescent="0.25">
      <c r="A32" s="448"/>
      <c r="B32" s="448"/>
      <c r="C32" s="448"/>
      <c r="D32" s="151"/>
      <c r="E32" s="448"/>
      <c r="F32" s="151"/>
      <c r="G32" s="151"/>
      <c r="H32" s="151"/>
      <c r="I32" s="448"/>
      <c r="J32" s="151"/>
      <c r="K32" s="151"/>
      <c r="L32" s="448"/>
      <c r="M32" s="448"/>
      <c r="N32" s="448"/>
      <c r="O32" s="49"/>
      <c r="R32" s="657">
        <f>SUM(R19:R30)</f>
        <v>49431606</v>
      </c>
      <c r="S32" s="657">
        <f>SUM(S19:S30)</f>
        <v>12754149</v>
      </c>
      <c r="T32" s="505"/>
      <c r="U32" s="505"/>
    </row>
    <row r="33" spans="1:21" x14ac:dyDescent="0.25">
      <c r="A33" s="539" t="s">
        <v>392</v>
      </c>
      <c r="B33" s="448"/>
      <c r="C33" s="151"/>
      <c r="D33" s="151"/>
      <c r="E33" s="151"/>
      <c r="F33" s="151"/>
      <c r="G33" s="151"/>
      <c r="H33" s="151"/>
      <c r="I33" s="151"/>
      <c r="J33" s="151"/>
      <c r="K33" s="120">
        <f>+Allocators!C17</f>
        <v>0.86660000000000004</v>
      </c>
      <c r="L33" s="448"/>
      <c r="M33" s="120">
        <f>K33</f>
        <v>0.86660000000000004</v>
      </c>
      <c r="N33" s="503"/>
      <c r="O33" s="120">
        <f>M33</f>
        <v>0.86660000000000004</v>
      </c>
      <c r="R33" s="651"/>
      <c r="S33" s="658"/>
      <c r="T33" s="505"/>
      <c r="U33" s="505"/>
    </row>
    <row r="34" spans="1:21" x14ac:dyDescent="0.25">
      <c r="A34" s="448"/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T34" s="505"/>
      <c r="U34" s="505"/>
    </row>
    <row r="35" spans="1:21" ht="16.5" thickBot="1" x14ac:dyDescent="0.3">
      <c r="A35" s="448" t="s">
        <v>151</v>
      </c>
      <c r="B35" s="448"/>
      <c r="C35" s="49"/>
      <c r="D35" s="448"/>
      <c r="E35" s="49"/>
      <c r="F35" s="448"/>
      <c r="G35" s="448"/>
      <c r="H35" s="448"/>
      <c r="I35" s="55">
        <f>I31</f>
        <v>14710733.949999988</v>
      </c>
      <c r="J35" s="448"/>
      <c r="K35" s="55">
        <f>ROUND(+K31*K33,0)</f>
        <v>63199562</v>
      </c>
      <c r="L35" s="448"/>
      <c r="M35" s="55">
        <f>ROUND(+M31*M33,0)</f>
        <v>53890175</v>
      </c>
      <c r="N35" s="448"/>
      <c r="O35" s="295">
        <f>+K35-M35</f>
        <v>9309387</v>
      </c>
      <c r="T35" s="505"/>
      <c r="U35" s="505"/>
    </row>
    <row r="36" spans="1:21" ht="16.5" thickTop="1" x14ac:dyDescent="0.25">
      <c r="C36" s="448"/>
      <c r="D36" s="448"/>
      <c r="E36" s="448"/>
    </row>
    <row r="37" spans="1:21" ht="16.5" thickBot="1" x14ac:dyDescent="0.3">
      <c r="A37" s="440" t="s">
        <v>330</v>
      </c>
      <c r="C37" s="49"/>
      <c r="D37" s="448"/>
      <c r="E37" s="49"/>
      <c r="I37" s="55">
        <f>ROUND(-I35,0)</f>
        <v>-14710734</v>
      </c>
      <c r="K37" s="49"/>
      <c r="L37" s="448"/>
      <c r="M37" s="49"/>
      <c r="O37" s="55">
        <f>ROUND(-O35,0)</f>
        <v>-9309387</v>
      </c>
    </row>
    <row r="38" spans="1:21" ht="16.5" thickTop="1" x14ac:dyDescent="0.25"/>
    <row r="40" spans="1:21" x14ac:dyDescent="0.25">
      <c r="A40" s="447" t="s">
        <v>588</v>
      </c>
    </row>
    <row r="41" spans="1:21" x14ac:dyDescent="0.25">
      <c r="A41" s="447" t="s">
        <v>589</v>
      </c>
    </row>
    <row r="42" spans="1:21" x14ac:dyDescent="0.25">
      <c r="A42" s="550" t="s">
        <v>729</v>
      </c>
      <c r="B42" s="505"/>
      <c r="C42" s="505"/>
      <c r="D42" s="505"/>
      <c r="E42" s="505"/>
      <c r="F42" s="505"/>
    </row>
    <row r="43" spans="1:21" x14ac:dyDescent="0.25">
      <c r="A43" s="447" t="s">
        <v>590</v>
      </c>
    </row>
    <row r="44" spans="1:21" x14ac:dyDescent="0.25">
      <c r="A44" s="447" t="s">
        <v>591</v>
      </c>
    </row>
    <row r="45" spans="1:21" x14ac:dyDescent="0.25">
      <c r="A45" s="447"/>
    </row>
    <row r="46" spans="1:21" x14ac:dyDescent="0.25">
      <c r="A46" s="447"/>
    </row>
  </sheetData>
  <mergeCells count="4">
    <mergeCell ref="A7:M7"/>
    <mergeCell ref="A10:M10"/>
    <mergeCell ref="A11:M11"/>
    <mergeCell ref="R15:S15"/>
  </mergeCells>
  <printOptions horizontalCentered="1" gridLinesSet="0"/>
  <pageMargins left="0.5" right="0.5" top="1" bottom="1" header="0.5" footer="0.5"/>
  <pageSetup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H85"/>
  <sheetViews>
    <sheetView showGridLines="0" zoomScaleNormal="100" zoomScaleSheetLayoutView="70" workbookViewId="0">
      <selection activeCell="F74" sqref="F74"/>
    </sheetView>
  </sheetViews>
  <sheetFormatPr defaultRowHeight="15.75" x14ac:dyDescent="0.25"/>
  <cols>
    <col min="1" max="1" width="12.625" style="103" customWidth="1"/>
    <col min="2" max="2" width="1.625" style="103" customWidth="1"/>
    <col min="3" max="3" width="14.625" style="103" customWidth="1"/>
    <col min="4" max="4" width="19.375" style="103" customWidth="1"/>
    <col min="5" max="5" width="14.25" style="103" bestFit="1" customWidth="1"/>
    <col min="6" max="6" width="15.125" style="103" customWidth="1"/>
    <col min="7" max="7" width="15.625" style="103" customWidth="1"/>
    <col min="8" max="16384" width="9" style="103"/>
  </cols>
  <sheetData>
    <row r="3" spans="1:7" x14ac:dyDescent="0.25">
      <c r="F3" s="7" t="str">
        <f>'Ex 1'!$K$1</f>
        <v>Revised Exhibit 1</v>
      </c>
    </row>
    <row r="4" spans="1:7" x14ac:dyDescent="0.25">
      <c r="F4" s="30" t="str">
        <f>"Reference Schedule "&amp;Inputs!$A21&amp;""</f>
        <v>Reference Schedule 1.05</v>
      </c>
    </row>
    <row r="5" spans="1:7" x14ac:dyDescent="0.25">
      <c r="A5" s="105"/>
      <c r="B5" s="105"/>
      <c r="C5" s="105"/>
      <c r="D5" s="105"/>
      <c r="E5" s="105"/>
      <c r="F5" s="529" t="str">
        <f>"Sponsoring Witness: "&amp;Inputs!$B21&amp;""</f>
        <v>Sponsoring Witness: Conroy</v>
      </c>
    </row>
    <row r="6" spans="1:7" x14ac:dyDescent="0.25">
      <c r="A6" s="105"/>
      <c r="B6" s="105"/>
      <c r="C6" s="105"/>
      <c r="D6" s="105"/>
      <c r="E6" s="105"/>
      <c r="F6" s="398" t="s">
        <v>463</v>
      </c>
      <c r="G6" s="7"/>
    </row>
    <row r="7" spans="1:7" x14ac:dyDescent="0.25">
      <c r="A7" s="105"/>
      <c r="B7" s="105"/>
      <c r="C7" s="105"/>
      <c r="D7" s="105"/>
      <c r="E7" s="105"/>
      <c r="F7" s="105"/>
    </row>
    <row r="8" spans="1:7" x14ac:dyDescent="0.25">
      <c r="A8" s="800" t="s">
        <v>230</v>
      </c>
      <c r="B8" s="801"/>
      <c r="C8" s="801"/>
      <c r="D8" s="801"/>
      <c r="E8" s="801"/>
      <c r="F8" s="801"/>
      <c r="G8" s="101"/>
    </row>
    <row r="9" spans="1:7" x14ac:dyDescent="0.25">
      <c r="A9" s="105"/>
      <c r="B9" s="105"/>
      <c r="C9" s="105"/>
      <c r="D9" s="105"/>
      <c r="E9" s="105"/>
      <c r="F9" s="105"/>
      <c r="G9" s="106"/>
    </row>
    <row r="10" spans="1:7" x14ac:dyDescent="0.25">
      <c r="A10" s="105"/>
      <c r="B10" s="105"/>
      <c r="C10" s="105"/>
      <c r="D10" s="105"/>
      <c r="E10" s="105"/>
      <c r="F10" s="105"/>
      <c r="G10" s="106"/>
    </row>
    <row r="11" spans="1:7" x14ac:dyDescent="0.25">
      <c r="A11" s="807" t="s">
        <v>312</v>
      </c>
      <c r="B11" s="808"/>
      <c r="C11" s="808"/>
      <c r="D11" s="808"/>
      <c r="E11" s="808"/>
      <c r="F11" s="808"/>
      <c r="G11" s="102"/>
    </row>
    <row r="12" spans="1:7" x14ac:dyDescent="0.25">
      <c r="A12" s="801" t="str">
        <f>"For the Twelve Months Ended "&amp;Inputs!B3&amp;""</f>
        <v>For the Twelve Months Ended March 31, 2012</v>
      </c>
      <c r="B12" s="801"/>
      <c r="C12" s="801"/>
      <c r="D12" s="801"/>
      <c r="E12" s="801"/>
      <c r="F12" s="801"/>
      <c r="G12" s="4"/>
    </row>
    <row r="13" spans="1:7" x14ac:dyDescent="0.25">
      <c r="A13" s="105"/>
      <c r="B13" s="105"/>
      <c r="C13" s="105"/>
      <c r="D13" s="105"/>
      <c r="E13" s="105"/>
      <c r="F13" s="105"/>
    </row>
    <row r="14" spans="1:7" x14ac:dyDescent="0.25">
      <c r="A14" s="105"/>
      <c r="B14" s="105"/>
      <c r="C14" s="105"/>
      <c r="D14" s="105"/>
      <c r="E14" s="105"/>
      <c r="F14" s="105"/>
    </row>
    <row r="15" spans="1:7" x14ac:dyDescent="0.25">
      <c r="A15" s="105"/>
      <c r="B15" s="105"/>
      <c r="C15" s="123" t="s">
        <v>159</v>
      </c>
      <c r="D15" s="123" t="s">
        <v>169</v>
      </c>
      <c r="E15" s="123" t="s">
        <v>246</v>
      </c>
      <c r="F15" s="123" t="s">
        <v>255</v>
      </c>
    </row>
    <row r="17" spans="1:6" s="105" customFormat="1" x14ac:dyDescent="0.25">
      <c r="C17" s="107"/>
      <c r="D17" s="107"/>
      <c r="E17" s="107"/>
      <c r="F17" s="107" t="s">
        <v>247</v>
      </c>
    </row>
    <row r="18" spans="1:6" s="105" customFormat="1" x14ac:dyDescent="0.25">
      <c r="C18" s="107" t="s">
        <v>250</v>
      </c>
      <c r="D18" s="107" t="s">
        <v>151</v>
      </c>
      <c r="E18" s="107" t="s">
        <v>184</v>
      </c>
      <c r="F18" s="107" t="s">
        <v>248</v>
      </c>
    </row>
    <row r="19" spans="1:6" s="105" customFormat="1" x14ac:dyDescent="0.25">
      <c r="C19" s="107" t="s">
        <v>247</v>
      </c>
      <c r="D19" s="107" t="s">
        <v>215</v>
      </c>
      <c r="E19" s="107" t="s">
        <v>215</v>
      </c>
      <c r="F19" s="107" t="s">
        <v>215</v>
      </c>
    </row>
    <row r="20" spans="1:6" s="105" customFormat="1" x14ac:dyDescent="0.25">
      <c r="C20" s="107" t="s">
        <v>248</v>
      </c>
      <c r="D20" s="107" t="s">
        <v>216</v>
      </c>
      <c r="E20" s="107" t="s">
        <v>216</v>
      </c>
      <c r="F20" s="107" t="s">
        <v>163</v>
      </c>
    </row>
    <row r="21" spans="1:6" s="107" customFormat="1" x14ac:dyDescent="0.25">
      <c r="C21" s="124" t="s">
        <v>243</v>
      </c>
      <c r="D21" s="394" t="s">
        <v>249</v>
      </c>
      <c r="E21" s="124" t="s">
        <v>249</v>
      </c>
      <c r="F21" s="465" t="s">
        <v>369</v>
      </c>
    </row>
    <row r="22" spans="1:6" x14ac:dyDescent="0.25">
      <c r="D22" s="619" t="s">
        <v>599</v>
      </c>
    </row>
    <row r="24" spans="1:6" x14ac:dyDescent="0.25">
      <c r="A24" s="108">
        <v>40634</v>
      </c>
      <c r="B24" s="104"/>
      <c r="C24" s="52">
        <f>434.75+949169.85</f>
        <v>949604.6</v>
      </c>
      <c r="D24" s="118">
        <f t="shared" ref="D24:D35" si="0">G69</f>
        <v>1.8290238836977466E-3</v>
      </c>
      <c r="E24" s="118">
        <f t="shared" ref="E24:E35" si="1">$D$38</f>
        <v>1.1299999999999999E-2</v>
      </c>
      <c r="F24" s="89">
        <f t="shared" ref="F24:F29" si="2">ROUND(+C24*E24,0)</f>
        <v>10731</v>
      </c>
    </row>
    <row r="25" spans="1:6" x14ac:dyDescent="0.25">
      <c r="A25" s="108">
        <v>40664</v>
      </c>
      <c r="B25" s="104"/>
      <c r="C25" s="52">
        <f>585564.05+2769435.1</f>
        <v>3354999.1500000004</v>
      </c>
      <c r="D25" s="118">
        <f t="shared" si="0"/>
        <v>2.7212492171463775E-3</v>
      </c>
      <c r="E25" s="118">
        <f t="shared" si="1"/>
        <v>1.1299999999999999E-2</v>
      </c>
      <c r="F25" s="89">
        <f t="shared" si="2"/>
        <v>37911</v>
      </c>
    </row>
    <row r="26" spans="1:6" x14ac:dyDescent="0.25">
      <c r="A26" s="108">
        <v>40695</v>
      </c>
      <c r="B26" s="104"/>
      <c r="C26" s="52">
        <f>1154875.73+2970377.94</f>
        <v>4125253.67</v>
      </c>
      <c r="D26" s="118">
        <f t="shared" si="0"/>
        <v>5.8617400497676577E-3</v>
      </c>
      <c r="E26" s="118">
        <f t="shared" si="1"/>
        <v>1.1299999999999999E-2</v>
      </c>
      <c r="F26" s="89">
        <f t="shared" si="2"/>
        <v>46615</v>
      </c>
    </row>
    <row r="27" spans="1:6" x14ac:dyDescent="0.25">
      <c r="A27" s="108">
        <v>40725</v>
      </c>
      <c r="B27" s="104"/>
      <c r="C27" s="52">
        <f>613840.56+2595472.5</f>
        <v>3209313.06</v>
      </c>
      <c r="D27" s="118">
        <f t="shared" si="0"/>
        <v>5.582663202625157E-3</v>
      </c>
      <c r="E27" s="118">
        <f t="shared" si="1"/>
        <v>1.1299999999999999E-2</v>
      </c>
      <c r="F27" s="89">
        <f t="shared" si="2"/>
        <v>36265</v>
      </c>
    </row>
    <row r="28" spans="1:6" x14ac:dyDescent="0.25">
      <c r="A28" s="108">
        <v>40756</v>
      </c>
      <c r="B28" s="104"/>
      <c r="C28" s="52">
        <f>229226.54+1504405.99</f>
        <v>1733632.53</v>
      </c>
      <c r="D28" s="118">
        <f t="shared" si="0"/>
        <v>6.941330664363708E-3</v>
      </c>
      <c r="E28" s="118">
        <f t="shared" si="1"/>
        <v>1.1299999999999999E-2</v>
      </c>
      <c r="F28" s="89">
        <f t="shared" si="2"/>
        <v>19590</v>
      </c>
    </row>
    <row r="29" spans="1:6" x14ac:dyDescent="0.25">
      <c r="A29" s="108">
        <v>40787</v>
      </c>
      <c r="B29" s="104"/>
      <c r="C29" s="52">
        <f>13651.67+2444658.82</f>
        <v>2458310.4899999998</v>
      </c>
      <c r="D29" s="118">
        <f t="shared" si="0"/>
        <v>1.4867886026681782E-2</v>
      </c>
      <c r="E29" s="118">
        <f t="shared" si="1"/>
        <v>1.1299999999999999E-2</v>
      </c>
      <c r="F29" s="89">
        <f t="shared" si="2"/>
        <v>27779</v>
      </c>
    </row>
    <row r="30" spans="1:6" x14ac:dyDescent="0.25">
      <c r="A30" s="108">
        <v>40817</v>
      </c>
      <c r="B30" s="104"/>
      <c r="C30" s="52">
        <f>4235723.75+1126945.08</f>
        <v>5362668.83</v>
      </c>
      <c r="D30" s="118">
        <f t="shared" si="0"/>
        <v>1.558371556053788E-2</v>
      </c>
      <c r="E30" s="118">
        <f t="shared" si="1"/>
        <v>1.1299999999999999E-2</v>
      </c>
      <c r="F30" s="89">
        <f t="shared" ref="F30:F32" si="3">ROUND(+C30*E30,0)</f>
        <v>60598</v>
      </c>
    </row>
    <row r="31" spans="1:6" x14ac:dyDescent="0.25">
      <c r="A31" s="108">
        <v>40848</v>
      </c>
      <c r="B31" s="104"/>
      <c r="C31" s="52">
        <f>1931873.74+116160.63</f>
        <v>2048034.37</v>
      </c>
      <c r="D31" s="118">
        <f t="shared" si="0"/>
        <v>1.619137866648334E-2</v>
      </c>
      <c r="E31" s="118">
        <f t="shared" si="1"/>
        <v>1.1299999999999999E-2</v>
      </c>
      <c r="F31" s="89">
        <f t="shared" si="3"/>
        <v>23143</v>
      </c>
    </row>
    <row r="32" spans="1:6" x14ac:dyDescent="0.25">
      <c r="A32" s="108">
        <v>40878</v>
      </c>
      <c r="B32" s="104"/>
      <c r="C32" s="52">
        <f>22804.55+3322557.64</f>
        <v>3345362.19</v>
      </c>
      <c r="D32" s="118">
        <f t="shared" si="0"/>
        <v>2.0205118409665941E-2</v>
      </c>
      <c r="E32" s="118">
        <f t="shared" si="1"/>
        <v>1.1299999999999999E-2</v>
      </c>
      <c r="F32" s="89">
        <f t="shared" si="3"/>
        <v>37803</v>
      </c>
    </row>
    <row r="33" spans="1:8" x14ac:dyDescent="0.25">
      <c r="A33" s="108">
        <v>40909</v>
      </c>
      <c r="B33" s="104"/>
      <c r="C33" s="52">
        <f>9832+2639786</f>
        <v>2649618</v>
      </c>
      <c r="D33" s="118">
        <f t="shared" si="0"/>
        <v>1.5088347887979652E-2</v>
      </c>
      <c r="E33" s="118">
        <f t="shared" si="1"/>
        <v>1.1299999999999999E-2</v>
      </c>
      <c r="F33" s="89">
        <f t="shared" ref="F33:F35" si="4">ROUND(+C33*E33,0)</f>
        <v>29941</v>
      </c>
    </row>
    <row r="34" spans="1:8" x14ac:dyDescent="0.25">
      <c r="A34" s="108">
        <v>40940</v>
      </c>
      <c r="B34" s="104"/>
      <c r="C34" s="52">
        <f>3662+404351</f>
        <v>408013</v>
      </c>
      <c r="D34" s="118">
        <f t="shared" si="0"/>
        <v>1.4318505792438964E-2</v>
      </c>
      <c r="E34" s="118">
        <f t="shared" si="1"/>
        <v>1.1299999999999999E-2</v>
      </c>
      <c r="F34" s="89">
        <f t="shared" si="4"/>
        <v>4611</v>
      </c>
    </row>
    <row r="35" spans="1:8" x14ac:dyDescent="0.25">
      <c r="A35" s="108">
        <v>40969</v>
      </c>
      <c r="B35" s="104"/>
      <c r="C35" s="52">
        <f>4940+552290</f>
        <v>557230</v>
      </c>
      <c r="D35" s="118">
        <f t="shared" si="0"/>
        <v>1.6882474395995509E-2</v>
      </c>
      <c r="E35" s="118">
        <f t="shared" si="1"/>
        <v>1.1299999999999999E-2</v>
      </c>
      <c r="F35" s="89">
        <f t="shared" si="4"/>
        <v>6297</v>
      </c>
    </row>
    <row r="36" spans="1:8" x14ac:dyDescent="0.25">
      <c r="A36" s="108"/>
      <c r="B36" s="104"/>
      <c r="C36" s="52"/>
      <c r="D36" s="118"/>
      <c r="E36" s="118"/>
      <c r="F36" s="89"/>
    </row>
    <row r="37" spans="1:8" ht="21.75" customHeight="1" thickBot="1" x14ac:dyDescent="0.3">
      <c r="A37" s="104" t="s">
        <v>151</v>
      </c>
      <c r="B37" s="122"/>
      <c r="C37" s="121">
        <f>SUM(C24:C35)</f>
        <v>30202039.890000001</v>
      </c>
      <c r="D37" s="97"/>
      <c r="E37" s="118"/>
      <c r="F37" s="121">
        <f>SUM(F24:F35)</f>
        <v>341284</v>
      </c>
    </row>
    <row r="38" spans="1:8" ht="22.5" customHeight="1" thickTop="1" x14ac:dyDescent="0.25">
      <c r="A38" s="104" t="s">
        <v>184</v>
      </c>
      <c r="D38" s="96">
        <f>ROUND(SUM(D24:D35)/12,4)</f>
        <v>1.1299999999999999E-2</v>
      </c>
    </row>
    <row r="39" spans="1:8" ht="14.25" customHeight="1" x14ac:dyDescent="0.25">
      <c r="A39" s="104"/>
      <c r="D39" s="96"/>
    </row>
    <row r="40" spans="1:8" s="2" customFormat="1" x14ac:dyDescent="0.25">
      <c r="A40" s="33" t="s">
        <v>392</v>
      </c>
      <c r="B40" s="25"/>
      <c r="C40" s="151"/>
      <c r="D40" s="25"/>
      <c r="F40" s="120">
        <f>Allocators!C21</f>
        <v>0.86756999999999995</v>
      </c>
      <c r="H40" s="25"/>
    </row>
    <row r="41" spans="1:8" ht="10.5" customHeight="1" x14ac:dyDescent="0.25">
      <c r="C41" s="49"/>
    </row>
    <row r="42" spans="1:8" ht="16.5" thickBot="1" x14ac:dyDescent="0.3">
      <c r="A42" s="385" t="s">
        <v>151</v>
      </c>
      <c r="F42" s="55">
        <f>ROUND(F37*F40,0)</f>
        <v>296088</v>
      </c>
    </row>
    <row r="43" spans="1:8" ht="12.75" customHeight="1" thickTop="1" x14ac:dyDescent="0.25">
      <c r="D43" s="149"/>
    </row>
    <row r="44" spans="1:8" ht="20.25" customHeight="1" thickBot="1" x14ac:dyDescent="0.3">
      <c r="A44" s="104" t="s">
        <v>330</v>
      </c>
      <c r="F44" s="55">
        <f>-F42</f>
        <v>-296088</v>
      </c>
    </row>
    <row r="45" spans="1:8" ht="16.5" thickTop="1" x14ac:dyDescent="0.25">
      <c r="D45" s="149"/>
    </row>
    <row r="46" spans="1:8" x14ac:dyDescent="0.25">
      <c r="D46" s="150"/>
    </row>
    <row r="47" spans="1:8" x14ac:dyDescent="0.25">
      <c r="D47" s="150"/>
    </row>
    <row r="48" spans="1:8" x14ac:dyDescent="0.25">
      <c r="A48" s="1"/>
      <c r="B48" s="135"/>
      <c r="C48" s="135"/>
      <c r="D48" s="135"/>
      <c r="E48" s="537"/>
      <c r="F48" s="135"/>
    </row>
    <row r="49" spans="1:7" x14ac:dyDescent="0.25">
      <c r="G49" s="528" t="str">
        <f>'Ex 1'!$K$1</f>
        <v>Revised Exhibit 1</v>
      </c>
    </row>
    <row r="50" spans="1:7" x14ac:dyDescent="0.25">
      <c r="G50" s="529" t="str">
        <f>F4</f>
        <v>Reference Schedule 1.05</v>
      </c>
    </row>
    <row r="51" spans="1:7" x14ac:dyDescent="0.25">
      <c r="A51" s="105"/>
      <c r="B51" s="105"/>
      <c r="C51" s="105"/>
      <c r="D51" s="105"/>
      <c r="E51" s="105"/>
      <c r="G51" s="529" t="str">
        <f>F5</f>
        <v>Sponsoring Witness: Conroy</v>
      </c>
    </row>
    <row r="52" spans="1:7" x14ac:dyDescent="0.25">
      <c r="A52" s="105"/>
      <c r="B52" s="105"/>
      <c r="C52" s="105"/>
      <c r="D52" s="105"/>
      <c r="E52" s="105"/>
      <c r="G52" s="398" t="s">
        <v>462</v>
      </c>
    </row>
    <row r="53" spans="1:7" x14ac:dyDescent="0.25">
      <c r="A53" s="105"/>
      <c r="B53" s="105"/>
      <c r="C53" s="105"/>
      <c r="D53" s="105"/>
      <c r="E53" s="105"/>
      <c r="F53" s="105"/>
    </row>
    <row r="54" spans="1:7" x14ac:dyDescent="0.25">
      <c r="A54" s="800" t="s">
        <v>230</v>
      </c>
      <c r="B54" s="800"/>
      <c r="C54" s="800"/>
      <c r="D54" s="800"/>
      <c r="E54" s="800"/>
      <c r="F54" s="800"/>
      <c r="G54" s="800"/>
    </row>
    <row r="55" spans="1:7" x14ac:dyDescent="0.25">
      <c r="A55" s="105"/>
      <c r="B55" s="105"/>
      <c r="C55" s="105"/>
      <c r="D55" s="105"/>
      <c r="E55" s="105"/>
      <c r="F55" s="105"/>
      <c r="G55" s="106"/>
    </row>
    <row r="56" spans="1:7" x14ac:dyDescent="0.25">
      <c r="A56" s="105"/>
      <c r="B56" s="105"/>
      <c r="C56" s="105"/>
      <c r="D56" s="105"/>
      <c r="E56" s="105"/>
      <c r="F56" s="105"/>
      <c r="G56" s="106"/>
    </row>
    <row r="57" spans="1:7" x14ac:dyDescent="0.25">
      <c r="A57" s="807" t="s">
        <v>312</v>
      </c>
      <c r="B57" s="807"/>
      <c r="C57" s="807"/>
      <c r="D57" s="807"/>
      <c r="E57" s="807"/>
      <c r="F57" s="807"/>
      <c r="G57" s="807"/>
    </row>
    <row r="58" spans="1:7" x14ac:dyDescent="0.25">
      <c r="A58" s="801" t="str">
        <f>A12</f>
        <v>For the Twelve Months Ended March 31, 2012</v>
      </c>
      <c r="B58" s="801"/>
      <c r="C58" s="801"/>
      <c r="D58" s="801"/>
      <c r="E58" s="801"/>
      <c r="F58" s="801"/>
      <c r="G58" s="801"/>
    </row>
    <row r="59" spans="1:7" x14ac:dyDescent="0.25">
      <c r="A59" s="611"/>
      <c r="B59" s="611"/>
      <c r="C59" s="611"/>
      <c r="D59" s="611"/>
      <c r="E59" s="611"/>
      <c r="F59" s="611"/>
      <c r="G59" s="4"/>
    </row>
    <row r="60" spans="1:7" x14ac:dyDescent="0.25">
      <c r="A60" s="105"/>
      <c r="B60" s="105"/>
      <c r="C60" s="105"/>
      <c r="D60" s="105"/>
      <c r="E60" s="105"/>
      <c r="F60" s="105"/>
    </row>
    <row r="61" spans="1:7" x14ac:dyDescent="0.25">
      <c r="A61" s="105"/>
      <c r="B61" s="105"/>
      <c r="C61" s="123" t="s">
        <v>159</v>
      </c>
      <c r="D61" s="123" t="s">
        <v>169</v>
      </c>
      <c r="E61" s="123" t="s">
        <v>246</v>
      </c>
      <c r="F61" s="123" t="s">
        <v>255</v>
      </c>
      <c r="G61" s="123" t="s">
        <v>598</v>
      </c>
    </row>
    <row r="62" spans="1:7" x14ac:dyDescent="0.25">
      <c r="A62" s="105"/>
      <c r="B62" s="105"/>
      <c r="C62" s="123"/>
      <c r="D62" s="123"/>
      <c r="E62" s="123"/>
      <c r="F62" s="123"/>
      <c r="G62" s="123"/>
    </row>
    <row r="63" spans="1:7" s="105" customFormat="1" x14ac:dyDescent="0.25">
      <c r="C63" s="107"/>
      <c r="D63" s="645" t="s">
        <v>594</v>
      </c>
      <c r="E63" s="107" t="s">
        <v>595</v>
      </c>
      <c r="F63" s="107"/>
      <c r="G63" s="107" t="s">
        <v>151</v>
      </c>
    </row>
    <row r="64" spans="1:7" s="105" customFormat="1" x14ac:dyDescent="0.25">
      <c r="C64" s="107" t="s">
        <v>167</v>
      </c>
      <c r="D64" s="604" t="s">
        <v>381</v>
      </c>
      <c r="E64" s="107" t="s">
        <v>167</v>
      </c>
      <c r="F64" s="107"/>
      <c r="G64" s="107" t="s">
        <v>215</v>
      </c>
    </row>
    <row r="65" spans="1:7" s="105" customFormat="1" x14ac:dyDescent="0.25">
      <c r="C65" s="107" t="s">
        <v>238</v>
      </c>
      <c r="D65" s="604" t="s">
        <v>238</v>
      </c>
      <c r="E65" s="107" t="s">
        <v>238</v>
      </c>
      <c r="F65" s="107" t="s">
        <v>238</v>
      </c>
      <c r="G65" s="107" t="s">
        <v>216</v>
      </c>
    </row>
    <row r="66" spans="1:7" s="107" customFormat="1" x14ac:dyDescent="0.25">
      <c r="C66" s="394" t="s">
        <v>474</v>
      </c>
      <c r="D66" s="605" t="s">
        <v>608</v>
      </c>
      <c r="E66" s="394" t="s">
        <v>478</v>
      </c>
      <c r="F66" s="394" t="s">
        <v>610</v>
      </c>
      <c r="G66" s="394" t="s">
        <v>249</v>
      </c>
    </row>
    <row r="67" spans="1:7" x14ac:dyDescent="0.25">
      <c r="D67" s="604"/>
      <c r="E67" s="123" t="s">
        <v>596</v>
      </c>
      <c r="G67" s="123" t="s">
        <v>597</v>
      </c>
    </row>
    <row r="68" spans="1:7" x14ac:dyDescent="0.25">
      <c r="D68" s="448"/>
      <c r="G68" s="107"/>
    </row>
    <row r="69" spans="1:7" x14ac:dyDescent="0.25">
      <c r="A69" s="615">
        <v>40634</v>
      </c>
      <c r="B69" s="122"/>
      <c r="C69" s="52">
        <v>13768044</v>
      </c>
      <c r="D69" s="440">
        <v>13571366</v>
      </c>
      <c r="E69" s="52">
        <f>C69-D69</f>
        <v>196678</v>
      </c>
      <c r="F69" s="52">
        <v>107531674</v>
      </c>
      <c r="G69" s="118">
        <f>E69/F69</f>
        <v>1.8290238836977466E-3</v>
      </c>
    </row>
    <row r="70" spans="1:7" x14ac:dyDescent="0.25">
      <c r="A70" s="615">
        <v>40664</v>
      </c>
      <c r="B70" s="122"/>
      <c r="C70" s="52">
        <v>13439156</v>
      </c>
      <c r="D70" s="440">
        <v>13144590</v>
      </c>
      <c r="E70" s="52">
        <f t="shared" ref="E70:E80" si="5">C70-D70</f>
        <v>294566</v>
      </c>
      <c r="F70" s="52">
        <v>108246609</v>
      </c>
      <c r="G70" s="118">
        <f t="shared" ref="G70:G80" si="6">E70/F70</f>
        <v>2.7212492171463775E-3</v>
      </c>
    </row>
    <row r="71" spans="1:7" x14ac:dyDescent="0.25">
      <c r="A71" s="615">
        <v>40695</v>
      </c>
      <c r="B71" s="122"/>
      <c r="C71" s="90">
        <v>13701297</v>
      </c>
      <c r="D71" s="440">
        <v>13061693</v>
      </c>
      <c r="E71" s="52">
        <f t="shared" si="5"/>
        <v>639604</v>
      </c>
      <c r="F71" s="90">
        <v>109115040</v>
      </c>
      <c r="G71" s="118">
        <f t="shared" si="6"/>
        <v>5.8617400497676577E-3</v>
      </c>
    </row>
    <row r="72" spans="1:7" x14ac:dyDescent="0.25">
      <c r="A72" s="615">
        <v>40725</v>
      </c>
      <c r="B72" s="122"/>
      <c r="C72" s="52">
        <v>13799729</v>
      </c>
      <c r="D72" s="252">
        <v>13189522</v>
      </c>
      <c r="E72" s="52">
        <f t="shared" si="5"/>
        <v>610207</v>
      </c>
      <c r="F72" s="52">
        <v>109303925</v>
      </c>
      <c r="G72" s="118">
        <f t="shared" si="6"/>
        <v>5.582663202625157E-3</v>
      </c>
    </row>
    <row r="73" spans="1:7" x14ac:dyDescent="0.25">
      <c r="A73" s="615">
        <v>40756</v>
      </c>
      <c r="B73" s="122"/>
      <c r="C73" s="52">
        <v>14565804</v>
      </c>
      <c r="D73" s="252">
        <v>13808222</v>
      </c>
      <c r="E73" s="52">
        <f t="shared" si="5"/>
        <v>757582</v>
      </c>
      <c r="F73" s="52">
        <v>109140745</v>
      </c>
      <c r="G73" s="118">
        <f t="shared" si="6"/>
        <v>6.941330664363708E-3</v>
      </c>
    </row>
    <row r="74" spans="1:7" x14ac:dyDescent="0.25">
      <c r="A74" s="615">
        <v>40787</v>
      </c>
      <c r="B74" s="122"/>
      <c r="C74" s="52">
        <v>14929529</v>
      </c>
      <c r="D74" s="252">
        <v>13315107</v>
      </c>
      <c r="E74" s="52">
        <f t="shared" si="5"/>
        <v>1614422</v>
      </c>
      <c r="F74" s="52">
        <v>108584502</v>
      </c>
      <c r="G74" s="118">
        <f t="shared" si="6"/>
        <v>1.4867886026681782E-2</v>
      </c>
    </row>
    <row r="75" spans="1:7" x14ac:dyDescent="0.25">
      <c r="A75" s="615">
        <v>40817</v>
      </c>
      <c r="B75" s="122"/>
      <c r="C75" s="52">
        <v>14559276</v>
      </c>
      <c r="D75" s="252">
        <v>12862646</v>
      </c>
      <c r="E75" s="52">
        <f t="shared" si="5"/>
        <v>1696630</v>
      </c>
      <c r="F75" s="52">
        <v>108871982</v>
      </c>
      <c r="G75" s="118">
        <f t="shared" si="6"/>
        <v>1.558371556053788E-2</v>
      </c>
    </row>
    <row r="76" spans="1:7" x14ac:dyDescent="0.25">
      <c r="A76" s="615">
        <v>40848</v>
      </c>
      <c r="B76" s="122"/>
      <c r="C76" s="52">
        <v>15026352</v>
      </c>
      <c r="D76" s="252">
        <v>13266778</v>
      </c>
      <c r="E76" s="52">
        <f t="shared" si="5"/>
        <v>1759574</v>
      </c>
      <c r="F76" s="52">
        <v>108673513</v>
      </c>
      <c r="G76" s="118">
        <f t="shared" si="6"/>
        <v>1.619137866648334E-2</v>
      </c>
    </row>
    <row r="77" spans="1:7" x14ac:dyDescent="0.25">
      <c r="A77" s="615">
        <v>40878</v>
      </c>
      <c r="B77" s="122"/>
      <c r="C77" s="52">
        <v>14920920</v>
      </c>
      <c r="D77" s="252">
        <v>12746938</v>
      </c>
      <c r="E77" s="52">
        <f t="shared" si="5"/>
        <v>2173982</v>
      </c>
      <c r="F77" s="52">
        <v>107595608</v>
      </c>
      <c r="G77" s="118">
        <f t="shared" si="6"/>
        <v>2.0205118409665941E-2</v>
      </c>
    </row>
    <row r="78" spans="1:7" x14ac:dyDescent="0.25">
      <c r="A78" s="615">
        <v>40909</v>
      </c>
      <c r="B78" s="122"/>
      <c r="C78" s="52">
        <f>14710590-596811</f>
        <v>14113779</v>
      </c>
      <c r="D78" s="252">
        <v>12518128</v>
      </c>
      <c r="E78" s="52">
        <f t="shared" si="5"/>
        <v>1595651</v>
      </c>
      <c r="F78" s="52">
        <v>105753858</v>
      </c>
      <c r="G78" s="118">
        <f t="shared" si="6"/>
        <v>1.5088347887979652E-2</v>
      </c>
    </row>
    <row r="79" spans="1:7" x14ac:dyDescent="0.25">
      <c r="A79" s="615">
        <v>40940</v>
      </c>
      <c r="B79" s="122"/>
      <c r="C79" s="52">
        <f>14972381-596811</f>
        <v>14375570</v>
      </c>
      <c r="D79" s="252">
        <v>12866061</v>
      </c>
      <c r="E79" s="52">
        <f t="shared" si="5"/>
        <v>1509509</v>
      </c>
      <c r="F79" s="52">
        <v>105423640</v>
      </c>
      <c r="G79" s="118">
        <f t="shared" si="6"/>
        <v>1.4318505792438964E-2</v>
      </c>
    </row>
    <row r="80" spans="1:7" x14ac:dyDescent="0.25">
      <c r="A80" s="615">
        <v>40969</v>
      </c>
      <c r="B80" s="122"/>
      <c r="C80" s="52">
        <f>15517226-596811</f>
        <v>14920415</v>
      </c>
      <c r="D80" s="252">
        <v>13145301</v>
      </c>
      <c r="E80" s="52">
        <f t="shared" si="5"/>
        <v>1775114</v>
      </c>
      <c r="F80" s="52">
        <v>105145369</v>
      </c>
      <c r="G80" s="616">
        <f t="shared" si="6"/>
        <v>1.6882474395995509E-2</v>
      </c>
    </row>
    <row r="81" spans="1:7" ht="21.75" customHeight="1" thickBot="1" x14ac:dyDescent="0.3">
      <c r="A81" s="104" t="s">
        <v>184</v>
      </c>
      <c r="G81" s="617">
        <f>ROUND(SUM(G69:G80)/12,4)</f>
        <v>1.1299999999999999E-2</v>
      </c>
    </row>
    <row r="82" spans="1:7" ht="16.5" thickTop="1" x14ac:dyDescent="0.25">
      <c r="D82" s="149"/>
    </row>
    <row r="83" spans="1:7" x14ac:dyDescent="0.25">
      <c r="A83" s="618" t="s">
        <v>475</v>
      </c>
      <c r="D83" s="149"/>
    </row>
    <row r="84" spans="1:7" x14ac:dyDescent="0.25">
      <c r="A84" s="550" t="s">
        <v>730</v>
      </c>
      <c r="B84" s="505"/>
      <c r="C84" s="505"/>
      <c r="D84" s="505"/>
      <c r="E84" s="505"/>
    </row>
    <row r="85" spans="1:7" x14ac:dyDescent="0.25">
      <c r="A85" s="618" t="s">
        <v>609</v>
      </c>
    </row>
  </sheetData>
  <mergeCells count="6">
    <mergeCell ref="A12:F12"/>
    <mergeCell ref="A8:F8"/>
    <mergeCell ref="A11:F11"/>
    <mergeCell ref="A57:G57"/>
    <mergeCell ref="A58:G58"/>
    <mergeCell ref="A54:G54"/>
  </mergeCells>
  <phoneticPr fontId="0" type="noConversion"/>
  <printOptions horizontalCentered="1"/>
  <pageMargins left="1.25" right="0.75" top="1" bottom="1" header="0.5" footer="0.5"/>
  <pageSetup scale="80" fitToHeight="2" orientation="portrait" r:id="rId1"/>
  <headerFooter alignWithMargins="0"/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 enableFormatConditionsCalculation="0"/>
  <dimension ref="A1:O115"/>
  <sheetViews>
    <sheetView showGridLines="0" tabSelected="1" zoomScale="85" zoomScaleNormal="85" zoomScaleSheetLayoutView="70" workbookViewId="0"/>
  </sheetViews>
  <sheetFormatPr defaultColWidth="15.625" defaultRowHeight="15.75" x14ac:dyDescent="0.25"/>
  <cols>
    <col min="1" max="1" width="4.5" style="98" customWidth="1"/>
    <col min="2" max="2" width="53.375" style="25" customWidth="1"/>
    <col min="3" max="3" width="18.5" style="25" customWidth="1"/>
    <col min="4" max="4" width="2.625" style="25" customWidth="1"/>
    <col min="5" max="5" width="10.625" style="25" customWidth="1"/>
    <col min="6" max="6" width="3.625" style="25" customWidth="1"/>
    <col min="7" max="7" width="15.625" style="240" customWidth="1"/>
    <col min="8" max="8" width="1.5" style="240" customWidth="1"/>
    <col min="9" max="9" width="15.625" style="240" customWidth="1"/>
    <col min="10" max="10" width="2.125" style="25" customWidth="1"/>
    <col min="11" max="11" width="15.625" style="25" customWidth="1"/>
    <col min="12" max="16384" width="15.625" style="25"/>
  </cols>
  <sheetData>
    <row r="1" spans="1:15" x14ac:dyDescent="0.25">
      <c r="B1" s="43"/>
      <c r="C1" s="2"/>
      <c r="D1" s="2"/>
      <c r="E1" s="2"/>
      <c r="F1" s="2"/>
      <c r="G1" s="229"/>
      <c r="H1" s="229"/>
      <c r="I1" s="229"/>
      <c r="J1" s="2"/>
      <c r="K1" s="398" t="s">
        <v>763</v>
      </c>
      <c r="L1" s="398"/>
    </row>
    <row r="2" spans="1:15" x14ac:dyDescent="0.25">
      <c r="B2" s="43"/>
      <c r="C2" s="2"/>
      <c r="D2" s="2"/>
      <c r="E2" s="2"/>
      <c r="F2" s="2"/>
      <c r="G2" s="229"/>
      <c r="H2" s="229"/>
      <c r="I2" s="229"/>
      <c r="J2" s="2"/>
      <c r="K2" s="529" t="str">
        <f>"Sponsoring Witness: "&amp;Inputs!B7&amp;""</f>
        <v>Sponsoring Witness: Blake</v>
      </c>
    </row>
    <row r="3" spans="1:15" x14ac:dyDescent="0.25">
      <c r="B3" s="43"/>
      <c r="C3" s="2"/>
      <c r="D3" s="2"/>
      <c r="E3" s="2"/>
      <c r="F3" s="2"/>
      <c r="G3" s="229"/>
      <c r="H3" s="229"/>
      <c r="I3" s="229"/>
      <c r="J3" s="2"/>
      <c r="K3" s="529" t="s">
        <v>4</v>
      </c>
    </row>
    <row r="4" spans="1:15" x14ac:dyDescent="0.25">
      <c r="B4" s="799" t="s">
        <v>230</v>
      </c>
      <c r="C4" s="799"/>
      <c r="D4" s="799"/>
      <c r="E4" s="799"/>
      <c r="F4" s="799"/>
      <c r="G4" s="799"/>
      <c r="H4" s="799"/>
      <c r="I4" s="799"/>
      <c r="J4" s="799"/>
      <c r="K4" s="799"/>
    </row>
    <row r="5" spans="1:15" x14ac:dyDescent="0.25">
      <c r="B5" s="42"/>
      <c r="C5" s="2"/>
      <c r="D5" s="2"/>
      <c r="E5" s="2"/>
      <c r="F5" s="2"/>
      <c r="G5" s="229"/>
      <c r="H5" s="229"/>
      <c r="I5" s="229"/>
      <c r="J5" s="2"/>
    </row>
    <row r="6" spans="1:15" x14ac:dyDescent="0.25">
      <c r="B6" s="15" t="s">
        <v>241</v>
      </c>
      <c r="C6" s="5"/>
      <c r="D6" s="5"/>
      <c r="E6" s="5"/>
      <c r="F6" s="5"/>
      <c r="G6" s="230"/>
      <c r="H6" s="230"/>
      <c r="I6" s="230"/>
      <c r="J6" s="5"/>
      <c r="K6" s="5"/>
    </row>
    <row r="7" spans="1:15" x14ac:dyDescent="0.25">
      <c r="B7" s="338" t="str">
        <f>"For the Twelve Months Ended "&amp;Inputs!B3&amp;""</f>
        <v>For the Twelve Months Ended March 31, 2012</v>
      </c>
      <c r="C7" s="5"/>
      <c r="D7" s="5"/>
      <c r="E7" s="5"/>
      <c r="F7" s="5"/>
      <c r="G7" s="230"/>
      <c r="H7" s="230"/>
      <c r="I7" s="230"/>
      <c r="J7" s="5"/>
      <c r="K7" s="5"/>
    </row>
    <row r="8" spans="1:15" x14ac:dyDescent="0.25">
      <c r="B8" s="42"/>
      <c r="C8" s="2"/>
      <c r="D8" s="2"/>
      <c r="E8" s="2"/>
      <c r="F8" s="2"/>
      <c r="G8" s="231"/>
      <c r="H8" s="231"/>
      <c r="I8" s="231"/>
      <c r="J8" s="78"/>
      <c r="K8" s="78"/>
    </row>
    <row r="9" spans="1:15" x14ac:dyDescent="0.25">
      <c r="B9" s="42"/>
      <c r="C9" s="2"/>
      <c r="D9" s="2"/>
      <c r="E9" s="2"/>
      <c r="F9" s="2"/>
      <c r="G9" s="229"/>
      <c r="H9" s="229"/>
      <c r="I9" s="229"/>
      <c r="J9" s="2"/>
      <c r="K9" s="8" t="s">
        <v>152</v>
      </c>
    </row>
    <row r="10" spans="1:15" x14ac:dyDescent="0.25">
      <c r="B10" s="2"/>
      <c r="C10" s="2"/>
      <c r="D10" s="2"/>
      <c r="E10" s="8" t="s">
        <v>153</v>
      </c>
      <c r="F10" s="2"/>
      <c r="G10" s="232" t="s">
        <v>154</v>
      </c>
      <c r="H10" s="232"/>
      <c r="I10" s="232" t="s">
        <v>154</v>
      </c>
      <c r="J10" s="8"/>
      <c r="K10" s="8" t="s">
        <v>154</v>
      </c>
    </row>
    <row r="11" spans="1:15" x14ac:dyDescent="0.25">
      <c r="B11" s="2"/>
      <c r="C11" s="2"/>
      <c r="D11" s="2"/>
      <c r="E11" s="8" t="s">
        <v>155</v>
      </c>
      <c r="F11" s="2"/>
      <c r="G11" s="232" t="s">
        <v>156</v>
      </c>
      <c r="H11" s="232"/>
      <c r="I11" s="232" t="s">
        <v>157</v>
      </c>
      <c r="J11" s="8"/>
      <c r="K11" s="8" t="s">
        <v>158</v>
      </c>
    </row>
    <row r="12" spans="1:15" x14ac:dyDescent="0.25">
      <c r="B12" s="2"/>
      <c r="C12" s="2"/>
      <c r="D12" s="2"/>
      <c r="E12" s="27" t="s">
        <v>159</v>
      </c>
      <c r="F12" s="2"/>
      <c r="G12" s="233">
        <v>-2</v>
      </c>
      <c r="H12" s="234"/>
      <c r="I12" s="233">
        <v>-3</v>
      </c>
      <c r="J12" s="18"/>
      <c r="K12" s="27">
        <v>-4</v>
      </c>
      <c r="M12" s="345"/>
      <c r="N12" s="346"/>
      <c r="O12" s="346"/>
    </row>
    <row r="13" spans="1:15" ht="24" customHeight="1" x14ac:dyDescent="0.25">
      <c r="A13" s="98">
        <v>1</v>
      </c>
      <c r="B13" s="1" t="s">
        <v>335</v>
      </c>
      <c r="C13" s="2"/>
      <c r="D13" s="2"/>
      <c r="E13" s="2"/>
      <c r="F13" s="2"/>
      <c r="G13" s="297">
        <v>1342076920</v>
      </c>
      <c r="H13" s="264"/>
      <c r="I13" s="297">
        <v>1139327996</v>
      </c>
      <c r="J13" s="73"/>
      <c r="K13" s="40">
        <f>+G13-I13</f>
        <v>202748924</v>
      </c>
      <c r="L13" s="85"/>
      <c r="M13" s="253"/>
      <c r="N13" s="344"/>
      <c r="O13" s="344"/>
    </row>
    <row r="14" spans="1:15" ht="15.75" customHeight="1" x14ac:dyDescent="0.25">
      <c r="B14" s="2"/>
      <c r="C14" s="2"/>
      <c r="D14" s="2"/>
      <c r="E14" s="2"/>
      <c r="F14" s="2"/>
      <c r="G14" s="235"/>
      <c r="H14" s="235"/>
      <c r="I14" s="235"/>
      <c r="J14" s="24"/>
      <c r="K14" s="24"/>
      <c r="M14" s="253"/>
      <c r="N14" s="344"/>
      <c r="O14" s="344"/>
    </row>
    <row r="15" spans="1:15" ht="15.75" customHeight="1" x14ac:dyDescent="0.25">
      <c r="A15" s="98">
        <f>1+A13</f>
        <v>2</v>
      </c>
      <c r="B15" s="530" t="s">
        <v>244</v>
      </c>
      <c r="C15" s="2"/>
      <c r="D15" s="2"/>
      <c r="E15" s="2"/>
      <c r="F15" s="2"/>
      <c r="G15" s="235"/>
      <c r="H15" s="235"/>
      <c r="I15" s="235"/>
      <c r="J15" s="24"/>
      <c r="K15" s="24"/>
      <c r="M15" s="253"/>
      <c r="N15" s="344"/>
      <c r="O15" s="344"/>
    </row>
    <row r="16" spans="1:15" ht="15.75" customHeight="1" x14ac:dyDescent="0.25">
      <c r="B16" s="2"/>
      <c r="C16" s="2"/>
      <c r="D16" s="2"/>
      <c r="E16" s="2"/>
      <c r="F16" s="2"/>
      <c r="G16" s="235"/>
      <c r="H16" s="235"/>
      <c r="I16" s="235"/>
      <c r="J16" s="24"/>
      <c r="K16" s="24"/>
      <c r="M16" s="257"/>
      <c r="N16" s="254"/>
      <c r="O16" s="254"/>
    </row>
    <row r="17" spans="1:15" ht="15.75" customHeight="1" x14ac:dyDescent="0.25">
      <c r="A17" s="98">
        <f>A15+1</f>
        <v>3</v>
      </c>
      <c r="B17" s="1" t="s">
        <v>262</v>
      </c>
      <c r="C17" s="2"/>
      <c r="D17" s="2"/>
      <c r="E17" s="99">
        <v>1</v>
      </c>
      <c r="F17" s="36"/>
      <c r="G17" s="236">
        <f>+'1.00'!F21</f>
        <v>5107000</v>
      </c>
      <c r="H17" s="236"/>
      <c r="I17" s="31">
        <v>0</v>
      </c>
      <c r="J17" s="81"/>
      <c r="K17" s="52">
        <f>+G17-I17</f>
        <v>5107000</v>
      </c>
    </row>
    <row r="18" spans="1:15" ht="15.75" customHeight="1" x14ac:dyDescent="0.25">
      <c r="B18" s="2"/>
      <c r="C18" s="2"/>
      <c r="D18" s="2"/>
      <c r="E18" s="2"/>
      <c r="F18" s="2"/>
      <c r="G18" s="235"/>
      <c r="H18" s="235"/>
      <c r="I18" s="31"/>
      <c r="J18" s="24"/>
      <c r="K18" s="24"/>
    </row>
    <row r="19" spans="1:15" s="531" customFormat="1" ht="15.75" customHeight="1" x14ac:dyDescent="0.25">
      <c r="A19" s="532">
        <f>A17+1</f>
        <v>4</v>
      </c>
      <c r="B19" s="530" t="s">
        <v>415</v>
      </c>
      <c r="C19" s="526"/>
      <c r="D19" s="526"/>
      <c r="E19" s="99">
        <f>0.01+E17</f>
        <v>1.01</v>
      </c>
      <c r="F19" s="52"/>
      <c r="G19" s="236">
        <f>'1.01'!D35</f>
        <v>-9156061</v>
      </c>
      <c r="H19" s="236"/>
      <c r="I19" s="31">
        <f>'1.01'!F35</f>
        <v>-12785149</v>
      </c>
      <c r="J19" s="81"/>
      <c r="K19" s="52">
        <f>+G19-I19</f>
        <v>3629088</v>
      </c>
      <c r="M19" s="545"/>
      <c r="N19" s="546"/>
    </row>
    <row r="20" spans="1:15" ht="15.75" customHeight="1" x14ac:dyDescent="0.25">
      <c r="B20" s="1"/>
      <c r="C20" s="2"/>
      <c r="D20" s="2"/>
      <c r="E20" s="99"/>
      <c r="F20" s="52"/>
      <c r="G20" s="236"/>
      <c r="H20" s="236"/>
      <c r="I20" s="31"/>
      <c r="J20" s="81"/>
      <c r="K20" s="52"/>
      <c r="M20" s="258"/>
      <c r="N20" s="256"/>
    </row>
    <row r="21" spans="1:15" ht="15.75" customHeight="1" x14ac:dyDescent="0.25">
      <c r="A21" s="98">
        <f>1+A19</f>
        <v>5</v>
      </c>
      <c r="B21" s="530" t="s">
        <v>452</v>
      </c>
      <c r="C21" s="2"/>
      <c r="D21" s="2"/>
      <c r="E21" s="99">
        <f>0.01+E19</f>
        <v>1.02</v>
      </c>
      <c r="F21" s="2"/>
      <c r="G21" s="235">
        <f>'1.02'!B23</f>
        <v>2885839</v>
      </c>
      <c r="H21" s="235"/>
      <c r="I21" s="31">
        <v>0</v>
      </c>
      <c r="J21" s="24"/>
      <c r="K21" s="52">
        <f>+G21-I21</f>
        <v>2885839</v>
      </c>
      <c r="M21" s="253"/>
      <c r="N21" s="254"/>
    </row>
    <row r="22" spans="1:15" ht="15.75" customHeight="1" x14ac:dyDescent="0.25">
      <c r="B22" s="2"/>
      <c r="C22" s="2"/>
      <c r="D22" s="2"/>
      <c r="E22" s="2"/>
      <c r="F22" s="2"/>
      <c r="G22" s="235"/>
      <c r="H22" s="235"/>
      <c r="I22" s="235"/>
      <c r="J22" s="24"/>
      <c r="K22" s="24"/>
      <c r="M22" s="253"/>
      <c r="N22" s="254"/>
    </row>
    <row r="23" spans="1:15" s="531" customFormat="1" ht="15.75" customHeight="1" x14ac:dyDescent="0.25">
      <c r="A23" s="532">
        <f>1+A21</f>
        <v>6</v>
      </c>
      <c r="B23" s="530" t="s">
        <v>645</v>
      </c>
      <c r="C23" s="526"/>
      <c r="D23" s="526"/>
      <c r="E23" s="99">
        <f>0.01+E21</f>
        <v>1.03</v>
      </c>
      <c r="F23" s="526"/>
      <c r="G23" s="31">
        <f>'1.03'!C18</f>
        <v>-2638801</v>
      </c>
      <c r="H23" s="235"/>
      <c r="I23" s="31">
        <f>'1.03'!C20</f>
        <v>-2614696</v>
      </c>
      <c r="J23" s="24"/>
      <c r="K23" s="52">
        <f>+G23-I23</f>
        <v>-24105</v>
      </c>
      <c r="M23" s="253"/>
      <c r="N23" s="254"/>
    </row>
    <row r="24" spans="1:15" s="531" customFormat="1" ht="15.75" customHeight="1" x14ac:dyDescent="0.25">
      <c r="A24" s="532"/>
      <c r="B24" s="526"/>
      <c r="C24" s="526"/>
      <c r="D24" s="526"/>
      <c r="E24" s="526"/>
      <c r="F24" s="526"/>
      <c r="G24" s="235"/>
      <c r="H24" s="235"/>
      <c r="I24" s="235"/>
      <c r="J24" s="24"/>
      <c r="K24" s="24"/>
      <c r="M24" s="253"/>
      <c r="N24" s="254"/>
    </row>
    <row r="25" spans="1:15" ht="15.75" customHeight="1" x14ac:dyDescent="0.25">
      <c r="A25" s="98">
        <f>1+A23</f>
        <v>7</v>
      </c>
      <c r="B25" s="14" t="s">
        <v>74</v>
      </c>
      <c r="C25" s="2"/>
      <c r="D25" s="2"/>
      <c r="E25" s="99">
        <f>0.01+E23</f>
        <v>1.04</v>
      </c>
      <c r="F25" s="52"/>
      <c r="G25" s="236">
        <f>'1.04'!I37</f>
        <v>-14710734</v>
      </c>
      <c r="H25" s="236"/>
      <c r="I25" s="236">
        <f>'1.04'!O37</f>
        <v>-9309387</v>
      </c>
      <c r="J25" s="81"/>
      <c r="K25" s="52">
        <f>+G25-I25</f>
        <v>-5401347</v>
      </c>
      <c r="M25" s="253"/>
      <c r="N25" s="254"/>
    </row>
    <row r="26" spans="1:15" ht="15.75" customHeight="1" x14ac:dyDescent="0.25">
      <c r="B26" s="2"/>
      <c r="C26" s="2"/>
      <c r="D26" s="2"/>
      <c r="E26" s="2"/>
      <c r="F26" s="2"/>
      <c r="G26" s="235"/>
      <c r="H26" s="235"/>
      <c r="I26" s="235"/>
      <c r="J26" s="24"/>
      <c r="K26" s="24"/>
      <c r="M26" s="257"/>
      <c r="N26" s="254"/>
      <c r="O26" s="254"/>
    </row>
    <row r="27" spans="1:15" ht="15.75" customHeight="1" x14ac:dyDescent="0.25">
      <c r="A27" s="98">
        <f>1+A25</f>
        <v>8</v>
      </c>
      <c r="B27" s="1" t="s">
        <v>11</v>
      </c>
      <c r="C27" s="2"/>
      <c r="D27" s="2"/>
      <c r="E27" s="99">
        <f>0.01+E25</f>
        <v>1.05</v>
      </c>
      <c r="F27" s="52"/>
      <c r="G27" s="236">
        <f>'1.05'!F44</f>
        <v>-296088</v>
      </c>
      <c r="H27" s="236"/>
      <c r="I27" s="31">
        <v>0</v>
      </c>
      <c r="J27" s="81"/>
      <c r="K27" s="52">
        <f>+G27-I27</f>
        <v>-296088</v>
      </c>
    </row>
    <row r="28" spans="1:15" ht="15.75" customHeight="1" x14ac:dyDescent="0.25">
      <c r="B28" s="1"/>
      <c r="C28" s="2"/>
      <c r="D28" s="2"/>
      <c r="E28" s="99"/>
      <c r="F28" s="52"/>
      <c r="G28" s="236"/>
      <c r="H28" s="236"/>
      <c r="I28" s="31"/>
      <c r="J28" s="81"/>
      <c r="K28" s="36"/>
      <c r="M28" s="253"/>
      <c r="N28" s="254"/>
    </row>
    <row r="29" spans="1:15" s="531" customFormat="1" x14ac:dyDescent="0.25">
      <c r="A29" s="532">
        <f>1+A27</f>
        <v>9</v>
      </c>
      <c r="B29" s="33" t="s">
        <v>704</v>
      </c>
      <c r="C29" s="526"/>
      <c r="D29" s="526"/>
      <c r="E29" s="99">
        <f>0.01+E27</f>
        <v>1.06</v>
      </c>
      <c r="F29" s="52"/>
      <c r="G29" s="237">
        <f>+'1.06'!E16</f>
        <v>-15401724</v>
      </c>
      <c r="H29" s="238"/>
      <c r="I29" s="31">
        <f>+'1.06'!E18</f>
        <v>-13589518</v>
      </c>
      <c r="J29" s="84"/>
      <c r="K29" s="31">
        <f>+G29-I29</f>
        <v>-1812206</v>
      </c>
      <c r="M29" s="430"/>
      <c r="N29" s="547"/>
    </row>
    <row r="30" spans="1:15" ht="15.75" customHeight="1" x14ac:dyDescent="0.25">
      <c r="B30" s="2"/>
      <c r="C30" s="2"/>
      <c r="D30" s="2"/>
      <c r="E30" s="2"/>
      <c r="F30" s="2"/>
      <c r="G30" s="235"/>
      <c r="H30" s="235"/>
      <c r="I30" s="31"/>
      <c r="J30" s="24"/>
      <c r="K30" s="24"/>
    </row>
    <row r="31" spans="1:15" ht="15.75" customHeight="1" x14ac:dyDescent="0.25">
      <c r="A31" s="532">
        <f>1+A29</f>
        <v>10</v>
      </c>
      <c r="B31" s="533" t="s">
        <v>706</v>
      </c>
      <c r="C31" s="2"/>
      <c r="D31" s="2"/>
      <c r="E31" s="99">
        <f>0.01+E29</f>
        <v>1.07</v>
      </c>
      <c r="F31" s="52"/>
      <c r="G31" s="236">
        <f>+'1.07'!G26</f>
        <v>-8438658</v>
      </c>
      <c r="H31" s="236"/>
      <c r="I31" s="31">
        <v>0</v>
      </c>
      <c r="J31" s="81"/>
      <c r="K31" s="52">
        <f>+G31-I31</f>
        <v>-8438658</v>
      </c>
      <c r="M31" s="253"/>
      <c r="N31" s="254"/>
    </row>
    <row r="32" spans="1:15" s="531" customFormat="1" ht="15.75" customHeight="1" x14ac:dyDescent="0.25">
      <c r="A32" s="532"/>
      <c r="B32" s="526"/>
      <c r="C32" s="526"/>
      <c r="D32" s="526"/>
      <c r="E32" s="526"/>
      <c r="F32" s="526"/>
      <c r="G32" s="235"/>
      <c r="H32" s="235"/>
      <c r="I32" s="31"/>
      <c r="J32" s="24"/>
      <c r="K32" s="24"/>
    </row>
    <row r="33" spans="1:14" ht="15.75" customHeight="1" x14ac:dyDescent="0.25">
      <c r="A33" s="532">
        <f>1+A31</f>
        <v>11</v>
      </c>
      <c r="B33" s="14" t="s">
        <v>408</v>
      </c>
      <c r="C33" s="2"/>
      <c r="D33" s="2"/>
      <c r="E33" s="99">
        <f>0.01+E31</f>
        <v>1.08</v>
      </c>
      <c r="F33" s="52"/>
      <c r="G33" s="236">
        <f>+'1.08'!B29</f>
        <v>294881</v>
      </c>
      <c r="H33" s="236"/>
      <c r="I33" s="31">
        <f>+'1.08'!B38</f>
        <v>-6018</v>
      </c>
      <c r="J33" s="81"/>
      <c r="K33" s="52">
        <f>+G33-I33</f>
        <v>300899</v>
      </c>
    </row>
    <row r="34" spans="1:14" ht="15.75" customHeight="1" x14ac:dyDescent="0.25">
      <c r="B34" s="2"/>
      <c r="C34" s="2"/>
      <c r="D34" s="2"/>
      <c r="E34" s="2"/>
      <c r="F34" s="2"/>
      <c r="G34" s="235"/>
      <c r="H34" s="235"/>
      <c r="I34" s="31"/>
      <c r="J34" s="24"/>
      <c r="K34" s="24"/>
    </row>
    <row r="35" spans="1:14" s="531" customFormat="1" ht="15.75" customHeight="1" x14ac:dyDescent="0.25">
      <c r="A35" s="532">
        <f>1+A33</f>
        <v>12</v>
      </c>
      <c r="B35" s="793" t="s">
        <v>748</v>
      </c>
      <c r="C35" s="526"/>
      <c r="D35" s="526"/>
      <c r="E35" s="99">
        <f>0.01+E33</f>
        <v>1.0900000000000001</v>
      </c>
      <c r="F35" s="52"/>
      <c r="G35" s="31">
        <f>'1.09 Updated'!B28</f>
        <v>-188159</v>
      </c>
      <c r="H35" s="236"/>
      <c r="I35" s="31">
        <v>0</v>
      </c>
      <c r="J35" s="81"/>
      <c r="K35" s="52">
        <f>+G35-I35</f>
        <v>-188159</v>
      </c>
    </row>
    <row r="36" spans="1:14" x14ac:dyDescent="0.25">
      <c r="B36" s="1"/>
      <c r="C36" s="2"/>
      <c r="D36" s="2"/>
      <c r="E36" s="99"/>
      <c r="F36" s="52"/>
      <c r="G36" s="238"/>
      <c r="H36" s="238"/>
      <c r="I36" s="31"/>
      <c r="J36" s="84"/>
      <c r="K36" s="52"/>
      <c r="M36" s="253"/>
      <c r="N36" s="255"/>
    </row>
    <row r="37" spans="1:14" x14ac:dyDescent="0.25">
      <c r="A37" s="532">
        <f>1+A35</f>
        <v>13</v>
      </c>
      <c r="B37" s="530" t="s">
        <v>453</v>
      </c>
      <c r="C37" s="2"/>
      <c r="D37" s="2"/>
      <c r="E37" s="99">
        <f>0.01+E35</f>
        <v>1.1000000000000001</v>
      </c>
      <c r="F37" s="52"/>
      <c r="G37" s="31">
        <f>'1.10'!B16</f>
        <v>-3407542</v>
      </c>
      <c r="H37" s="238"/>
      <c r="I37" s="31">
        <f>'1.10'!B18</f>
        <v>-1909033</v>
      </c>
      <c r="J37" s="52"/>
      <c r="K37" s="31">
        <f>+G37-I37</f>
        <v>-1498509</v>
      </c>
    </row>
    <row r="38" spans="1:14" s="531" customFormat="1" x14ac:dyDescent="0.25">
      <c r="A38" s="532"/>
      <c r="B38" s="1"/>
      <c r="C38" s="526"/>
      <c r="D38" s="526"/>
      <c r="E38" s="99"/>
      <c r="F38" s="52"/>
      <c r="G38" s="31"/>
      <c r="H38" s="238"/>
      <c r="I38" s="31"/>
      <c r="J38" s="52"/>
      <c r="K38" s="31"/>
    </row>
    <row r="39" spans="1:14" s="531" customFormat="1" x14ac:dyDescent="0.25">
      <c r="A39" s="532">
        <f>1+A37</f>
        <v>14</v>
      </c>
      <c r="B39" s="530" t="s">
        <v>675</v>
      </c>
      <c r="C39" s="526"/>
      <c r="D39" s="526"/>
      <c r="E39" s="99">
        <f>0.01+E37</f>
        <v>1.1100000000000001</v>
      </c>
      <c r="F39" s="52"/>
      <c r="G39" s="31">
        <f>'1.11'!F34</f>
        <v>-8348788</v>
      </c>
      <c r="H39" s="238"/>
      <c r="I39" s="31">
        <v>0</v>
      </c>
      <c r="J39" s="52"/>
      <c r="K39" s="31">
        <f>+G39-I39</f>
        <v>-8348788</v>
      </c>
    </row>
    <row r="40" spans="1:14" s="531" customFormat="1" x14ac:dyDescent="0.25">
      <c r="A40" s="532"/>
      <c r="B40" s="1"/>
      <c r="C40" s="526"/>
      <c r="D40" s="526"/>
      <c r="E40" s="99"/>
      <c r="F40" s="52"/>
      <c r="G40" s="31"/>
      <c r="H40" s="238"/>
      <c r="I40" s="31"/>
      <c r="J40" s="52"/>
      <c r="K40" s="31"/>
    </row>
    <row r="41" spans="1:14" x14ac:dyDescent="0.25">
      <c r="A41" s="98">
        <f>A39+1</f>
        <v>15</v>
      </c>
      <c r="B41" s="793" t="s">
        <v>778</v>
      </c>
      <c r="C41" s="2"/>
      <c r="D41" s="2"/>
      <c r="E41" s="99">
        <f>0.01+E39</f>
        <v>1.1200000000000001</v>
      </c>
      <c r="F41" s="52"/>
      <c r="G41" s="31">
        <v>0</v>
      </c>
      <c r="H41" s="31"/>
      <c r="I41" s="31">
        <f>'1.12 Revised'!B32</f>
        <v>712919</v>
      </c>
      <c r="J41" s="84"/>
      <c r="K41" s="31">
        <f>+G41-I41</f>
        <v>-712919</v>
      </c>
    </row>
    <row r="42" spans="1:14" x14ac:dyDescent="0.25">
      <c r="B42" s="531"/>
    </row>
    <row r="43" spans="1:14" s="531" customFormat="1" x14ac:dyDescent="0.25">
      <c r="A43" s="532">
        <f>1+A41</f>
        <v>16</v>
      </c>
      <c r="B43" s="794" t="s">
        <v>749</v>
      </c>
      <c r="C43" s="526"/>
      <c r="D43" s="526"/>
      <c r="E43" s="99">
        <f>0.01+E41</f>
        <v>1.1300000000000001</v>
      </c>
      <c r="F43" s="52"/>
      <c r="G43" s="31">
        <v>0</v>
      </c>
      <c r="H43" s="31"/>
      <c r="I43" s="31">
        <f>'113 Revised'!H26</f>
        <v>2526656</v>
      </c>
      <c r="J43" s="31"/>
      <c r="K43" s="31">
        <f>+G43-I43</f>
        <v>-2526656</v>
      </c>
    </row>
    <row r="44" spans="1:14" s="531" customFormat="1" x14ac:dyDescent="0.25">
      <c r="A44" s="532"/>
      <c r="G44" s="240"/>
      <c r="H44" s="240"/>
      <c r="I44" s="240"/>
    </row>
    <row r="45" spans="1:14" x14ac:dyDescent="0.25">
      <c r="K45" s="7" t="str">
        <f>K$1</f>
        <v>Revised Exhibit 1</v>
      </c>
    </row>
    <row r="46" spans="1:14" x14ac:dyDescent="0.25">
      <c r="K46" s="7" t="str">
        <f>K$2</f>
        <v>Sponsoring Witness: Blake</v>
      </c>
    </row>
    <row r="47" spans="1:14" x14ac:dyDescent="0.25">
      <c r="B47" s="44"/>
      <c r="C47" s="5"/>
      <c r="D47" s="5"/>
      <c r="E47" s="5"/>
      <c r="F47" s="5"/>
      <c r="G47" s="230"/>
      <c r="H47" s="230"/>
      <c r="I47" s="241"/>
      <c r="J47" s="6"/>
      <c r="K47" s="529" t="s">
        <v>3</v>
      </c>
    </row>
    <row r="48" spans="1:14" x14ac:dyDescent="0.25">
      <c r="B48" s="799" t="s">
        <v>230</v>
      </c>
      <c r="C48" s="799"/>
      <c r="D48" s="799"/>
      <c r="E48" s="799"/>
      <c r="F48" s="799"/>
      <c r="G48" s="799"/>
      <c r="H48" s="799"/>
      <c r="I48" s="799"/>
      <c r="J48" s="799"/>
      <c r="K48" s="799"/>
    </row>
    <row r="49" spans="1:11" x14ac:dyDescent="0.25">
      <c r="B49" s="42"/>
      <c r="C49" s="2"/>
      <c r="D49" s="2"/>
      <c r="E49" s="2"/>
      <c r="F49" s="2"/>
      <c r="G49" s="229"/>
      <c r="H49" s="229"/>
      <c r="I49" s="229"/>
      <c r="J49" s="2"/>
    </row>
    <row r="50" spans="1:11" x14ac:dyDescent="0.25">
      <c r="B50" s="15" t="s">
        <v>241</v>
      </c>
      <c r="C50" s="5"/>
      <c r="D50" s="5"/>
      <c r="E50" s="5"/>
      <c r="F50" s="5"/>
      <c r="G50" s="230"/>
      <c r="H50" s="230"/>
      <c r="I50" s="230"/>
      <c r="J50" s="5"/>
      <c r="K50" s="5"/>
    </row>
    <row r="51" spans="1:11" x14ac:dyDescent="0.25">
      <c r="B51" s="4" t="str">
        <f>+B$7</f>
        <v>For the Twelve Months Ended March 31, 2012</v>
      </c>
      <c r="C51" s="5"/>
      <c r="D51" s="5"/>
      <c r="E51" s="5"/>
      <c r="F51" s="5"/>
      <c r="G51" s="230"/>
      <c r="H51" s="230"/>
      <c r="I51" s="230"/>
      <c r="J51" s="5"/>
      <c r="K51" s="5"/>
    </row>
    <row r="52" spans="1:11" x14ac:dyDescent="0.25">
      <c r="B52" s="2"/>
      <c r="C52" s="2"/>
      <c r="D52" s="2"/>
      <c r="E52" s="2"/>
      <c r="F52" s="2"/>
      <c r="G52" s="242"/>
      <c r="H52" s="242"/>
      <c r="I52" s="229"/>
      <c r="J52" s="2"/>
      <c r="K52" s="2"/>
    </row>
    <row r="53" spans="1:11" x14ac:dyDescent="0.25">
      <c r="B53" s="2"/>
      <c r="C53" s="2"/>
      <c r="D53" s="2"/>
      <c r="E53" s="2"/>
      <c r="F53" s="2"/>
      <c r="G53" s="229"/>
      <c r="H53" s="229"/>
      <c r="I53" s="229"/>
      <c r="J53" s="2"/>
      <c r="K53" s="8" t="s">
        <v>152</v>
      </c>
    </row>
    <row r="54" spans="1:11" x14ac:dyDescent="0.25">
      <c r="B54" s="2"/>
      <c r="C54" s="2"/>
      <c r="D54" s="2"/>
      <c r="E54" s="8" t="s">
        <v>153</v>
      </c>
      <c r="F54" s="2"/>
      <c r="G54" s="232" t="s">
        <v>154</v>
      </c>
      <c r="H54" s="232"/>
      <c r="I54" s="232" t="s">
        <v>154</v>
      </c>
      <c r="J54" s="8"/>
      <c r="K54" s="8" t="s">
        <v>154</v>
      </c>
    </row>
    <row r="55" spans="1:11" x14ac:dyDescent="0.25">
      <c r="B55" s="2"/>
      <c r="C55" s="2"/>
      <c r="D55" s="2"/>
      <c r="E55" s="8" t="s">
        <v>155</v>
      </c>
      <c r="F55" s="2"/>
      <c r="G55" s="232" t="s">
        <v>156</v>
      </c>
      <c r="H55" s="232"/>
      <c r="I55" s="232" t="s">
        <v>157</v>
      </c>
      <c r="J55" s="8"/>
      <c r="K55" s="8" t="s">
        <v>158</v>
      </c>
    </row>
    <row r="56" spans="1:11" x14ac:dyDescent="0.25">
      <c r="B56" s="2"/>
      <c r="C56" s="2"/>
      <c r="D56" s="2"/>
      <c r="E56" s="27" t="s">
        <v>159</v>
      </c>
      <c r="F56" s="2"/>
      <c r="G56" s="233">
        <v>-2</v>
      </c>
      <c r="H56" s="234"/>
      <c r="I56" s="233">
        <v>-3</v>
      </c>
      <c r="J56" s="18"/>
      <c r="K56" s="27">
        <v>-4</v>
      </c>
    </row>
    <row r="57" spans="1:11" x14ac:dyDescent="0.25">
      <c r="B57" s="14"/>
      <c r="C57" s="2"/>
      <c r="D57" s="2"/>
      <c r="E57" s="99"/>
      <c r="F57" s="52"/>
      <c r="G57" s="31"/>
      <c r="H57" s="31"/>
      <c r="I57" s="31"/>
      <c r="J57" s="31"/>
      <c r="K57" s="31"/>
    </row>
    <row r="58" spans="1:11" s="531" customFormat="1" x14ac:dyDescent="0.25">
      <c r="A58" s="532">
        <f>A43+1</f>
        <v>17</v>
      </c>
      <c r="B58" s="533" t="s">
        <v>454</v>
      </c>
      <c r="C58" s="526"/>
      <c r="D58" s="526"/>
      <c r="E58" s="99">
        <f>E43+0.01</f>
        <v>1.1400000000000001</v>
      </c>
      <c r="F58" s="52"/>
      <c r="G58" s="31">
        <v>0</v>
      </c>
      <c r="H58" s="31"/>
      <c r="I58" s="31">
        <f>'1.14'!I24</f>
        <v>-4067870</v>
      </c>
      <c r="J58" s="31"/>
      <c r="K58" s="31">
        <f>+G58-I58</f>
        <v>4067870</v>
      </c>
    </row>
    <row r="59" spans="1:11" s="531" customFormat="1" x14ac:dyDescent="0.25">
      <c r="A59" s="532"/>
      <c r="B59" s="530"/>
      <c r="C59" s="526"/>
      <c r="D59" s="526"/>
      <c r="E59" s="99"/>
      <c r="F59" s="52"/>
      <c r="G59" s="31"/>
      <c r="H59" s="31"/>
      <c r="I59" s="31"/>
      <c r="J59" s="31"/>
      <c r="K59" s="31"/>
    </row>
    <row r="60" spans="1:11" s="531" customFormat="1" x14ac:dyDescent="0.25">
      <c r="A60" s="532">
        <f>A58+1</f>
        <v>18</v>
      </c>
      <c r="B60" s="793" t="s">
        <v>755</v>
      </c>
      <c r="C60" s="526"/>
      <c r="D60" s="526"/>
      <c r="E60" s="99">
        <f>E58+0.01</f>
        <v>1.1500000000000001</v>
      </c>
      <c r="F60" s="52"/>
      <c r="G60" s="31">
        <v>0</v>
      </c>
      <c r="H60" s="238"/>
      <c r="I60" s="31">
        <f>'1.15 Revised'!F26</f>
        <v>-492476</v>
      </c>
      <c r="J60" s="84"/>
      <c r="K60" s="52">
        <f>+G60-I60</f>
        <v>492476</v>
      </c>
    </row>
    <row r="61" spans="1:11" x14ac:dyDescent="0.25">
      <c r="B61" s="531"/>
      <c r="G61" s="31"/>
      <c r="I61" s="31"/>
    </row>
    <row r="62" spans="1:11" x14ac:dyDescent="0.25">
      <c r="A62" s="98">
        <f>A60+1</f>
        <v>19</v>
      </c>
      <c r="B62" s="1" t="s">
        <v>10</v>
      </c>
      <c r="C62" s="2"/>
      <c r="D62" s="2"/>
      <c r="E62" s="99">
        <f>0.01+E60</f>
        <v>1.1600000000000001</v>
      </c>
      <c r="F62" s="52"/>
      <c r="G62" s="31">
        <v>0</v>
      </c>
      <c r="H62" s="238"/>
      <c r="I62" s="31">
        <f>+'1.16'!H25</f>
        <v>-1233028</v>
      </c>
      <c r="J62" s="84"/>
      <c r="K62" s="52">
        <f>+G62-I62</f>
        <v>1233028</v>
      </c>
    </row>
    <row r="63" spans="1:11" x14ac:dyDescent="0.25">
      <c r="B63" s="531"/>
      <c r="G63" s="31"/>
      <c r="I63" s="31"/>
    </row>
    <row r="64" spans="1:11" x14ac:dyDescent="0.25">
      <c r="A64" s="98">
        <f>A62+1</f>
        <v>20</v>
      </c>
      <c r="B64" s="79" t="s">
        <v>751</v>
      </c>
      <c r="C64" s="2"/>
      <c r="D64" s="2"/>
      <c r="E64" s="99"/>
      <c r="F64" s="52"/>
      <c r="G64" s="238"/>
      <c r="H64" s="238"/>
      <c r="I64" s="31"/>
      <c r="J64" s="84"/>
      <c r="K64" s="52"/>
    </row>
    <row r="65" spans="1:11" x14ac:dyDescent="0.25">
      <c r="B65" s="79" t="s">
        <v>289</v>
      </c>
      <c r="C65" s="2"/>
      <c r="D65" s="2"/>
      <c r="E65" s="99">
        <f>0.01+E62</f>
        <v>1.1700000000000002</v>
      </c>
      <c r="F65" s="52"/>
      <c r="G65" s="31">
        <v>0</v>
      </c>
      <c r="H65" s="238"/>
      <c r="I65" s="31">
        <f>+'1.17 Revised'!B31</f>
        <v>-667503</v>
      </c>
      <c r="J65" s="84"/>
      <c r="K65" s="52">
        <f>+G65-I65</f>
        <v>667503</v>
      </c>
    </row>
    <row r="66" spans="1:11" s="531" customFormat="1" x14ac:dyDescent="0.25">
      <c r="A66" s="532"/>
      <c r="G66" s="31"/>
      <c r="H66" s="240"/>
      <c r="I66" s="31"/>
    </row>
    <row r="67" spans="1:11" s="531" customFormat="1" x14ac:dyDescent="0.25">
      <c r="A67" s="532">
        <f>A64+1</f>
        <v>21</v>
      </c>
      <c r="B67" s="79" t="s">
        <v>779</v>
      </c>
      <c r="C67" s="526"/>
      <c r="D67" s="526"/>
      <c r="E67" s="99">
        <f>0.01+E65</f>
        <v>1.1800000000000002</v>
      </c>
      <c r="F67" s="52"/>
      <c r="G67" s="31">
        <f>'1.18 Revised'!B28</f>
        <v>23287</v>
      </c>
      <c r="H67" s="238"/>
      <c r="I67" s="31">
        <f>'1.18 Revised'!D28</f>
        <v>-668762</v>
      </c>
      <c r="J67" s="84"/>
      <c r="K67" s="52">
        <f>+G67-I67</f>
        <v>692049</v>
      </c>
    </row>
    <row r="68" spans="1:11" s="531" customFormat="1" x14ac:dyDescent="0.25">
      <c r="A68" s="532"/>
      <c r="G68" s="31"/>
      <c r="H68" s="240"/>
      <c r="I68" s="31"/>
    </row>
    <row r="69" spans="1:11" s="531" customFormat="1" x14ac:dyDescent="0.25">
      <c r="A69" s="532">
        <f>A67+1</f>
        <v>22</v>
      </c>
      <c r="B69" s="530" t="s">
        <v>550</v>
      </c>
      <c r="C69" s="526"/>
      <c r="D69" s="526"/>
      <c r="E69" s="99">
        <f>0.01+E67</f>
        <v>1.1900000000000002</v>
      </c>
      <c r="F69" s="52"/>
      <c r="G69" s="31">
        <v>0</v>
      </c>
      <c r="H69" s="238"/>
      <c r="I69" s="31">
        <f>'1.19'!G26</f>
        <v>1079050</v>
      </c>
      <c r="J69" s="84"/>
      <c r="K69" s="52">
        <f>+G69-I69</f>
        <v>-1079050</v>
      </c>
    </row>
    <row r="70" spans="1:11" s="531" customFormat="1" x14ac:dyDescent="0.25">
      <c r="A70" s="532"/>
      <c r="G70" s="31"/>
      <c r="H70" s="240"/>
      <c r="I70" s="31"/>
    </row>
    <row r="71" spans="1:11" s="531" customFormat="1" x14ac:dyDescent="0.25">
      <c r="A71" s="532">
        <f>A69+1</f>
        <v>23</v>
      </c>
      <c r="B71" s="530" t="s">
        <v>554</v>
      </c>
      <c r="C71" s="526"/>
      <c r="D71" s="526"/>
      <c r="E71" s="99">
        <f>0.01+E69</f>
        <v>1.2000000000000002</v>
      </c>
      <c r="F71" s="52"/>
      <c r="G71" s="31">
        <v>0</v>
      </c>
      <c r="H71" s="238"/>
      <c r="I71" s="31">
        <f>'1.20'!D26</f>
        <v>-3328434</v>
      </c>
      <c r="J71" s="84"/>
      <c r="K71" s="52">
        <f>+G71-I71</f>
        <v>3328434</v>
      </c>
    </row>
    <row r="72" spans="1:11" s="531" customFormat="1" x14ac:dyDescent="0.25">
      <c r="A72" s="532"/>
      <c r="G72" s="31"/>
      <c r="H72" s="240"/>
      <c r="I72" s="31"/>
    </row>
    <row r="73" spans="1:11" s="531" customFormat="1" x14ac:dyDescent="0.25">
      <c r="A73" s="532">
        <f>A71+1</f>
        <v>24</v>
      </c>
      <c r="B73" s="530" t="s">
        <v>539</v>
      </c>
      <c r="C73" s="526"/>
      <c r="D73" s="526"/>
      <c r="E73" s="99">
        <f>0.01+E71</f>
        <v>1.2100000000000002</v>
      </c>
      <c r="F73" s="52"/>
      <c r="G73" s="31">
        <v>0</v>
      </c>
      <c r="H73" s="238"/>
      <c r="I73" s="31">
        <f>'1.21'!F38</f>
        <v>-1509951</v>
      </c>
      <c r="J73" s="84"/>
      <c r="K73" s="52">
        <f>+G73-I73</f>
        <v>1509951</v>
      </c>
    </row>
    <row r="74" spans="1:11" s="531" customFormat="1" x14ac:dyDescent="0.25">
      <c r="A74" s="532"/>
      <c r="G74" s="31"/>
      <c r="H74" s="240"/>
      <c r="I74" s="31"/>
    </row>
    <row r="75" spans="1:11" s="531" customFormat="1" x14ac:dyDescent="0.25">
      <c r="A75" s="532">
        <f>A73+1</f>
        <v>25</v>
      </c>
      <c r="B75" s="530" t="s">
        <v>543</v>
      </c>
      <c r="C75" s="526"/>
      <c r="D75" s="526"/>
      <c r="E75" s="99">
        <f>0.01+E73</f>
        <v>1.2200000000000002</v>
      </c>
      <c r="F75" s="52"/>
      <c r="G75" s="31">
        <v>0</v>
      </c>
      <c r="H75" s="238"/>
      <c r="I75" s="31">
        <f>'1.22'!C26</f>
        <v>47507</v>
      </c>
      <c r="J75" s="84"/>
      <c r="K75" s="52">
        <f>+G75-I75</f>
        <v>-47507</v>
      </c>
    </row>
    <row r="76" spans="1:11" s="531" customFormat="1" x14ac:dyDescent="0.25">
      <c r="A76" s="532"/>
      <c r="G76" s="31"/>
      <c r="H76" s="240"/>
      <c r="I76" s="31"/>
    </row>
    <row r="77" spans="1:11" s="531" customFormat="1" x14ac:dyDescent="0.25">
      <c r="A77" s="532">
        <f>A75+1</f>
        <v>26</v>
      </c>
      <c r="B77" s="793" t="s">
        <v>783</v>
      </c>
      <c r="C77" s="526"/>
      <c r="D77" s="526"/>
      <c r="E77" s="99">
        <f>0.01+E75</f>
        <v>1.2300000000000002</v>
      </c>
      <c r="F77" s="52"/>
      <c r="G77" s="31">
        <v>0</v>
      </c>
      <c r="H77" s="238"/>
      <c r="I77" s="31">
        <f>'1.23 Revised'!D40</f>
        <v>-173479</v>
      </c>
      <c r="J77" s="84"/>
      <c r="K77" s="52">
        <f>+G77-I77</f>
        <v>173479</v>
      </c>
    </row>
    <row r="78" spans="1:11" x14ac:dyDescent="0.25">
      <c r="B78" s="14"/>
      <c r="C78" s="2"/>
      <c r="D78" s="2"/>
      <c r="E78" s="99"/>
      <c r="F78" s="52"/>
      <c r="G78" s="31"/>
      <c r="H78" s="31"/>
      <c r="I78" s="31"/>
      <c r="J78" s="31"/>
      <c r="K78" s="31"/>
    </row>
    <row r="79" spans="1:11" s="531" customFormat="1" x14ac:dyDescent="0.25">
      <c r="A79" s="532">
        <f>A77+1</f>
        <v>27</v>
      </c>
      <c r="B79" s="1" t="s">
        <v>606</v>
      </c>
      <c r="C79" s="526"/>
      <c r="D79" s="526"/>
      <c r="E79" s="697" t="s">
        <v>643</v>
      </c>
      <c r="F79" s="52"/>
      <c r="G79" s="31"/>
      <c r="H79" s="238"/>
      <c r="I79" s="31"/>
      <c r="J79" s="84"/>
      <c r="K79" s="52"/>
    </row>
    <row r="80" spans="1:11" s="531" customFormat="1" x14ac:dyDescent="0.25">
      <c r="A80" s="532"/>
      <c r="B80" s="530"/>
      <c r="C80" s="526"/>
      <c r="D80" s="526"/>
      <c r="E80" s="99"/>
      <c r="F80" s="52"/>
      <c r="G80" s="31"/>
      <c r="H80" s="31"/>
      <c r="I80" s="31"/>
      <c r="J80" s="31"/>
      <c r="K80" s="31"/>
    </row>
    <row r="81" spans="1:11" s="531" customFormat="1" x14ac:dyDescent="0.25">
      <c r="A81" s="532">
        <f>A79+1</f>
        <v>28</v>
      </c>
      <c r="B81" s="79" t="s">
        <v>750</v>
      </c>
      <c r="C81" s="526"/>
      <c r="D81" s="526"/>
      <c r="E81" s="99">
        <v>1.35</v>
      </c>
      <c r="F81" s="52"/>
      <c r="G81" s="31">
        <v>0</v>
      </c>
      <c r="H81" s="238"/>
      <c r="I81" s="31">
        <f>'1.35 New'!H26</f>
        <v>-3032</v>
      </c>
      <c r="J81" s="84"/>
      <c r="K81" s="52">
        <f>+G81-I81</f>
        <v>3032</v>
      </c>
    </row>
    <row r="82" spans="1:11" x14ac:dyDescent="0.25">
      <c r="B82" s="1"/>
      <c r="C82" s="2"/>
      <c r="D82" s="2"/>
      <c r="E82" s="99"/>
      <c r="F82" s="52"/>
      <c r="G82" s="238"/>
      <c r="H82" s="238"/>
      <c r="I82" s="237"/>
      <c r="J82" s="84"/>
      <c r="K82" s="52"/>
    </row>
    <row r="83" spans="1:11" ht="21.75" customHeight="1" x14ac:dyDescent="0.25">
      <c r="A83" s="98">
        <f>A81+1</f>
        <v>29</v>
      </c>
      <c r="B83" s="14" t="s">
        <v>67</v>
      </c>
      <c r="C83" s="2"/>
      <c r="D83" s="2"/>
      <c r="E83" s="99"/>
      <c r="F83" s="46"/>
      <c r="G83" s="244">
        <f>SUM(G17:G44)+SUM(G58:G81)</f>
        <v>-54275548</v>
      </c>
      <c r="H83" s="245"/>
      <c r="I83" s="244">
        <f>SUM(I17:I44)+SUM(I58:I81)</f>
        <v>-47992204</v>
      </c>
      <c r="J83" s="46"/>
      <c r="K83" s="244">
        <f>SUM(K17:K44)+SUM(K58:K81)</f>
        <v>-6283344</v>
      </c>
    </row>
    <row r="84" spans="1:11" x14ac:dyDescent="0.25">
      <c r="B84" s="2"/>
      <c r="C84" s="2"/>
      <c r="D84" s="2"/>
      <c r="E84" s="99"/>
      <c r="F84" s="2"/>
      <c r="G84" s="246"/>
      <c r="H84" s="246"/>
      <c r="I84" s="246"/>
      <c r="J84" s="3"/>
      <c r="K84" s="24"/>
    </row>
    <row r="85" spans="1:11" s="531" customFormat="1" x14ac:dyDescent="0.25">
      <c r="A85" s="532"/>
      <c r="G85" s="240"/>
      <c r="H85" s="240"/>
      <c r="I85" s="240"/>
      <c r="K85" s="528" t="str">
        <f>K$1</f>
        <v>Revised Exhibit 1</v>
      </c>
    </row>
    <row r="86" spans="1:11" s="531" customFormat="1" x14ac:dyDescent="0.25">
      <c r="A86" s="532"/>
      <c r="G86" s="240"/>
      <c r="H86" s="240"/>
      <c r="I86" s="240"/>
      <c r="K86" s="528" t="str">
        <f>K$2</f>
        <v>Sponsoring Witness: Blake</v>
      </c>
    </row>
    <row r="87" spans="1:11" s="531" customFormat="1" x14ac:dyDescent="0.25">
      <c r="A87" s="532"/>
      <c r="B87" s="44"/>
      <c r="C87" s="527"/>
      <c r="D87" s="527"/>
      <c r="E87" s="527"/>
      <c r="F87" s="527"/>
      <c r="G87" s="230"/>
      <c r="H87" s="230"/>
      <c r="I87" s="241"/>
      <c r="J87" s="6"/>
      <c r="K87" s="529" t="s">
        <v>2</v>
      </c>
    </row>
    <row r="88" spans="1:11" s="531" customFormat="1" x14ac:dyDescent="0.25">
      <c r="A88" s="532"/>
      <c r="B88" s="799" t="s">
        <v>230</v>
      </c>
      <c r="C88" s="799"/>
      <c r="D88" s="799"/>
      <c r="E88" s="799"/>
      <c r="F88" s="799"/>
      <c r="G88" s="799"/>
      <c r="H88" s="799"/>
      <c r="I88" s="799"/>
      <c r="J88" s="799"/>
      <c r="K88" s="799"/>
    </row>
    <row r="89" spans="1:11" s="531" customFormat="1" x14ac:dyDescent="0.25">
      <c r="A89" s="532"/>
      <c r="B89" s="42"/>
      <c r="C89" s="526"/>
      <c r="D89" s="526"/>
      <c r="E89" s="526"/>
      <c r="F89" s="526"/>
      <c r="G89" s="229"/>
      <c r="H89" s="229"/>
      <c r="I89" s="229"/>
      <c r="J89" s="526"/>
    </row>
    <row r="90" spans="1:11" s="531" customFormat="1" x14ac:dyDescent="0.25">
      <c r="A90" s="532"/>
      <c r="B90" s="15" t="s">
        <v>241</v>
      </c>
      <c r="C90" s="527"/>
      <c r="D90" s="527"/>
      <c r="E90" s="527"/>
      <c r="F90" s="527"/>
      <c r="G90" s="230"/>
      <c r="H90" s="230"/>
      <c r="I90" s="230"/>
      <c r="J90" s="527"/>
      <c r="K90" s="527"/>
    </row>
    <row r="91" spans="1:11" s="531" customFormat="1" x14ac:dyDescent="0.25">
      <c r="A91" s="532"/>
      <c r="B91" s="4" t="str">
        <f>+B$7</f>
        <v>For the Twelve Months Ended March 31, 2012</v>
      </c>
      <c r="C91" s="527"/>
      <c r="D91" s="527"/>
      <c r="E91" s="527"/>
      <c r="F91" s="527"/>
      <c r="G91" s="230"/>
      <c r="H91" s="230"/>
      <c r="I91" s="230"/>
      <c r="J91" s="527"/>
      <c r="K91" s="527"/>
    </row>
    <row r="92" spans="1:11" s="531" customFormat="1" x14ac:dyDescent="0.25">
      <c r="A92" s="532"/>
      <c r="B92" s="526"/>
      <c r="C92" s="526"/>
      <c r="D92" s="526"/>
      <c r="E92" s="526"/>
      <c r="F92" s="526"/>
      <c r="G92" s="242"/>
      <c r="H92" s="242"/>
      <c r="I92" s="229"/>
      <c r="J92" s="526"/>
      <c r="K92" s="526"/>
    </row>
    <row r="93" spans="1:11" s="531" customFormat="1" x14ac:dyDescent="0.25">
      <c r="A93" s="532"/>
      <c r="B93" s="526"/>
      <c r="C93" s="526"/>
      <c r="D93" s="526"/>
      <c r="E93" s="526"/>
      <c r="F93" s="526"/>
      <c r="G93" s="229"/>
      <c r="H93" s="229"/>
      <c r="I93" s="229"/>
      <c r="J93" s="526"/>
      <c r="K93" s="8" t="s">
        <v>152</v>
      </c>
    </row>
    <row r="94" spans="1:11" s="531" customFormat="1" x14ac:dyDescent="0.25">
      <c r="A94" s="532"/>
      <c r="B94" s="526"/>
      <c r="C94" s="526"/>
      <c r="D94" s="526"/>
      <c r="E94" s="8" t="s">
        <v>153</v>
      </c>
      <c r="F94" s="526"/>
      <c r="G94" s="232" t="s">
        <v>154</v>
      </c>
      <c r="H94" s="232"/>
      <c r="I94" s="232" t="s">
        <v>154</v>
      </c>
      <c r="J94" s="8"/>
      <c r="K94" s="8" t="s">
        <v>154</v>
      </c>
    </row>
    <row r="95" spans="1:11" s="531" customFormat="1" x14ac:dyDescent="0.25">
      <c r="A95" s="532"/>
      <c r="B95" s="526"/>
      <c r="C95" s="526"/>
      <c r="D95" s="526"/>
      <c r="E95" s="8" t="s">
        <v>155</v>
      </c>
      <c r="F95" s="526"/>
      <c r="G95" s="232" t="s">
        <v>156</v>
      </c>
      <c r="H95" s="232"/>
      <c r="I95" s="232" t="s">
        <v>157</v>
      </c>
      <c r="J95" s="8"/>
      <c r="K95" s="8" t="s">
        <v>158</v>
      </c>
    </row>
    <row r="96" spans="1:11" s="531" customFormat="1" x14ac:dyDescent="0.25">
      <c r="A96" s="532"/>
      <c r="B96" s="526"/>
      <c r="C96" s="526"/>
      <c r="D96" s="526"/>
      <c r="E96" s="512" t="s">
        <v>159</v>
      </c>
      <c r="F96" s="526"/>
      <c r="G96" s="233">
        <v>-2</v>
      </c>
      <c r="H96" s="234"/>
      <c r="I96" s="233">
        <v>-3</v>
      </c>
      <c r="J96" s="492"/>
      <c r="K96" s="512">
        <v>-4</v>
      </c>
    </row>
    <row r="97" spans="1:11" s="531" customFormat="1" x14ac:dyDescent="0.25">
      <c r="A97" s="532"/>
      <c r="B97" s="530"/>
      <c r="C97" s="526"/>
      <c r="D97" s="526"/>
      <c r="E97" s="99"/>
      <c r="F97" s="52"/>
      <c r="G97" s="31"/>
      <c r="H97" s="31"/>
      <c r="I97" s="31"/>
      <c r="J97" s="31"/>
      <c r="K97" s="31"/>
    </row>
    <row r="98" spans="1:11" s="531" customFormat="1" x14ac:dyDescent="0.25">
      <c r="A98" s="532">
        <f>1+A83</f>
        <v>30</v>
      </c>
      <c r="B98" s="1" t="s">
        <v>5</v>
      </c>
      <c r="C98" s="526"/>
      <c r="D98" s="526"/>
      <c r="E98" s="99"/>
      <c r="F98" s="526"/>
      <c r="G98" s="229"/>
      <c r="H98" s="229"/>
      <c r="I98" s="229"/>
      <c r="J98" s="526"/>
      <c r="K98" s="526"/>
    </row>
    <row r="99" spans="1:11" s="531" customFormat="1" x14ac:dyDescent="0.25">
      <c r="A99" s="532"/>
      <c r="B99" s="1" t="s">
        <v>6</v>
      </c>
      <c r="C99" s="526"/>
      <c r="D99" s="526"/>
      <c r="E99" s="99"/>
      <c r="F99" s="526"/>
      <c r="G99" s="229"/>
      <c r="H99" s="229"/>
      <c r="I99" s="229"/>
      <c r="J99" s="526"/>
      <c r="K99" s="526"/>
    </row>
    <row r="100" spans="1:11" s="531" customFormat="1" x14ac:dyDescent="0.25">
      <c r="A100" s="532"/>
      <c r="B100" s="1" t="s">
        <v>7</v>
      </c>
      <c r="C100" s="548">
        <f>+'1.29'!F30</f>
        <v>36.747251999999996</v>
      </c>
      <c r="D100" s="3" t="s">
        <v>160</v>
      </c>
      <c r="E100" s="99">
        <v>1.29</v>
      </c>
      <c r="F100" s="52"/>
      <c r="G100" s="239"/>
      <c r="H100" s="239"/>
      <c r="I100" s="239">
        <f>ROUND(((+K83)*C100/100),0)</f>
        <v>-2308956</v>
      </c>
      <c r="J100" s="52"/>
      <c r="K100" s="52">
        <f>IF(G100-I100&lt;&gt;0,G100-I100," ")</f>
        <v>2308956</v>
      </c>
    </row>
    <row r="101" spans="1:11" s="531" customFormat="1" x14ac:dyDescent="0.25">
      <c r="A101" s="532"/>
      <c r="B101" s="526"/>
      <c r="C101" s="526"/>
      <c r="D101" s="526"/>
      <c r="E101" s="99"/>
      <c r="F101" s="52"/>
      <c r="G101" s="239"/>
      <c r="H101" s="239"/>
      <c r="I101" s="239"/>
      <c r="J101" s="52"/>
      <c r="K101" s="52"/>
    </row>
    <row r="102" spans="1:11" s="531" customFormat="1" x14ac:dyDescent="0.25">
      <c r="A102" s="532">
        <f>1+A98</f>
        <v>31</v>
      </c>
      <c r="B102" s="530" t="s">
        <v>5</v>
      </c>
      <c r="C102" s="526"/>
      <c r="D102" s="526"/>
      <c r="F102" s="52"/>
      <c r="G102" s="239"/>
      <c r="H102" s="239"/>
      <c r="I102" s="240"/>
    </row>
    <row r="103" spans="1:11" s="531" customFormat="1" x14ac:dyDescent="0.25">
      <c r="A103" s="532"/>
      <c r="B103" s="1" t="s">
        <v>8</v>
      </c>
      <c r="C103" s="526"/>
      <c r="D103" s="526"/>
      <c r="E103" s="99"/>
      <c r="F103" s="52"/>
      <c r="G103" s="239"/>
      <c r="H103" s="239"/>
      <c r="I103" s="239"/>
      <c r="J103" s="52"/>
      <c r="K103" s="52" t="str">
        <f>IF(G103-I103&lt;&gt;0,G103-I103," ")</f>
        <v xml:space="preserve"> </v>
      </c>
    </row>
    <row r="104" spans="1:11" s="531" customFormat="1" x14ac:dyDescent="0.25">
      <c r="A104" s="532"/>
      <c r="B104" s="1" t="s">
        <v>9</v>
      </c>
      <c r="C104" s="526"/>
      <c r="D104" s="526"/>
      <c r="E104" s="99">
        <f>0.01+E100</f>
        <v>1.3</v>
      </c>
      <c r="F104" s="52"/>
      <c r="G104" s="239"/>
      <c r="H104" s="239"/>
      <c r="I104" s="549">
        <f>+'1.30'!G28</f>
        <v>145218</v>
      </c>
      <c r="J104" s="52"/>
      <c r="K104" s="31">
        <f>+G104-I104</f>
        <v>-145218</v>
      </c>
    </row>
    <row r="105" spans="1:11" s="531" customFormat="1" x14ac:dyDescent="0.25">
      <c r="A105" s="532"/>
      <c r="B105" s="1"/>
      <c r="C105" s="526"/>
      <c r="D105" s="526"/>
      <c r="E105" s="99"/>
      <c r="F105" s="52"/>
      <c r="G105" s="239"/>
      <c r="H105" s="239"/>
      <c r="I105" s="239"/>
      <c r="J105" s="52"/>
      <c r="K105" s="31"/>
    </row>
    <row r="106" spans="1:11" s="531" customFormat="1" x14ac:dyDescent="0.25">
      <c r="A106" s="532">
        <f>1+A102</f>
        <v>32</v>
      </c>
      <c r="B106" s="530" t="s">
        <v>228</v>
      </c>
      <c r="C106" s="526"/>
      <c r="D106" s="526"/>
      <c r="E106" s="99">
        <f>0.01+E104</f>
        <v>1.31</v>
      </c>
      <c r="F106" s="52"/>
      <c r="G106" s="239"/>
      <c r="H106" s="239"/>
      <c r="I106" s="239">
        <f>'1.31'!J34</f>
        <v>-436228</v>
      </c>
      <c r="J106" s="52"/>
      <c r="K106" s="31">
        <f>+G106-I106</f>
        <v>436228</v>
      </c>
    </row>
    <row r="107" spans="1:11" s="531" customFormat="1" x14ac:dyDescent="0.25">
      <c r="A107" s="532"/>
      <c r="B107" s="1"/>
      <c r="C107" s="526"/>
      <c r="D107" s="526"/>
      <c r="E107" s="99"/>
      <c r="F107" s="52"/>
      <c r="G107" s="239"/>
      <c r="H107" s="239"/>
      <c r="I107" s="239"/>
      <c r="J107" s="52"/>
      <c r="K107" s="31"/>
    </row>
    <row r="108" spans="1:11" s="531" customFormat="1" x14ac:dyDescent="0.25">
      <c r="A108" s="532">
        <f>1+A106</f>
        <v>33</v>
      </c>
      <c r="B108" s="530" t="s">
        <v>707</v>
      </c>
      <c r="C108" s="526"/>
      <c r="D108" s="526"/>
      <c r="E108" s="99">
        <f>0.01+E106</f>
        <v>1.32</v>
      </c>
      <c r="F108" s="52"/>
      <c r="G108" s="239"/>
      <c r="H108" s="239"/>
      <c r="I108" s="31">
        <f>'1.32'!G25</f>
        <v>-331159</v>
      </c>
      <c r="J108" s="52"/>
      <c r="K108" s="31">
        <f>+G108-I108</f>
        <v>331159</v>
      </c>
    </row>
    <row r="109" spans="1:11" s="531" customFormat="1" x14ac:dyDescent="0.25">
      <c r="A109" s="532"/>
      <c r="B109" s="1"/>
      <c r="C109" s="526"/>
      <c r="D109" s="526"/>
      <c r="E109" s="99"/>
      <c r="F109" s="52"/>
      <c r="G109" s="239"/>
      <c r="H109" s="239"/>
      <c r="I109" s="239"/>
      <c r="J109" s="52"/>
      <c r="K109" s="31"/>
    </row>
    <row r="110" spans="1:11" s="531" customFormat="1" x14ac:dyDescent="0.25">
      <c r="A110" s="532">
        <f>1+A108</f>
        <v>34</v>
      </c>
      <c r="B110" s="530" t="s">
        <v>708</v>
      </c>
      <c r="C110" s="526"/>
      <c r="D110" s="526"/>
      <c r="E110" s="99">
        <f>0.01+E108</f>
        <v>1.33</v>
      </c>
      <c r="F110" s="52"/>
      <c r="G110" s="239"/>
      <c r="H110" s="239"/>
      <c r="I110" s="239"/>
      <c r="J110" s="52"/>
      <c r="K110" s="31"/>
    </row>
    <row r="111" spans="1:11" x14ac:dyDescent="0.25">
      <c r="B111" s="2"/>
      <c r="C111" s="2"/>
      <c r="D111" s="2"/>
      <c r="E111" s="99"/>
      <c r="F111" s="52"/>
      <c r="G111" s="247"/>
      <c r="H111" s="248"/>
      <c r="I111" s="247"/>
      <c r="J111" s="89"/>
      <c r="K111" s="91"/>
    </row>
    <row r="112" spans="1:11" ht="21" customHeight="1" x14ac:dyDescent="0.25">
      <c r="A112" s="98">
        <f>A110+1</f>
        <v>35</v>
      </c>
      <c r="B112" s="14" t="s">
        <v>68</v>
      </c>
      <c r="C112" s="2"/>
      <c r="D112" s="2"/>
      <c r="E112" s="99"/>
      <c r="F112" s="46"/>
      <c r="G112" s="249">
        <f>G83+SUM(G100:G111)</f>
        <v>-54275548</v>
      </c>
      <c r="H112" s="245"/>
      <c r="I112" s="249">
        <f>I83+SUM(I100:I111)</f>
        <v>-50923329</v>
      </c>
      <c r="J112" s="46"/>
      <c r="K112" s="249">
        <f>K83+SUM(K100:K111)</f>
        <v>-3352219</v>
      </c>
    </row>
    <row r="113" spans="1:11" x14ac:dyDescent="0.25">
      <c r="B113" s="2"/>
      <c r="C113" s="2"/>
      <c r="D113" s="2"/>
      <c r="E113" s="99"/>
      <c r="F113" s="52"/>
      <c r="G113" s="247"/>
      <c r="H113" s="248"/>
      <c r="I113" s="247"/>
      <c r="J113" s="89"/>
      <c r="K113" s="91"/>
    </row>
    <row r="114" spans="1:11" ht="21.75" customHeight="1" thickBot="1" x14ac:dyDescent="0.3">
      <c r="A114" s="98">
        <f>1+A112</f>
        <v>36</v>
      </c>
      <c r="B114" s="14" t="s">
        <v>220</v>
      </c>
      <c r="C114" s="2"/>
      <c r="D114" s="2"/>
      <c r="E114" s="99"/>
      <c r="F114" s="46"/>
      <c r="G114" s="250">
        <f>+G13+G112</f>
        <v>1287801372</v>
      </c>
      <c r="H114" s="250"/>
      <c r="I114" s="250">
        <f>+I13+I112</f>
        <v>1088404667</v>
      </c>
      <c r="J114" s="46"/>
      <c r="K114" s="47">
        <f>+K13+K112</f>
        <v>199396705</v>
      </c>
    </row>
    <row r="115" spans="1:11" ht="16.5" thickTop="1" x14ac:dyDescent="0.25"/>
  </sheetData>
  <mergeCells count="3">
    <mergeCell ref="B4:K4"/>
    <mergeCell ref="B48:K48"/>
    <mergeCell ref="B88:K88"/>
  </mergeCells>
  <phoneticPr fontId="0" type="noConversion"/>
  <printOptions horizontalCentered="1" gridLinesSet="0"/>
  <pageMargins left="0" right="0" top="1" bottom="0.75" header="0.5" footer="0.25"/>
  <pageSetup scale="63" fitToHeight="2" orientation="landscape" cellComments="asDisplayed" r:id="rId1"/>
  <headerFooter alignWithMargins="0"/>
  <rowBreaks count="2" manualBreakCount="2">
    <brk id="44" max="16383" man="1"/>
    <brk id="8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2">
    <pageSetUpPr fitToPage="1"/>
  </sheetPr>
  <dimension ref="A1:G29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5.125" style="144" customWidth="1"/>
    <col min="4" max="4" width="2.625" style="144" customWidth="1"/>
    <col min="5" max="5" width="16.125" style="144" customWidth="1"/>
    <col min="6" max="6" width="9.625" style="144"/>
    <col min="7" max="7" width="11.25" style="144" bestFit="1" customWidth="1"/>
    <col min="8" max="9" width="11.875" style="144" bestFit="1" customWidth="1"/>
    <col min="10" max="16384" width="9.625" style="144"/>
  </cols>
  <sheetData>
    <row r="1" spans="1:5" ht="15.75" x14ac:dyDescent="0.25">
      <c r="A1" s="1"/>
      <c r="B1" s="2"/>
      <c r="C1" s="2"/>
      <c r="D1" s="2"/>
      <c r="E1" s="2"/>
    </row>
    <row r="2" spans="1:5" ht="15.75" x14ac:dyDescent="0.25">
      <c r="A2" s="2"/>
      <c r="B2" s="2"/>
      <c r="C2" s="2"/>
      <c r="D2" s="2"/>
      <c r="E2" s="2"/>
    </row>
    <row r="3" spans="1:5" ht="15.75" x14ac:dyDescent="0.25">
      <c r="A3" s="2"/>
      <c r="B3" s="2"/>
      <c r="C3" s="2"/>
      <c r="D3" s="1"/>
      <c r="E3" s="7" t="str">
        <f>'Ex 1'!$K$1</f>
        <v>Revised Exhibit 1</v>
      </c>
    </row>
    <row r="4" spans="1:5" ht="15.75" x14ac:dyDescent="0.25">
      <c r="A4" s="2"/>
      <c r="B4" s="2"/>
      <c r="C4" s="2"/>
      <c r="D4" s="1"/>
      <c r="E4" s="30" t="str">
        <f>"Reference Schedule "&amp;Inputs!$A22&amp;""</f>
        <v>Reference Schedule 1.06</v>
      </c>
    </row>
    <row r="5" spans="1:5" ht="15.75" x14ac:dyDescent="0.25">
      <c r="A5" s="2"/>
      <c r="B5" s="2"/>
      <c r="C5" s="2"/>
      <c r="D5" s="2"/>
      <c r="E5" s="529" t="str">
        <f>"Sponsoring Witness: "&amp;Inputs!$B22&amp;""</f>
        <v>Sponsoring Witness: Scott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ht="15.75" x14ac:dyDescent="0.25">
      <c r="A8" s="4" t="s">
        <v>230</v>
      </c>
      <c r="B8" s="4"/>
      <c r="C8" s="4"/>
      <c r="D8" s="6"/>
      <c r="E8" s="6"/>
    </row>
    <row r="9" spans="1:5" ht="15.75" x14ac:dyDescent="0.25">
      <c r="A9" s="4"/>
      <c r="B9" s="4"/>
      <c r="C9" s="4"/>
      <c r="D9" s="2"/>
      <c r="E9" s="2"/>
    </row>
    <row r="10" spans="1:5" ht="15.75" x14ac:dyDescent="0.25">
      <c r="A10" s="807"/>
      <c r="B10" s="807"/>
      <c r="C10" s="807"/>
      <c r="D10" s="807"/>
      <c r="E10" s="807"/>
    </row>
    <row r="11" spans="1:5" ht="15.75" x14ac:dyDescent="0.25">
      <c r="A11" s="808" t="s">
        <v>106</v>
      </c>
      <c r="B11" s="807"/>
      <c r="C11" s="807"/>
      <c r="D11" s="807"/>
      <c r="E11" s="807"/>
    </row>
    <row r="12" spans="1:5" ht="15.75" x14ac:dyDescent="0.25">
      <c r="A12" s="800" t="str">
        <f>"For the Twelve Months Ended "&amp;Inputs!B3&amp;""</f>
        <v>For the Twelve Months Ended March 31, 2012</v>
      </c>
      <c r="B12" s="800"/>
      <c r="C12" s="800"/>
      <c r="D12" s="800"/>
      <c r="E12" s="800"/>
    </row>
    <row r="13" spans="1:5" ht="15.75" x14ac:dyDescent="0.25">
      <c r="A13" s="1"/>
      <c r="B13" s="2"/>
      <c r="C13" s="2"/>
      <c r="D13" s="2"/>
      <c r="E13" s="2"/>
    </row>
    <row r="14" spans="1:5" ht="15.75" x14ac:dyDescent="0.25">
      <c r="A14" s="1"/>
      <c r="B14" s="2"/>
      <c r="C14" s="2"/>
      <c r="D14" s="2"/>
      <c r="E14" s="2"/>
    </row>
    <row r="15" spans="1:5" ht="15.75" x14ac:dyDescent="0.25">
      <c r="A15" s="25"/>
      <c r="B15" s="34"/>
      <c r="C15" s="35"/>
      <c r="D15" s="36"/>
      <c r="E15" s="36"/>
    </row>
    <row r="16" spans="1:5" ht="15.75" x14ac:dyDescent="0.25">
      <c r="A16" s="25" t="s">
        <v>333</v>
      </c>
      <c r="B16" s="146"/>
      <c r="C16" s="147"/>
      <c r="D16" s="49"/>
      <c r="E16" s="49">
        <v>-15401724</v>
      </c>
    </row>
    <row r="17" spans="1:7" ht="15.75" x14ac:dyDescent="0.25">
      <c r="A17" s="29"/>
      <c r="B17" s="36"/>
      <c r="C17" s="81"/>
      <c r="D17" s="36"/>
      <c r="E17" s="36"/>
    </row>
    <row r="18" spans="1:7" ht="15.75" x14ac:dyDescent="0.25">
      <c r="A18" s="25" t="s">
        <v>334</v>
      </c>
      <c r="B18" s="36"/>
      <c r="C18" s="36"/>
      <c r="D18" s="36"/>
      <c r="E18" s="51">
        <v>-13589518</v>
      </c>
      <c r="G18" s="36"/>
    </row>
    <row r="19" spans="1:7" ht="15.75" x14ac:dyDescent="0.25">
      <c r="A19" s="29"/>
      <c r="B19" s="36"/>
      <c r="C19" s="36"/>
      <c r="D19" s="36"/>
      <c r="E19" s="36"/>
    </row>
    <row r="20" spans="1:7" ht="16.5" thickBot="1" x14ac:dyDescent="0.3">
      <c r="A20" s="25" t="s">
        <v>388</v>
      </c>
      <c r="B20" s="56"/>
      <c r="C20" s="49"/>
      <c r="D20" s="56"/>
      <c r="E20" s="47">
        <f>+E16-E18</f>
        <v>-1812206</v>
      </c>
    </row>
    <row r="21" spans="1:7" ht="12.75" thickTop="1" x14ac:dyDescent="0.15"/>
    <row r="26" spans="1:7" x14ac:dyDescent="0.15">
      <c r="E26" s="430"/>
      <c r="F26" s="427"/>
      <c r="G26" s="431"/>
    </row>
    <row r="27" spans="1:7" x14ac:dyDescent="0.15">
      <c r="E27" s="430"/>
      <c r="F27" s="427"/>
      <c r="G27" s="431"/>
    </row>
    <row r="28" spans="1:7" x14ac:dyDescent="0.15">
      <c r="E28" s="430"/>
      <c r="F28" s="427"/>
      <c r="G28" s="431"/>
    </row>
    <row r="29" spans="1:7" x14ac:dyDescent="0.15">
      <c r="E29" s="430"/>
      <c r="F29" s="427"/>
      <c r="G29" s="431"/>
    </row>
  </sheetData>
  <mergeCells count="3">
    <mergeCell ref="A11:E11"/>
    <mergeCell ref="A12:E12"/>
    <mergeCell ref="A10:E10"/>
  </mergeCells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5">
    <pageSetUpPr fitToPage="1"/>
  </sheetPr>
  <dimension ref="A3:I3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9.625" style="2"/>
    <col min="2" max="2" width="12.75" style="2" customWidth="1"/>
    <col min="3" max="3" width="12.5" style="2" customWidth="1"/>
    <col min="4" max="4" width="12.875" style="2" customWidth="1"/>
    <col min="5" max="5" width="15" style="2" customWidth="1"/>
    <col min="6" max="6" width="1.625" style="2" customWidth="1"/>
    <col min="7" max="7" width="15" style="2" customWidth="1"/>
    <col min="8" max="8" width="2.125" style="2" customWidth="1"/>
    <col min="9" max="16384" width="9.625" style="2"/>
  </cols>
  <sheetData>
    <row r="3" spans="1:9" x14ac:dyDescent="0.25">
      <c r="G3" s="7" t="str">
        <f>'Ex 1'!$K$1</f>
        <v>Revised Exhibit 1</v>
      </c>
    </row>
    <row r="4" spans="1:9" x14ac:dyDescent="0.25">
      <c r="G4" s="30" t="str">
        <f>"Reference Schedule "&amp;Inputs!$A23&amp;""</f>
        <v>Reference Schedule 1.07</v>
      </c>
    </row>
    <row r="5" spans="1:9" x14ac:dyDescent="0.25">
      <c r="G5" s="529" t="str">
        <f>"Sponsoring Witness: "&amp;Inputs!$B23&amp;""</f>
        <v>Sponsoring Witness: Scott</v>
      </c>
    </row>
    <row r="8" spans="1:9" x14ac:dyDescent="0.25">
      <c r="A8" s="4" t="s">
        <v>230</v>
      </c>
      <c r="B8" s="15"/>
      <c r="C8" s="15"/>
      <c r="D8" s="15"/>
      <c r="E8" s="15"/>
      <c r="F8" s="15"/>
      <c r="G8" s="15"/>
    </row>
    <row r="9" spans="1:9" x14ac:dyDescent="0.25">
      <c r="A9" s="15"/>
      <c r="B9" s="15"/>
      <c r="C9" s="15"/>
      <c r="D9" s="15"/>
      <c r="E9" s="15"/>
      <c r="F9" s="15"/>
      <c r="G9" s="15"/>
    </row>
    <row r="10" spans="1:9" x14ac:dyDescent="0.25">
      <c r="A10" s="16"/>
      <c r="B10" s="15"/>
      <c r="C10" s="15"/>
      <c r="D10" s="15"/>
      <c r="E10" s="15"/>
      <c r="F10" s="15"/>
      <c r="G10" s="15"/>
    </row>
    <row r="11" spans="1:9" x14ac:dyDescent="0.25">
      <c r="A11" s="527" t="s">
        <v>466</v>
      </c>
      <c r="B11" s="5"/>
      <c r="C11" s="5"/>
      <c r="D11" s="5"/>
      <c r="E11" s="5"/>
      <c r="F11" s="5"/>
      <c r="G11" s="5"/>
    </row>
    <row r="12" spans="1:9" x14ac:dyDescent="0.25">
      <c r="A12" s="4" t="str">
        <f>"For the Twelve Months Ended "&amp;Inputs!B3&amp;""</f>
        <v>For the Twelve Months Ended March 31, 2012</v>
      </c>
      <c r="B12" s="4"/>
      <c r="C12" s="4"/>
      <c r="D12" s="4"/>
      <c r="E12" s="4"/>
      <c r="F12" s="4"/>
      <c r="G12" s="4"/>
    </row>
    <row r="13" spans="1:9" x14ac:dyDescent="0.25">
      <c r="B13" s="1"/>
    </row>
    <row r="14" spans="1:9" x14ac:dyDescent="0.25">
      <c r="A14" s="1"/>
      <c r="E14" s="36"/>
      <c r="F14" s="36"/>
      <c r="G14" s="49"/>
      <c r="I14" s="49"/>
    </row>
    <row r="15" spans="1:9" x14ac:dyDescent="0.25">
      <c r="A15" s="1"/>
      <c r="E15" s="36"/>
      <c r="F15" s="36"/>
      <c r="G15" s="52"/>
    </row>
    <row r="16" spans="1:9" x14ac:dyDescent="0.25">
      <c r="A16" s="1" t="s">
        <v>66</v>
      </c>
      <c r="E16" s="36"/>
      <c r="F16" s="36"/>
      <c r="G16" s="40">
        <v>900841</v>
      </c>
      <c r="I16" s="52"/>
    </row>
    <row r="17" spans="1:9" x14ac:dyDescent="0.25">
      <c r="A17" s="1"/>
      <c r="E17" s="36"/>
      <c r="F17" s="36"/>
      <c r="G17" s="52"/>
    </row>
    <row r="18" spans="1:9" x14ac:dyDescent="0.25">
      <c r="A18" s="530" t="s">
        <v>728</v>
      </c>
      <c r="E18" s="36"/>
      <c r="F18" s="36"/>
      <c r="G18" s="52">
        <f>628+12</f>
        <v>640</v>
      </c>
      <c r="I18" s="52"/>
    </row>
    <row r="19" spans="1:9" x14ac:dyDescent="0.25">
      <c r="A19" s="1"/>
      <c r="E19" s="36"/>
      <c r="F19" s="36"/>
      <c r="G19" s="52"/>
    </row>
    <row r="20" spans="1:9" x14ac:dyDescent="0.25">
      <c r="A20" s="14" t="s">
        <v>361</v>
      </c>
      <c r="E20" s="36"/>
      <c r="F20" s="36"/>
      <c r="G20" s="52">
        <v>2254000</v>
      </c>
      <c r="I20" s="52"/>
    </row>
    <row r="21" spans="1:9" x14ac:dyDescent="0.25">
      <c r="A21" s="1"/>
      <c r="E21" s="36"/>
      <c r="F21" s="36"/>
      <c r="G21" s="52"/>
    </row>
    <row r="22" spans="1:9" x14ac:dyDescent="0.25">
      <c r="A22" s="14" t="s">
        <v>362</v>
      </c>
      <c r="E22" s="36"/>
      <c r="F22" s="36"/>
      <c r="G22" s="52">
        <v>5283177</v>
      </c>
      <c r="I22" s="52"/>
    </row>
    <row r="23" spans="1:9" x14ac:dyDescent="0.25">
      <c r="A23" s="1"/>
      <c r="E23" s="25"/>
      <c r="F23" s="25"/>
      <c r="G23" s="87"/>
    </row>
    <row r="24" spans="1:9" ht="16.5" thickBot="1" x14ac:dyDescent="0.3">
      <c r="A24" s="14" t="s">
        <v>363</v>
      </c>
      <c r="E24" s="49"/>
      <c r="F24" s="25"/>
      <c r="G24" s="55">
        <f>SUM(G14:G22)</f>
        <v>8438658</v>
      </c>
    </row>
    <row r="25" spans="1:9" ht="16.5" thickTop="1" x14ac:dyDescent="0.25"/>
    <row r="26" spans="1:9" ht="16.5" thickBot="1" x14ac:dyDescent="0.3">
      <c r="A26" s="14" t="s">
        <v>389</v>
      </c>
      <c r="G26" s="55">
        <f>-G24</f>
        <v>-8438658</v>
      </c>
    </row>
    <row r="27" spans="1:9" ht="16.5" thickTop="1" x14ac:dyDescent="0.25">
      <c r="A27" s="1"/>
    </row>
    <row r="28" spans="1:9" x14ac:dyDescent="0.25">
      <c r="A28" s="1"/>
    </row>
    <row r="29" spans="1:9" x14ac:dyDescent="0.25">
      <c r="D29" s="347"/>
      <c r="E29" s="25"/>
      <c r="F29" s="25"/>
      <c r="G29" s="25"/>
    </row>
    <row r="30" spans="1:9" x14ac:dyDescent="0.25">
      <c r="D30" s="148"/>
      <c r="E30" s="348"/>
      <c r="F30" s="25"/>
      <c r="G30" s="25"/>
    </row>
    <row r="31" spans="1:9" x14ac:dyDescent="0.25">
      <c r="D31" s="148"/>
      <c r="E31" s="348"/>
      <c r="F31" s="25"/>
      <c r="G31" s="25"/>
    </row>
    <row r="32" spans="1:9" x14ac:dyDescent="0.25">
      <c r="D32" s="148"/>
      <c r="E32" s="348"/>
      <c r="F32" s="25"/>
      <c r="G32" s="25"/>
    </row>
    <row r="33" spans="4:7" x14ac:dyDescent="0.25">
      <c r="D33" s="25"/>
      <c r="E33" s="348"/>
      <c r="F33" s="25"/>
      <c r="G33" s="25"/>
    </row>
    <row r="34" spans="4:7" x14ac:dyDescent="0.25">
      <c r="D34" s="347"/>
      <c r="E34" s="25"/>
      <c r="F34" s="25"/>
      <c r="G34" s="25"/>
    </row>
    <row r="35" spans="4:7" x14ac:dyDescent="0.25">
      <c r="D35" s="148"/>
      <c r="E35" s="348"/>
      <c r="F35" s="25"/>
      <c r="G35" s="25"/>
    </row>
    <row r="36" spans="4:7" x14ac:dyDescent="0.25">
      <c r="D36" s="148"/>
      <c r="E36" s="348"/>
      <c r="F36" s="25"/>
      <c r="G36" s="25"/>
    </row>
    <row r="37" spans="4:7" x14ac:dyDescent="0.25">
      <c r="D37" s="148"/>
      <c r="E37" s="348"/>
      <c r="F37" s="25"/>
      <c r="G37" s="25"/>
    </row>
    <row r="38" spans="4:7" x14ac:dyDescent="0.25">
      <c r="D38" s="25"/>
      <c r="E38" s="348"/>
      <c r="F38" s="25"/>
      <c r="G38" s="25"/>
    </row>
    <row r="39" spans="4:7" x14ac:dyDescent="0.25">
      <c r="D39" s="25"/>
      <c r="E39" s="25"/>
      <c r="F39" s="25"/>
      <c r="G39" s="25"/>
    </row>
  </sheetData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 enableFormatConditionsCalculation="0">
    <pageSetUpPr fitToPage="1"/>
  </sheetPr>
  <dimension ref="A3:C44"/>
  <sheetViews>
    <sheetView showGridLines="0" zoomScaleNormal="100" zoomScaleSheetLayoutView="70" workbookViewId="0">
      <selection activeCell="A12" sqref="A12"/>
    </sheetView>
  </sheetViews>
  <sheetFormatPr defaultColWidth="9.625" defaultRowHeight="15.75" x14ac:dyDescent="0.25"/>
  <cols>
    <col min="1" max="1" width="76.25" style="2" customWidth="1"/>
    <col min="2" max="2" width="14.125" style="2" customWidth="1"/>
    <col min="3" max="3" width="2.125" style="2" customWidth="1"/>
    <col min="4" max="16384" width="9.625" style="2"/>
  </cols>
  <sheetData>
    <row r="3" spans="1:2" x14ac:dyDescent="0.25">
      <c r="B3" s="7" t="str">
        <f>'Ex 1'!$K$1</f>
        <v>Revised Exhibit 1</v>
      </c>
    </row>
    <row r="4" spans="1:2" x14ac:dyDescent="0.25">
      <c r="B4" s="30" t="str">
        <f>"Reference Schedule "&amp;Inputs!$A24&amp;""</f>
        <v>Reference Schedule 1.08</v>
      </c>
    </row>
    <row r="5" spans="1:2" x14ac:dyDescent="0.25">
      <c r="B5" s="529" t="str">
        <f>"Sponsoring Witness: "&amp;Inputs!$B24&amp;""</f>
        <v>Sponsoring Witness: Scott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" t="s">
        <v>399</v>
      </c>
      <c r="B11" s="5"/>
    </row>
    <row r="12" spans="1:2" x14ac:dyDescent="0.25">
      <c r="A12" s="4" t="str">
        <f>"For the Twelve Months Ended "&amp;Inputs!B3&amp;""</f>
        <v>For the Twelve Months Ended March 31, 2012</v>
      </c>
      <c r="B12" s="4"/>
    </row>
    <row r="15" spans="1:2" x14ac:dyDescent="0.25">
      <c r="B15" s="8"/>
    </row>
    <row r="16" spans="1:2" ht="18" x14ac:dyDescent="0.4">
      <c r="B16" s="53"/>
    </row>
    <row r="17" spans="1:3" x14ac:dyDescent="0.25">
      <c r="B17" s="3"/>
    </row>
    <row r="18" spans="1:3" x14ac:dyDescent="0.25">
      <c r="A18" s="1" t="s">
        <v>400</v>
      </c>
      <c r="B18" s="117">
        <v>211888</v>
      </c>
    </row>
    <row r="19" spans="1:3" x14ac:dyDescent="0.25">
      <c r="B19" s="100"/>
    </row>
    <row r="20" spans="1:3" x14ac:dyDescent="0.25">
      <c r="A20" s="1" t="s">
        <v>401</v>
      </c>
      <c r="B20" s="90">
        <v>551781</v>
      </c>
    </row>
    <row r="21" spans="1:3" x14ac:dyDescent="0.25">
      <c r="A21" s="14" t="s">
        <v>179</v>
      </c>
      <c r="B21" s="154"/>
    </row>
    <row r="22" spans="1:3" x14ac:dyDescent="0.25">
      <c r="A22" s="1" t="s">
        <v>402</v>
      </c>
      <c r="B22" s="36">
        <f>+B18-B20</f>
        <v>-339893</v>
      </c>
    </row>
    <row r="23" spans="1:3" x14ac:dyDescent="0.25">
      <c r="A23" s="1"/>
      <c r="B23" s="36"/>
    </row>
    <row r="24" spans="1:3" x14ac:dyDescent="0.25">
      <c r="A24" s="1" t="s">
        <v>394</v>
      </c>
      <c r="B24" s="109">
        <f>+Allocators!C21</f>
        <v>0.86756999999999995</v>
      </c>
    </row>
    <row r="25" spans="1:3" x14ac:dyDescent="0.25">
      <c r="A25" s="1"/>
      <c r="B25" s="36"/>
    </row>
    <row r="26" spans="1:3" ht="16.5" thickBot="1" x14ac:dyDescent="0.3">
      <c r="A26" s="1" t="s">
        <v>403</v>
      </c>
      <c r="B26" s="55">
        <f>ROUND(+B22*B24,0)</f>
        <v>-294881</v>
      </c>
    </row>
    <row r="27" spans="1:3" ht="16.5" thickTop="1" x14ac:dyDescent="0.25">
      <c r="A27" s="1"/>
      <c r="B27" s="36"/>
    </row>
    <row r="28" spans="1:3" x14ac:dyDescent="0.25">
      <c r="A28" s="1" t="s">
        <v>404</v>
      </c>
      <c r="B28" s="36"/>
    </row>
    <row r="29" spans="1:3" ht="16.5" thickBot="1" x14ac:dyDescent="0.3">
      <c r="A29" s="1" t="s">
        <v>405</v>
      </c>
      <c r="B29" s="55">
        <f>-B26</f>
        <v>294881</v>
      </c>
    </row>
    <row r="30" spans="1:3" ht="16.5" thickTop="1" x14ac:dyDescent="0.25">
      <c r="B30" s="52"/>
    </row>
    <row r="31" spans="1:3" x14ac:dyDescent="0.25">
      <c r="A31" s="1" t="s">
        <v>406</v>
      </c>
      <c r="B31" s="90">
        <v>6937</v>
      </c>
      <c r="C31" s="2" t="s">
        <v>256</v>
      </c>
    </row>
    <row r="32" spans="1:3" x14ac:dyDescent="0.25">
      <c r="A32" s="1"/>
      <c r="B32" s="52"/>
    </row>
    <row r="33" spans="1:2" x14ac:dyDescent="0.25">
      <c r="A33" s="1" t="s">
        <v>393</v>
      </c>
      <c r="B33" s="109">
        <f>+B24</f>
        <v>0.86756999999999995</v>
      </c>
    </row>
    <row r="34" spans="1:2" x14ac:dyDescent="0.25">
      <c r="A34" s="1"/>
      <c r="B34" s="36"/>
    </row>
    <row r="35" spans="1:2" ht="16.5" thickBot="1" x14ac:dyDescent="0.3">
      <c r="A35" s="1" t="s">
        <v>407</v>
      </c>
      <c r="B35" s="55">
        <f>ROUND(+B31*B33,0)</f>
        <v>6018</v>
      </c>
    </row>
    <row r="36" spans="1:2" ht="16.5" thickTop="1" x14ac:dyDescent="0.25">
      <c r="A36" s="1"/>
      <c r="B36" s="49"/>
    </row>
    <row r="37" spans="1:2" x14ac:dyDescent="0.25">
      <c r="A37" s="1" t="s">
        <v>409</v>
      </c>
      <c r="B37" s="36"/>
    </row>
    <row r="38" spans="1:2" ht="16.5" thickBot="1" x14ac:dyDescent="0.3">
      <c r="A38" s="1" t="s">
        <v>85</v>
      </c>
      <c r="B38" s="55">
        <f>-B35</f>
        <v>-6018</v>
      </c>
    </row>
    <row r="39" spans="1:2" ht="16.5" thickTop="1" x14ac:dyDescent="0.25">
      <c r="A39" s="1"/>
    </row>
    <row r="40" spans="1:2" ht="16.5" thickBot="1" x14ac:dyDescent="0.3">
      <c r="A40" s="1" t="s">
        <v>341</v>
      </c>
      <c r="B40" s="55">
        <f>+B29-B38</f>
        <v>300899</v>
      </c>
    </row>
    <row r="41" spans="1:2" ht="16.5" thickTop="1" x14ac:dyDescent="0.25">
      <c r="A41" s="1"/>
    </row>
    <row r="42" spans="1:2" x14ac:dyDescent="0.25">
      <c r="A42" s="1"/>
    </row>
    <row r="43" spans="1:2" x14ac:dyDescent="0.25">
      <c r="A43" s="530" t="s">
        <v>600</v>
      </c>
    </row>
    <row r="44" spans="1:2" x14ac:dyDescent="0.25">
      <c r="A44" s="14" t="s">
        <v>104</v>
      </c>
    </row>
  </sheetData>
  <phoneticPr fontId="0" type="noConversion"/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pageSetUpPr fitToPage="1"/>
  </sheetPr>
  <dimension ref="A3:B32"/>
  <sheetViews>
    <sheetView showGridLines="0" zoomScaleNormal="100" zoomScaleSheetLayoutView="70" workbookViewId="0">
      <selection activeCell="A11" sqref="A11"/>
    </sheetView>
  </sheetViews>
  <sheetFormatPr defaultColWidth="9.625" defaultRowHeight="15.75" x14ac:dyDescent="0.25"/>
  <cols>
    <col min="1" max="1" width="76.25" style="526" customWidth="1"/>
    <col min="2" max="2" width="14.125" style="526" customWidth="1"/>
    <col min="3" max="3" width="2.125" style="526" customWidth="1"/>
    <col min="4" max="16384" width="9.625" style="526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"&amp;Inputs!$A25&amp;""</f>
        <v>Reference Schedule 1.09</v>
      </c>
    </row>
    <row r="5" spans="1:2" x14ac:dyDescent="0.25">
      <c r="B5" s="529" t="str">
        <f>"Sponsoring Witness: "&amp;Inputs!$B25&amp;""</f>
        <v>Sponsoring Witness: Bellar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27" t="s">
        <v>620</v>
      </c>
      <c r="B11" s="527"/>
    </row>
    <row r="12" spans="1:2" x14ac:dyDescent="0.25">
      <c r="A12" s="4" t="str">
        <f>"For the Twelve Months Ended "&amp;Inputs!B3&amp;""</f>
        <v>For the Twelve Months Ended March 31, 2012</v>
      </c>
      <c r="B12" s="4"/>
    </row>
    <row r="15" spans="1:2" x14ac:dyDescent="0.25">
      <c r="B15" s="8"/>
    </row>
    <row r="16" spans="1:2" ht="18" x14ac:dyDescent="0.4">
      <c r="B16" s="53"/>
    </row>
    <row r="17" spans="1:2" x14ac:dyDescent="0.25">
      <c r="B17" s="3"/>
    </row>
    <row r="18" spans="1:2" s="440" customFormat="1" x14ac:dyDescent="0.25">
      <c r="A18" s="447" t="s">
        <v>693</v>
      </c>
      <c r="B18" s="49">
        <v>141328.6209426588</v>
      </c>
    </row>
    <row r="19" spans="1:2" s="440" customFormat="1" x14ac:dyDescent="0.25">
      <c r="B19" s="446"/>
    </row>
    <row r="20" spans="1:2" s="440" customFormat="1" x14ac:dyDescent="0.25">
      <c r="A20" s="447" t="s">
        <v>619</v>
      </c>
      <c r="B20" s="49">
        <f>ROUND(B18*4,0)</f>
        <v>565314</v>
      </c>
    </row>
    <row r="21" spans="1:2" s="440" customFormat="1" x14ac:dyDescent="0.25">
      <c r="B21" s="446"/>
    </row>
    <row r="22" spans="1:2" x14ac:dyDescent="0.25">
      <c r="A22" s="530" t="s">
        <v>621</v>
      </c>
      <c r="B22" s="691">
        <f>563140+339893</f>
        <v>903033</v>
      </c>
    </row>
    <row r="23" spans="1:2" x14ac:dyDescent="0.25">
      <c r="A23" s="1"/>
    </row>
    <row r="24" spans="1:2" x14ac:dyDescent="0.25">
      <c r="A24" s="530" t="s">
        <v>624</v>
      </c>
      <c r="B24" s="49">
        <f>B20-B22</f>
        <v>-337719</v>
      </c>
    </row>
    <row r="25" spans="1:2" x14ac:dyDescent="0.25">
      <c r="B25" s="100"/>
    </row>
    <row r="26" spans="1:2" x14ac:dyDescent="0.25">
      <c r="A26" s="530" t="s">
        <v>622</v>
      </c>
      <c r="B26" s="109">
        <f>+Allocators!C21</f>
        <v>0.86756999999999995</v>
      </c>
    </row>
    <row r="27" spans="1:2" x14ac:dyDescent="0.25">
      <c r="A27" s="1"/>
    </row>
    <row r="28" spans="1:2" ht="16.5" thickBot="1" x14ac:dyDescent="0.3">
      <c r="A28" s="530" t="s">
        <v>623</v>
      </c>
      <c r="B28" s="55">
        <f>ROUND(B24*B26,0)</f>
        <v>-292995</v>
      </c>
    </row>
    <row r="29" spans="1:2" ht="16.5" thickTop="1" x14ac:dyDescent="0.25">
      <c r="A29" s="1"/>
    </row>
    <row r="30" spans="1:2" x14ac:dyDescent="0.25">
      <c r="A30" s="1"/>
    </row>
    <row r="31" spans="1:2" x14ac:dyDescent="0.25">
      <c r="A31" s="447" t="s">
        <v>697</v>
      </c>
    </row>
    <row r="32" spans="1:2" x14ac:dyDescent="0.25">
      <c r="A32" s="447" t="s">
        <v>698</v>
      </c>
    </row>
  </sheetData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B32"/>
  <sheetViews>
    <sheetView showGridLines="0" zoomScaleNormal="100" zoomScaleSheetLayoutView="70" workbookViewId="0">
      <selection activeCell="A17" sqref="A17"/>
    </sheetView>
  </sheetViews>
  <sheetFormatPr defaultColWidth="9.625" defaultRowHeight="15.75" x14ac:dyDescent="0.25"/>
  <cols>
    <col min="1" max="1" width="76.25" style="440" customWidth="1"/>
    <col min="2" max="2" width="14.125" style="440" customWidth="1"/>
    <col min="3" max="3" width="2.125" style="440" customWidth="1"/>
    <col min="4" max="16384" width="9.625" style="440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"&amp;Inputs!$A25&amp;""</f>
        <v>Reference Schedule 1.09</v>
      </c>
    </row>
    <row r="5" spans="1:2" x14ac:dyDescent="0.25">
      <c r="B5" s="529" t="str">
        <f>"Sponsoring Witness: "&amp;Inputs!$B25&amp;""</f>
        <v>Sponsoring Witness: Bellar</v>
      </c>
    </row>
    <row r="8" spans="1:2" x14ac:dyDescent="0.25">
      <c r="A8" s="444" t="s">
        <v>230</v>
      </c>
      <c r="B8" s="443"/>
    </row>
    <row r="9" spans="1:2" x14ac:dyDescent="0.25">
      <c r="A9" s="443"/>
      <c r="B9" s="443"/>
    </row>
    <row r="10" spans="1:2" x14ac:dyDescent="0.25">
      <c r="A10" s="644"/>
      <c r="B10" s="443"/>
    </row>
    <row r="11" spans="1:2" x14ac:dyDescent="0.25">
      <c r="A11" s="443" t="s">
        <v>620</v>
      </c>
      <c r="B11" s="443"/>
    </row>
    <row r="12" spans="1:2" x14ac:dyDescent="0.25">
      <c r="A12" s="4" t="str">
        <f>"For the Twelve Months Ended "&amp;Inputs!B3&amp;""</f>
        <v>For the Twelve Months Ended March 31, 2012</v>
      </c>
      <c r="B12" s="444"/>
    </row>
    <row r="14" spans="1:2" x14ac:dyDescent="0.25">
      <c r="A14" s="814" t="s">
        <v>780</v>
      </c>
      <c r="B14" s="817"/>
    </row>
    <row r="15" spans="1:2" x14ac:dyDescent="0.25">
      <c r="B15" s="795"/>
    </row>
    <row r="16" spans="1:2" ht="18" x14ac:dyDescent="0.4">
      <c r="B16" s="53"/>
    </row>
    <row r="17" spans="1:2" x14ac:dyDescent="0.25">
      <c r="B17" s="446"/>
    </row>
    <row r="18" spans="1:2" x14ac:dyDescent="0.25">
      <c r="A18" s="447" t="s">
        <v>781</v>
      </c>
      <c r="B18" s="350">
        <v>457435.62158892502</v>
      </c>
    </row>
    <row r="19" spans="1:2" x14ac:dyDescent="0.25">
      <c r="B19" s="446"/>
    </row>
    <row r="20" spans="1:2" x14ac:dyDescent="0.25">
      <c r="A20" s="447" t="s">
        <v>782</v>
      </c>
      <c r="B20" s="49">
        <f>ROUND(B18*12/8,0)</f>
        <v>686153</v>
      </c>
    </row>
    <row r="21" spans="1:2" x14ac:dyDescent="0.25">
      <c r="B21" s="446"/>
    </row>
    <row r="22" spans="1:2" x14ac:dyDescent="0.25">
      <c r="A22" s="447" t="s">
        <v>621</v>
      </c>
      <c r="B22" s="691">
        <f>563140+339893</f>
        <v>903033</v>
      </c>
    </row>
    <row r="23" spans="1:2" x14ac:dyDescent="0.25">
      <c r="A23" s="445"/>
    </row>
    <row r="24" spans="1:2" x14ac:dyDescent="0.25">
      <c r="A24" s="447" t="s">
        <v>624</v>
      </c>
      <c r="B24" s="49">
        <f>B20-B22</f>
        <v>-216880</v>
      </c>
    </row>
    <row r="25" spans="1:2" x14ac:dyDescent="0.25">
      <c r="B25" s="505"/>
    </row>
    <row r="26" spans="1:2" x14ac:dyDescent="0.25">
      <c r="A26" s="447" t="s">
        <v>622</v>
      </c>
      <c r="B26" s="109">
        <f>Allocators!C21</f>
        <v>0.86756999999999995</v>
      </c>
    </row>
    <row r="27" spans="1:2" x14ac:dyDescent="0.25">
      <c r="A27" s="445"/>
    </row>
    <row r="28" spans="1:2" ht="16.5" thickBot="1" x14ac:dyDescent="0.3">
      <c r="A28" s="447" t="s">
        <v>623</v>
      </c>
      <c r="B28" s="55">
        <f>ROUND(B24*B26,0)</f>
        <v>-188159</v>
      </c>
    </row>
    <row r="29" spans="1:2" ht="16.5" thickTop="1" x14ac:dyDescent="0.25">
      <c r="A29" s="445"/>
    </row>
    <row r="30" spans="1:2" x14ac:dyDescent="0.25">
      <c r="A30" s="445"/>
    </row>
    <row r="31" spans="1:2" x14ac:dyDescent="0.25">
      <c r="A31" s="447" t="s">
        <v>697</v>
      </c>
    </row>
    <row r="32" spans="1:2" x14ac:dyDescent="0.25">
      <c r="A32" s="447" t="s">
        <v>698</v>
      </c>
    </row>
  </sheetData>
  <mergeCells count="1">
    <mergeCell ref="A14:B14"/>
  </mergeCells>
  <printOptions horizontalCentered="1" gridLinesSet="0"/>
  <pageMargins left="1.25" right="0.75" top="1" bottom="1" header="0.25" footer="0.5"/>
  <pageSetup scale="8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">
    <pageSetUpPr fitToPage="1"/>
  </sheetPr>
  <dimension ref="A3:D22"/>
  <sheetViews>
    <sheetView showGridLines="0" zoomScaleNormal="100" zoomScaleSheetLayoutView="70" workbookViewId="0">
      <selection activeCell="A12" sqref="A12"/>
    </sheetView>
  </sheetViews>
  <sheetFormatPr defaultColWidth="9.625" defaultRowHeight="15.75" x14ac:dyDescent="0.25"/>
  <cols>
    <col min="1" max="1" width="57.625" style="2" customWidth="1"/>
    <col min="2" max="2" width="16.625" style="2" customWidth="1"/>
    <col min="3" max="16384" width="9.625" style="2"/>
  </cols>
  <sheetData>
    <row r="3" spans="1:2" x14ac:dyDescent="0.25">
      <c r="B3" s="7" t="str">
        <f>'Ex 1'!$K$1</f>
        <v>Revised Exhibit 1</v>
      </c>
    </row>
    <row r="4" spans="1:2" x14ac:dyDescent="0.25">
      <c r="B4" s="30" t="str">
        <f>"Reference Schedule "&amp;Inputs!$A26&amp;""</f>
        <v>Reference Schedule 1.10</v>
      </c>
    </row>
    <row r="5" spans="1:2" x14ac:dyDescent="0.25">
      <c r="B5" s="529" t="str">
        <f>"Sponsoring Witness: "&amp;Inputs!$B26&amp;""</f>
        <v>Sponsoring Witness: Conroy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" t="s">
        <v>259</v>
      </c>
      <c r="B11" s="5"/>
    </row>
    <row r="12" spans="1:2" x14ac:dyDescent="0.25">
      <c r="A12" s="4" t="str">
        <f>"At "&amp;Inputs!B3&amp;""</f>
        <v>At March 31, 2012</v>
      </c>
      <c r="B12" s="4"/>
    </row>
    <row r="14" spans="1:2" ht="18" x14ac:dyDescent="0.4">
      <c r="B14" s="57"/>
    </row>
    <row r="15" spans="1:2" x14ac:dyDescent="0.25">
      <c r="B15" s="3"/>
    </row>
    <row r="16" spans="1:2" x14ac:dyDescent="0.25">
      <c r="A16" s="1" t="s">
        <v>299</v>
      </c>
      <c r="B16" s="40">
        <v>-3407542</v>
      </c>
    </row>
    <row r="17" spans="1:4" x14ac:dyDescent="0.25">
      <c r="A17" s="1"/>
      <c r="B17" s="52"/>
    </row>
    <row r="18" spans="1:4" x14ac:dyDescent="0.25">
      <c r="A18" s="1" t="s">
        <v>300</v>
      </c>
      <c r="B18" s="52">
        <v>-1909033</v>
      </c>
      <c r="D18" s="163"/>
    </row>
    <row r="19" spans="1:4" x14ac:dyDescent="0.25">
      <c r="A19" s="14" t="s">
        <v>179</v>
      </c>
      <c r="B19" s="32"/>
    </row>
    <row r="20" spans="1:4" x14ac:dyDescent="0.25">
      <c r="B20" s="89"/>
    </row>
    <row r="21" spans="1:4" ht="16.5" thickBot="1" x14ac:dyDescent="0.3">
      <c r="A21" s="1" t="s">
        <v>301</v>
      </c>
      <c r="B21" s="47">
        <f>ROUND(+B16-B18,0)</f>
        <v>-1498509</v>
      </c>
    </row>
    <row r="22" spans="1:4" ht="16.5" thickTop="1" x14ac:dyDescent="0.25"/>
  </sheetData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/>
  <dimension ref="A1:H35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7.125" style="144" customWidth="1"/>
    <col min="6" max="6" width="12.75" style="144" customWidth="1"/>
    <col min="7" max="7" width="9.625" style="144"/>
    <col min="8" max="8" width="12.125" style="144" bestFit="1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</row>
    <row r="2" spans="1:8" ht="15.75" x14ac:dyDescent="0.25">
      <c r="A2" s="2"/>
      <c r="B2" s="2"/>
      <c r="C2" s="2"/>
      <c r="D2" s="2"/>
      <c r="E2" s="2"/>
    </row>
    <row r="3" spans="1:8" ht="15.75" x14ac:dyDescent="0.25">
      <c r="A3" s="2"/>
      <c r="B3" s="2"/>
      <c r="C3" s="2"/>
      <c r="D3" s="2"/>
      <c r="F3" s="528" t="str">
        <f>'Ex 1'!$K$1</f>
        <v>Revised Exhibit 1</v>
      </c>
    </row>
    <row r="4" spans="1:8" ht="15.75" x14ac:dyDescent="0.25">
      <c r="A4" s="2"/>
      <c r="B4" s="2"/>
      <c r="C4" s="2"/>
      <c r="D4" s="2"/>
      <c r="F4" s="30" t="str">
        <f>"Reference Schedule "&amp;Inputs!$A27&amp;""</f>
        <v>Reference Schedule 1.11</v>
      </c>
    </row>
    <row r="5" spans="1:8" ht="15.75" x14ac:dyDescent="0.25">
      <c r="A5" s="2"/>
      <c r="B5" s="2"/>
      <c r="C5" s="2"/>
      <c r="D5" s="2"/>
      <c r="E5" s="2"/>
      <c r="F5" s="529" t="str">
        <f>"Sponsoring Witness: "&amp;Inputs!$B27&amp;""</f>
        <v>Sponsoring Witness: Conroy</v>
      </c>
    </row>
    <row r="6" spans="1:8" ht="15.75" x14ac:dyDescent="0.25">
      <c r="A6" s="2"/>
      <c r="B6" s="2"/>
      <c r="C6" s="2"/>
      <c r="D6" s="2"/>
      <c r="E6" s="2"/>
      <c r="F6" s="7"/>
    </row>
    <row r="7" spans="1:8" ht="15.75" x14ac:dyDescent="0.25">
      <c r="A7" s="2"/>
      <c r="B7" s="2"/>
      <c r="C7" s="2"/>
      <c r="D7" s="2"/>
      <c r="E7" s="2"/>
      <c r="F7" s="7"/>
    </row>
    <row r="8" spans="1:8" ht="15.75" x14ac:dyDescent="0.25">
      <c r="A8" s="800" t="s">
        <v>230</v>
      </c>
      <c r="B8" s="801"/>
      <c r="C8" s="801"/>
      <c r="D8" s="801"/>
      <c r="E8" s="801"/>
      <c r="F8" s="801"/>
    </row>
    <row r="9" spans="1:8" ht="15.75" x14ac:dyDescent="0.25">
      <c r="A9" s="5"/>
      <c r="B9" s="5"/>
      <c r="C9" s="5"/>
      <c r="D9" s="5"/>
      <c r="E9" s="5"/>
    </row>
    <row r="10" spans="1:8" ht="15.75" x14ac:dyDescent="0.25">
      <c r="A10" s="807"/>
      <c r="B10" s="807"/>
      <c r="C10" s="807"/>
      <c r="D10" s="807"/>
      <c r="E10" s="807"/>
      <c r="F10" s="807"/>
    </row>
    <row r="11" spans="1:8" ht="15.75" x14ac:dyDescent="0.25">
      <c r="A11" s="808" t="s">
        <v>672</v>
      </c>
      <c r="B11" s="807"/>
      <c r="C11" s="807"/>
      <c r="D11" s="807"/>
      <c r="E11" s="807"/>
      <c r="F11" s="807"/>
    </row>
    <row r="12" spans="1:8" ht="15.75" x14ac:dyDescent="0.25">
      <c r="A12" s="818" t="str">
        <f>"As Applied to the Twelve Months Ended "&amp;Inputs!B3&amp;""</f>
        <v>As Applied to the Twelve Months Ended March 31, 2012</v>
      </c>
      <c r="B12" s="818"/>
      <c r="C12" s="818"/>
      <c r="D12" s="818"/>
      <c r="E12" s="818"/>
      <c r="F12" s="818"/>
    </row>
    <row r="13" spans="1:8" ht="15.75" x14ac:dyDescent="0.25">
      <c r="A13" s="4"/>
      <c r="B13" s="4"/>
      <c r="C13" s="4"/>
      <c r="D13" s="4"/>
      <c r="E13" s="4"/>
      <c r="F13" s="4"/>
    </row>
    <row r="14" spans="1:8" ht="15.75" x14ac:dyDescent="0.25">
      <c r="A14" s="1"/>
      <c r="B14" s="2"/>
      <c r="C14" s="2"/>
      <c r="D14" s="2"/>
      <c r="E14" s="2"/>
    </row>
    <row r="15" spans="1:8" ht="15.75" x14ac:dyDescent="0.25">
      <c r="A15" s="2"/>
      <c r="B15" s="2"/>
      <c r="C15" s="2"/>
      <c r="D15" s="2"/>
      <c r="E15" s="2"/>
    </row>
    <row r="16" spans="1:8" ht="15.75" x14ac:dyDescent="0.25">
      <c r="A16" s="2"/>
      <c r="B16" s="2"/>
      <c r="C16" s="2"/>
      <c r="D16" s="2"/>
      <c r="E16" s="2"/>
      <c r="F16" s="466"/>
      <c r="H16" s="536"/>
    </row>
    <row r="17" spans="1:8" ht="15.75" x14ac:dyDescent="0.25">
      <c r="A17" s="2"/>
      <c r="B17" s="2"/>
      <c r="C17" s="2"/>
      <c r="D17" s="2"/>
      <c r="E17" s="2"/>
    </row>
    <row r="18" spans="1:8" ht="15.75" x14ac:dyDescent="0.25">
      <c r="A18" s="530" t="s">
        <v>634</v>
      </c>
      <c r="F18" s="46">
        <f>(24287-47244-7934)</f>
        <v>-30891</v>
      </c>
      <c r="H18" s="38"/>
    </row>
    <row r="19" spans="1:8" ht="15.75" x14ac:dyDescent="0.25">
      <c r="A19" s="530"/>
      <c r="F19" s="31"/>
      <c r="H19" s="38"/>
    </row>
    <row r="20" spans="1:8" ht="15.75" x14ac:dyDescent="0.25">
      <c r="A20" s="530" t="s">
        <v>635</v>
      </c>
      <c r="F20" s="31">
        <f>(652512-2299904)+(1683462-3383024)</f>
        <v>-3346954</v>
      </c>
      <c r="H20" s="38"/>
    </row>
    <row r="21" spans="1:8" ht="15.75" x14ac:dyDescent="0.25">
      <c r="A21" s="530"/>
      <c r="F21" s="31"/>
      <c r="H21" s="38"/>
    </row>
    <row r="22" spans="1:8" ht="15.75" x14ac:dyDescent="0.25">
      <c r="A22" s="530" t="s">
        <v>636</v>
      </c>
      <c r="F22" s="31">
        <f>(3990897-5344560)+(335827-5722036)</f>
        <v>-6739872</v>
      </c>
      <c r="H22" s="38"/>
    </row>
    <row r="23" spans="1:8" ht="15.75" x14ac:dyDescent="0.25">
      <c r="A23" s="530"/>
      <c r="F23" s="31"/>
      <c r="H23" s="38"/>
    </row>
    <row r="24" spans="1:8" ht="15.75" x14ac:dyDescent="0.25">
      <c r="A24" s="530" t="s">
        <v>637</v>
      </c>
      <c r="F24" s="31">
        <f>2518028</f>
        <v>2518028</v>
      </c>
      <c r="H24" s="38"/>
    </row>
    <row r="25" spans="1:8" ht="15.75" x14ac:dyDescent="0.25">
      <c r="A25" s="530"/>
      <c r="F25" s="31"/>
      <c r="H25" s="38"/>
    </row>
    <row r="26" spans="1:8" ht="15.75" x14ac:dyDescent="0.25">
      <c r="A26" s="530" t="s">
        <v>638</v>
      </c>
      <c r="F26" s="31">
        <f>4955272-116695</f>
        <v>4838577</v>
      </c>
      <c r="H26" s="38"/>
    </row>
    <row r="27" spans="1:8" ht="15.75" x14ac:dyDescent="0.25">
      <c r="A27" s="530"/>
      <c r="F27" s="31"/>
      <c r="H27" s="38"/>
    </row>
    <row r="28" spans="1:8" ht="15.75" x14ac:dyDescent="0.25">
      <c r="A28" s="530" t="s">
        <v>639</v>
      </c>
      <c r="F28" s="31">
        <f>(412-4727)+(5167-21290)</f>
        <v>-20438</v>
      </c>
      <c r="H28" s="38"/>
    </row>
    <row r="29" spans="1:8" ht="15.75" x14ac:dyDescent="0.25">
      <c r="A29" s="530"/>
      <c r="F29" s="31"/>
      <c r="H29" s="38"/>
    </row>
    <row r="30" spans="1:8" ht="15.75" x14ac:dyDescent="0.25">
      <c r="A30" s="530" t="s">
        <v>640</v>
      </c>
      <c r="F30" s="31">
        <v>70</v>
      </c>
      <c r="H30" s="38"/>
    </row>
    <row r="31" spans="1:8" ht="15.75" x14ac:dyDescent="0.25">
      <c r="A31" s="530"/>
      <c r="F31" s="31"/>
      <c r="H31" s="38"/>
    </row>
    <row r="32" spans="1:8" ht="15.75" x14ac:dyDescent="0.25">
      <c r="A32" s="530" t="s">
        <v>673</v>
      </c>
      <c r="F32" s="31">
        <v>-5567308</v>
      </c>
      <c r="H32" s="38"/>
    </row>
    <row r="33" spans="1:8" ht="15.75" x14ac:dyDescent="0.25">
      <c r="A33" s="1"/>
      <c r="F33" s="154"/>
      <c r="H33" s="38"/>
    </row>
    <row r="34" spans="1:8" ht="16.5" thickBot="1" x14ac:dyDescent="0.3">
      <c r="A34" s="530" t="s">
        <v>674</v>
      </c>
      <c r="F34" s="47">
        <f>ROUND(SUM(F18:F32),0)</f>
        <v>-8348788</v>
      </c>
      <c r="H34" s="56"/>
    </row>
    <row r="35" spans="1:8" ht="12.75" thickTop="1" x14ac:dyDescent="0.15">
      <c r="H35" s="148"/>
    </row>
  </sheetData>
  <mergeCells count="4">
    <mergeCell ref="A8:F8"/>
    <mergeCell ref="A11:F11"/>
    <mergeCell ref="A12:F12"/>
    <mergeCell ref="A10:F10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>
    <pageSetUpPr fitToPage="1"/>
  </sheetPr>
  <dimension ref="A3:B34"/>
  <sheetViews>
    <sheetView showGridLines="0" zoomScaleNormal="100" workbookViewId="0">
      <selection activeCell="A15" sqref="A15"/>
    </sheetView>
  </sheetViews>
  <sheetFormatPr defaultColWidth="9.625" defaultRowHeight="15.75" x14ac:dyDescent="0.25"/>
  <cols>
    <col min="1" max="1" width="72.25" style="2" customWidth="1"/>
    <col min="2" max="2" width="14.375" style="2" customWidth="1"/>
    <col min="3" max="251" width="9.625" style="2"/>
    <col min="252" max="252" width="63.625" style="2" customWidth="1"/>
    <col min="253" max="253" width="0" style="2" hidden="1" customWidth="1"/>
    <col min="254" max="254" width="14.375" style="2" customWidth="1"/>
    <col min="255" max="255" width="0" style="2" hidden="1" customWidth="1"/>
    <col min="256" max="507" width="9.625" style="2"/>
    <col min="508" max="508" width="63.625" style="2" customWidth="1"/>
    <col min="509" max="509" width="0" style="2" hidden="1" customWidth="1"/>
    <col min="510" max="510" width="14.375" style="2" customWidth="1"/>
    <col min="511" max="511" width="0" style="2" hidden="1" customWidth="1"/>
    <col min="512" max="763" width="9.625" style="2"/>
    <col min="764" max="764" width="63.625" style="2" customWidth="1"/>
    <col min="765" max="765" width="0" style="2" hidden="1" customWidth="1"/>
    <col min="766" max="766" width="14.375" style="2" customWidth="1"/>
    <col min="767" max="767" width="0" style="2" hidden="1" customWidth="1"/>
    <col min="768" max="1019" width="9.625" style="2"/>
    <col min="1020" max="1020" width="63.625" style="2" customWidth="1"/>
    <col min="1021" max="1021" width="0" style="2" hidden="1" customWidth="1"/>
    <col min="1022" max="1022" width="14.375" style="2" customWidth="1"/>
    <col min="1023" max="1023" width="0" style="2" hidden="1" customWidth="1"/>
    <col min="1024" max="1275" width="9.625" style="2"/>
    <col min="1276" max="1276" width="63.625" style="2" customWidth="1"/>
    <col min="1277" max="1277" width="0" style="2" hidden="1" customWidth="1"/>
    <col min="1278" max="1278" width="14.375" style="2" customWidth="1"/>
    <col min="1279" max="1279" width="0" style="2" hidden="1" customWidth="1"/>
    <col min="1280" max="1531" width="9.625" style="2"/>
    <col min="1532" max="1532" width="63.625" style="2" customWidth="1"/>
    <col min="1533" max="1533" width="0" style="2" hidden="1" customWidth="1"/>
    <col min="1534" max="1534" width="14.375" style="2" customWidth="1"/>
    <col min="1535" max="1535" width="0" style="2" hidden="1" customWidth="1"/>
    <col min="1536" max="1787" width="9.625" style="2"/>
    <col min="1788" max="1788" width="63.625" style="2" customWidth="1"/>
    <col min="1789" max="1789" width="0" style="2" hidden="1" customWidth="1"/>
    <col min="1790" max="1790" width="14.375" style="2" customWidth="1"/>
    <col min="1791" max="1791" width="0" style="2" hidden="1" customWidth="1"/>
    <col min="1792" max="2043" width="9.625" style="2"/>
    <col min="2044" max="2044" width="63.625" style="2" customWidth="1"/>
    <col min="2045" max="2045" width="0" style="2" hidden="1" customWidth="1"/>
    <col min="2046" max="2046" width="14.375" style="2" customWidth="1"/>
    <col min="2047" max="2047" width="0" style="2" hidden="1" customWidth="1"/>
    <col min="2048" max="2299" width="9.625" style="2"/>
    <col min="2300" max="2300" width="63.625" style="2" customWidth="1"/>
    <col min="2301" max="2301" width="0" style="2" hidden="1" customWidth="1"/>
    <col min="2302" max="2302" width="14.375" style="2" customWidth="1"/>
    <col min="2303" max="2303" width="0" style="2" hidden="1" customWidth="1"/>
    <col min="2304" max="2555" width="9.625" style="2"/>
    <col min="2556" max="2556" width="63.625" style="2" customWidth="1"/>
    <col min="2557" max="2557" width="0" style="2" hidden="1" customWidth="1"/>
    <col min="2558" max="2558" width="14.375" style="2" customWidth="1"/>
    <col min="2559" max="2559" width="0" style="2" hidden="1" customWidth="1"/>
    <col min="2560" max="2811" width="9.625" style="2"/>
    <col min="2812" max="2812" width="63.625" style="2" customWidth="1"/>
    <col min="2813" max="2813" width="0" style="2" hidden="1" customWidth="1"/>
    <col min="2814" max="2814" width="14.375" style="2" customWidth="1"/>
    <col min="2815" max="2815" width="0" style="2" hidden="1" customWidth="1"/>
    <col min="2816" max="3067" width="9.625" style="2"/>
    <col min="3068" max="3068" width="63.625" style="2" customWidth="1"/>
    <col min="3069" max="3069" width="0" style="2" hidden="1" customWidth="1"/>
    <col min="3070" max="3070" width="14.375" style="2" customWidth="1"/>
    <col min="3071" max="3071" width="0" style="2" hidden="1" customWidth="1"/>
    <col min="3072" max="3323" width="9.625" style="2"/>
    <col min="3324" max="3324" width="63.625" style="2" customWidth="1"/>
    <col min="3325" max="3325" width="0" style="2" hidden="1" customWidth="1"/>
    <col min="3326" max="3326" width="14.375" style="2" customWidth="1"/>
    <col min="3327" max="3327" width="0" style="2" hidden="1" customWidth="1"/>
    <col min="3328" max="3579" width="9.625" style="2"/>
    <col min="3580" max="3580" width="63.625" style="2" customWidth="1"/>
    <col min="3581" max="3581" width="0" style="2" hidden="1" customWidth="1"/>
    <col min="3582" max="3582" width="14.375" style="2" customWidth="1"/>
    <col min="3583" max="3583" width="0" style="2" hidden="1" customWidth="1"/>
    <col min="3584" max="3835" width="9.625" style="2"/>
    <col min="3836" max="3836" width="63.625" style="2" customWidth="1"/>
    <col min="3837" max="3837" width="0" style="2" hidden="1" customWidth="1"/>
    <col min="3838" max="3838" width="14.375" style="2" customWidth="1"/>
    <col min="3839" max="3839" width="0" style="2" hidden="1" customWidth="1"/>
    <col min="3840" max="4091" width="9.625" style="2"/>
    <col min="4092" max="4092" width="63.625" style="2" customWidth="1"/>
    <col min="4093" max="4093" width="0" style="2" hidden="1" customWidth="1"/>
    <col min="4094" max="4094" width="14.375" style="2" customWidth="1"/>
    <col min="4095" max="4095" width="0" style="2" hidden="1" customWidth="1"/>
    <col min="4096" max="4347" width="9.625" style="2"/>
    <col min="4348" max="4348" width="63.625" style="2" customWidth="1"/>
    <col min="4349" max="4349" width="0" style="2" hidden="1" customWidth="1"/>
    <col min="4350" max="4350" width="14.375" style="2" customWidth="1"/>
    <col min="4351" max="4351" width="0" style="2" hidden="1" customWidth="1"/>
    <col min="4352" max="4603" width="9.625" style="2"/>
    <col min="4604" max="4604" width="63.625" style="2" customWidth="1"/>
    <col min="4605" max="4605" width="0" style="2" hidden="1" customWidth="1"/>
    <col min="4606" max="4606" width="14.375" style="2" customWidth="1"/>
    <col min="4607" max="4607" width="0" style="2" hidden="1" customWidth="1"/>
    <col min="4608" max="4859" width="9.625" style="2"/>
    <col min="4860" max="4860" width="63.625" style="2" customWidth="1"/>
    <col min="4861" max="4861" width="0" style="2" hidden="1" customWidth="1"/>
    <col min="4862" max="4862" width="14.375" style="2" customWidth="1"/>
    <col min="4863" max="4863" width="0" style="2" hidden="1" customWidth="1"/>
    <col min="4864" max="5115" width="9.625" style="2"/>
    <col min="5116" max="5116" width="63.625" style="2" customWidth="1"/>
    <col min="5117" max="5117" width="0" style="2" hidden="1" customWidth="1"/>
    <col min="5118" max="5118" width="14.375" style="2" customWidth="1"/>
    <col min="5119" max="5119" width="0" style="2" hidden="1" customWidth="1"/>
    <col min="5120" max="5371" width="9.625" style="2"/>
    <col min="5372" max="5372" width="63.625" style="2" customWidth="1"/>
    <col min="5373" max="5373" width="0" style="2" hidden="1" customWidth="1"/>
    <col min="5374" max="5374" width="14.375" style="2" customWidth="1"/>
    <col min="5375" max="5375" width="0" style="2" hidden="1" customWidth="1"/>
    <col min="5376" max="5627" width="9.625" style="2"/>
    <col min="5628" max="5628" width="63.625" style="2" customWidth="1"/>
    <col min="5629" max="5629" width="0" style="2" hidden="1" customWidth="1"/>
    <col min="5630" max="5630" width="14.375" style="2" customWidth="1"/>
    <col min="5631" max="5631" width="0" style="2" hidden="1" customWidth="1"/>
    <col min="5632" max="5883" width="9.625" style="2"/>
    <col min="5884" max="5884" width="63.625" style="2" customWidth="1"/>
    <col min="5885" max="5885" width="0" style="2" hidden="1" customWidth="1"/>
    <col min="5886" max="5886" width="14.375" style="2" customWidth="1"/>
    <col min="5887" max="5887" width="0" style="2" hidden="1" customWidth="1"/>
    <col min="5888" max="6139" width="9.625" style="2"/>
    <col min="6140" max="6140" width="63.625" style="2" customWidth="1"/>
    <col min="6141" max="6141" width="0" style="2" hidden="1" customWidth="1"/>
    <col min="6142" max="6142" width="14.375" style="2" customWidth="1"/>
    <col min="6143" max="6143" width="0" style="2" hidden="1" customWidth="1"/>
    <col min="6144" max="6395" width="9.625" style="2"/>
    <col min="6396" max="6396" width="63.625" style="2" customWidth="1"/>
    <col min="6397" max="6397" width="0" style="2" hidden="1" customWidth="1"/>
    <col min="6398" max="6398" width="14.375" style="2" customWidth="1"/>
    <col min="6399" max="6399" width="0" style="2" hidden="1" customWidth="1"/>
    <col min="6400" max="6651" width="9.625" style="2"/>
    <col min="6652" max="6652" width="63.625" style="2" customWidth="1"/>
    <col min="6653" max="6653" width="0" style="2" hidden="1" customWidth="1"/>
    <col min="6654" max="6654" width="14.375" style="2" customWidth="1"/>
    <col min="6655" max="6655" width="0" style="2" hidden="1" customWidth="1"/>
    <col min="6656" max="6907" width="9.625" style="2"/>
    <col min="6908" max="6908" width="63.625" style="2" customWidth="1"/>
    <col min="6909" max="6909" width="0" style="2" hidden="1" customWidth="1"/>
    <col min="6910" max="6910" width="14.375" style="2" customWidth="1"/>
    <col min="6911" max="6911" width="0" style="2" hidden="1" customWidth="1"/>
    <col min="6912" max="7163" width="9.625" style="2"/>
    <col min="7164" max="7164" width="63.625" style="2" customWidth="1"/>
    <col min="7165" max="7165" width="0" style="2" hidden="1" customWidth="1"/>
    <col min="7166" max="7166" width="14.375" style="2" customWidth="1"/>
    <col min="7167" max="7167" width="0" style="2" hidden="1" customWidth="1"/>
    <col min="7168" max="7419" width="9.625" style="2"/>
    <col min="7420" max="7420" width="63.625" style="2" customWidth="1"/>
    <col min="7421" max="7421" width="0" style="2" hidden="1" customWidth="1"/>
    <col min="7422" max="7422" width="14.375" style="2" customWidth="1"/>
    <col min="7423" max="7423" width="0" style="2" hidden="1" customWidth="1"/>
    <col min="7424" max="7675" width="9.625" style="2"/>
    <col min="7676" max="7676" width="63.625" style="2" customWidth="1"/>
    <col min="7677" max="7677" width="0" style="2" hidden="1" customWidth="1"/>
    <col min="7678" max="7678" width="14.375" style="2" customWidth="1"/>
    <col min="7679" max="7679" width="0" style="2" hidden="1" customWidth="1"/>
    <col min="7680" max="7931" width="9.625" style="2"/>
    <col min="7932" max="7932" width="63.625" style="2" customWidth="1"/>
    <col min="7933" max="7933" width="0" style="2" hidden="1" customWidth="1"/>
    <col min="7934" max="7934" width="14.375" style="2" customWidth="1"/>
    <col min="7935" max="7935" width="0" style="2" hidden="1" customWidth="1"/>
    <col min="7936" max="8187" width="9.625" style="2"/>
    <col min="8188" max="8188" width="63.625" style="2" customWidth="1"/>
    <col min="8189" max="8189" width="0" style="2" hidden="1" customWidth="1"/>
    <col min="8190" max="8190" width="14.375" style="2" customWidth="1"/>
    <col min="8191" max="8191" width="0" style="2" hidden="1" customWidth="1"/>
    <col min="8192" max="8443" width="9.625" style="2"/>
    <col min="8444" max="8444" width="63.625" style="2" customWidth="1"/>
    <col min="8445" max="8445" width="0" style="2" hidden="1" customWidth="1"/>
    <col min="8446" max="8446" width="14.375" style="2" customWidth="1"/>
    <col min="8447" max="8447" width="0" style="2" hidden="1" customWidth="1"/>
    <col min="8448" max="8699" width="9.625" style="2"/>
    <col min="8700" max="8700" width="63.625" style="2" customWidth="1"/>
    <col min="8701" max="8701" width="0" style="2" hidden="1" customWidth="1"/>
    <col min="8702" max="8702" width="14.375" style="2" customWidth="1"/>
    <col min="8703" max="8703" width="0" style="2" hidden="1" customWidth="1"/>
    <col min="8704" max="8955" width="9.625" style="2"/>
    <col min="8956" max="8956" width="63.625" style="2" customWidth="1"/>
    <col min="8957" max="8957" width="0" style="2" hidden="1" customWidth="1"/>
    <col min="8958" max="8958" width="14.375" style="2" customWidth="1"/>
    <col min="8959" max="8959" width="0" style="2" hidden="1" customWidth="1"/>
    <col min="8960" max="9211" width="9.625" style="2"/>
    <col min="9212" max="9212" width="63.625" style="2" customWidth="1"/>
    <col min="9213" max="9213" width="0" style="2" hidden="1" customWidth="1"/>
    <col min="9214" max="9214" width="14.375" style="2" customWidth="1"/>
    <col min="9215" max="9215" width="0" style="2" hidden="1" customWidth="1"/>
    <col min="9216" max="9467" width="9.625" style="2"/>
    <col min="9468" max="9468" width="63.625" style="2" customWidth="1"/>
    <col min="9469" max="9469" width="0" style="2" hidden="1" customWidth="1"/>
    <col min="9470" max="9470" width="14.375" style="2" customWidth="1"/>
    <col min="9471" max="9471" width="0" style="2" hidden="1" customWidth="1"/>
    <col min="9472" max="9723" width="9.625" style="2"/>
    <col min="9724" max="9724" width="63.625" style="2" customWidth="1"/>
    <col min="9725" max="9725" width="0" style="2" hidden="1" customWidth="1"/>
    <col min="9726" max="9726" width="14.375" style="2" customWidth="1"/>
    <col min="9727" max="9727" width="0" style="2" hidden="1" customWidth="1"/>
    <col min="9728" max="9979" width="9.625" style="2"/>
    <col min="9980" max="9980" width="63.625" style="2" customWidth="1"/>
    <col min="9981" max="9981" width="0" style="2" hidden="1" customWidth="1"/>
    <col min="9982" max="9982" width="14.375" style="2" customWidth="1"/>
    <col min="9983" max="9983" width="0" style="2" hidden="1" customWidth="1"/>
    <col min="9984" max="10235" width="9.625" style="2"/>
    <col min="10236" max="10236" width="63.625" style="2" customWidth="1"/>
    <col min="10237" max="10237" width="0" style="2" hidden="1" customWidth="1"/>
    <col min="10238" max="10238" width="14.375" style="2" customWidth="1"/>
    <col min="10239" max="10239" width="0" style="2" hidden="1" customWidth="1"/>
    <col min="10240" max="10491" width="9.625" style="2"/>
    <col min="10492" max="10492" width="63.625" style="2" customWidth="1"/>
    <col min="10493" max="10493" width="0" style="2" hidden="1" customWidth="1"/>
    <col min="10494" max="10494" width="14.375" style="2" customWidth="1"/>
    <col min="10495" max="10495" width="0" style="2" hidden="1" customWidth="1"/>
    <col min="10496" max="10747" width="9.625" style="2"/>
    <col min="10748" max="10748" width="63.625" style="2" customWidth="1"/>
    <col min="10749" max="10749" width="0" style="2" hidden="1" customWidth="1"/>
    <col min="10750" max="10750" width="14.375" style="2" customWidth="1"/>
    <col min="10751" max="10751" width="0" style="2" hidden="1" customWidth="1"/>
    <col min="10752" max="11003" width="9.625" style="2"/>
    <col min="11004" max="11004" width="63.625" style="2" customWidth="1"/>
    <col min="11005" max="11005" width="0" style="2" hidden="1" customWidth="1"/>
    <col min="11006" max="11006" width="14.375" style="2" customWidth="1"/>
    <col min="11007" max="11007" width="0" style="2" hidden="1" customWidth="1"/>
    <col min="11008" max="11259" width="9.625" style="2"/>
    <col min="11260" max="11260" width="63.625" style="2" customWidth="1"/>
    <col min="11261" max="11261" width="0" style="2" hidden="1" customWidth="1"/>
    <col min="11262" max="11262" width="14.375" style="2" customWidth="1"/>
    <col min="11263" max="11263" width="0" style="2" hidden="1" customWidth="1"/>
    <col min="11264" max="11515" width="9.625" style="2"/>
    <col min="11516" max="11516" width="63.625" style="2" customWidth="1"/>
    <col min="11517" max="11517" width="0" style="2" hidden="1" customWidth="1"/>
    <col min="11518" max="11518" width="14.375" style="2" customWidth="1"/>
    <col min="11519" max="11519" width="0" style="2" hidden="1" customWidth="1"/>
    <col min="11520" max="11771" width="9.625" style="2"/>
    <col min="11772" max="11772" width="63.625" style="2" customWidth="1"/>
    <col min="11773" max="11773" width="0" style="2" hidden="1" customWidth="1"/>
    <col min="11774" max="11774" width="14.375" style="2" customWidth="1"/>
    <col min="11775" max="11775" width="0" style="2" hidden="1" customWidth="1"/>
    <col min="11776" max="12027" width="9.625" style="2"/>
    <col min="12028" max="12028" width="63.625" style="2" customWidth="1"/>
    <col min="12029" max="12029" width="0" style="2" hidden="1" customWidth="1"/>
    <col min="12030" max="12030" width="14.375" style="2" customWidth="1"/>
    <col min="12031" max="12031" width="0" style="2" hidden="1" customWidth="1"/>
    <col min="12032" max="12283" width="9.625" style="2"/>
    <col min="12284" max="12284" width="63.625" style="2" customWidth="1"/>
    <col min="12285" max="12285" width="0" style="2" hidden="1" customWidth="1"/>
    <col min="12286" max="12286" width="14.375" style="2" customWidth="1"/>
    <col min="12287" max="12287" width="0" style="2" hidden="1" customWidth="1"/>
    <col min="12288" max="12539" width="9.625" style="2"/>
    <col min="12540" max="12540" width="63.625" style="2" customWidth="1"/>
    <col min="12541" max="12541" width="0" style="2" hidden="1" customWidth="1"/>
    <col min="12542" max="12542" width="14.375" style="2" customWidth="1"/>
    <col min="12543" max="12543" width="0" style="2" hidden="1" customWidth="1"/>
    <col min="12544" max="12795" width="9.625" style="2"/>
    <col min="12796" max="12796" width="63.625" style="2" customWidth="1"/>
    <col min="12797" max="12797" width="0" style="2" hidden="1" customWidth="1"/>
    <col min="12798" max="12798" width="14.375" style="2" customWidth="1"/>
    <col min="12799" max="12799" width="0" style="2" hidden="1" customWidth="1"/>
    <col min="12800" max="13051" width="9.625" style="2"/>
    <col min="13052" max="13052" width="63.625" style="2" customWidth="1"/>
    <col min="13053" max="13053" width="0" style="2" hidden="1" customWidth="1"/>
    <col min="13054" max="13054" width="14.375" style="2" customWidth="1"/>
    <col min="13055" max="13055" width="0" style="2" hidden="1" customWidth="1"/>
    <col min="13056" max="13307" width="9.625" style="2"/>
    <col min="13308" max="13308" width="63.625" style="2" customWidth="1"/>
    <col min="13309" max="13309" width="0" style="2" hidden="1" customWidth="1"/>
    <col min="13310" max="13310" width="14.375" style="2" customWidth="1"/>
    <col min="13311" max="13311" width="0" style="2" hidden="1" customWidth="1"/>
    <col min="13312" max="13563" width="9.625" style="2"/>
    <col min="13564" max="13564" width="63.625" style="2" customWidth="1"/>
    <col min="13565" max="13565" width="0" style="2" hidden="1" customWidth="1"/>
    <col min="13566" max="13566" width="14.375" style="2" customWidth="1"/>
    <col min="13567" max="13567" width="0" style="2" hidden="1" customWidth="1"/>
    <col min="13568" max="13819" width="9.625" style="2"/>
    <col min="13820" max="13820" width="63.625" style="2" customWidth="1"/>
    <col min="13821" max="13821" width="0" style="2" hidden="1" customWidth="1"/>
    <col min="13822" max="13822" width="14.375" style="2" customWidth="1"/>
    <col min="13823" max="13823" width="0" style="2" hidden="1" customWidth="1"/>
    <col min="13824" max="14075" width="9.625" style="2"/>
    <col min="14076" max="14076" width="63.625" style="2" customWidth="1"/>
    <col min="14077" max="14077" width="0" style="2" hidden="1" customWidth="1"/>
    <col min="14078" max="14078" width="14.375" style="2" customWidth="1"/>
    <col min="14079" max="14079" width="0" style="2" hidden="1" customWidth="1"/>
    <col min="14080" max="14331" width="9.625" style="2"/>
    <col min="14332" max="14332" width="63.625" style="2" customWidth="1"/>
    <col min="14333" max="14333" width="0" style="2" hidden="1" customWidth="1"/>
    <col min="14334" max="14334" width="14.375" style="2" customWidth="1"/>
    <col min="14335" max="14335" width="0" style="2" hidden="1" customWidth="1"/>
    <col min="14336" max="14587" width="9.625" style="2"/>
    <col min="14588" max="14588" width="63.625" style="2" customWidth="1"/>
    <col min="14589" max="14589" width="0" style="2" hidden="1" customWidth="1"/>
    <col min="14590" max="14590" width="14.375" style="2" customWidth="1"/>
    <col min="14591" max="14591" width="0" style="2" hidden="1" customWidth="1"/>
    <col min="14592" max="14843" width="9.625" style="2"/>
    <col min="14844" max="14844" width="63.625" style="2" customWidth="1"/>
    <col min="14845" max="14845" width="0" style="2" hidden="1" customWidth="1"/>
    <col min="14846" max="14846" width="14.375" style="2" customWidth="1"/>
    <col min="14847" max="14847" width="0" style="2" hidden="1" customWidth="1"/>
    <col min="14848" max="15099" width="9.625" style="2"/>
    <col min="15100" max="15100" width="63.625" style="2" customWidth="1"/>
    <col min="15101" max="15101" width="0" style="2" hidden="1" customWidth="1"/>
    <col min="15102" max="15102" width="14.375" style="2" customWidth="1"/>
    <col min="15103" max="15103" width="0" style="2" hidden="1" customWidth="1"/>
    <col min="15104" max="15355" width="9.625" style="2"/>
    <col min="15356" max="15356" width="63.625" style="2" customWidth="1"/>
    <col min="15357" max="15357" width="0" style="2" hidden="1" customWidth="1"/>
    <col min="15358" max="15358" width="14.375" style="2" customWidth="1"/>
    <col min="15359" max="15359" width="0" style="2" hidden="1" customWidth="1"/>
    <col min="15360" max="15611" width="9.625" style="2"/>
    <col min="15612" max="15612" width="63.625" style="2" customWidth="1"/>
    <col min="15613" max="15613" width="0" style="2" hidden="1" customWidth="1"/>
    <col min="15614" max="15614" width="14.375" style="2" customWidth="1"/>
    <col min="15615" max="15615" width="0" style="2" hidden="1" customWidth="1"/>
    <col min="15616" max="15867" width="9.625" style="2"/>
    <col min="15868" max="15868" width="63.625" style="2" customWidth="1"/>
    <col min="15869" max="15869" width="0" style="2" hidden="1" customWidth="1"/>
    <col min="15870" max="15870" width="14.375" style="2" customWidth="1"/>
    <col min="15871" max="15871" width="0" style="2" hidden="1" customWidth="1"/>
    <col min="15872" max="16123" width="9.625" style="2"/>
    <col min="16124" max="16124" width="63.625" style="2" customWidth="1"/>
    <col min="16125" max="16125" width="0" style="2" hidden="1" customWidth="1"/>
    <col min="16126" max="16126" width="14.375" style="2" customWidth="1"/>
    <col min="16127" max="16127" width="0" style="2" hidden="1" customWidth="1"/>
    <col min="16128" max="16384" width="9.625" style="2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"&amp;Inputs!$A28&amp;""</f>
        <v>Reference Schedule 1.12</v>
      </c>
    </row>
    <row r="5" spans="1:2" x14ac:dyDescent="0.25">
      <c r="B5" s="529" t="str">
        <f>"Sponsoring Witness: "&amp;Inputs!$B28&amp;""</f>
        <v>Sponsoring Witness: Charnas</v>
      </c>
    </row>
    <row r="8" spans="1:2" x14ac:dyDescent="0.25">
      <c r="A8" s="800" t="s">
        <v>230</v>
      </c>
      <c r="B8" s="800"/>
    </row>
    <row r="9" spans="1:2" x14ac:dyDescent="0.25">
      <c r="A9" s="497"/>
    </row>
    <row r="10" spans="1:2" x14ac:dyDescent="0.25">
      <c r="A10" s="498"/>
    </row>
    <row r="11" spans="1:2" x14ac:dyDescent="0.25">
      <c r="A11" s="808" t="s">
        <v>384</v>
      </c>
      <c r="B11" s="807"/>
    </row>
    <row r="12" spans="1:2" x14ac:dyDescent="0.25">
      <c r="A12" s="801" t="s">
        <v>732</v>
      </c>
      <c r="B12" s="800"/>
    </row>
    <row r="13" spans="1:2" x14ac:dyDescent="0.25">
      <c r="A13" s="526"/>
    </row>
    <row r="15" spans="1:2" s="229" customFormat="1" x14ac:dyDescent="0.25">
      <c r="A15" s="663" t="s">
        <v>612</v>
      </c>
      <c r="B15" s="350">
        <v>144441326</v>
      </c>
    </row>
    <row r="16" spans="1:2" s="229" customFormat="1" x14ac:dyDescent="0.25">
      <c r="A16" s="663"/>
      <c r="B16" s="664"/>
    </row>
    <row r="17" spans="1:2" s="229" customFormat="1" x14ac:dyDescent="0.25">
      <c r="A17" s="663" t="s">
        <v>613</v>
      </c>
      <c r="B17" s="51">
        <v>45422676</v>
      </c>
    </row>
    <row r="18" spans="1:2" s="229" customFormat="1" x14ac:dyDescent="0.25">
      <c r="A18" s="663"/>
      <c r="B18" s="664"/>
    </row>
    <row r="19" spans="1:2" s="229" customFormat="1" ht="16.5" thickBot="1" x14ac:dyDescent="0.3">
      <c r="A19" s="663" t="s">
        <v>657</v>
      </c>
      <c r="B19" s="665">
        <f>SUM(B15:B17)</f>
        <v>189864002</v>
      </c>
    </row>
    <row r="20" spans="1:2" s="229" customFormat="1" ht="16.5" thickTop="1" x14ac:dyDescent="0.25">
      <c r="A20" s="663"/>
      <c r="B20" s="664"/>
    </row>
    <row r="21" spans="1:2" s="229" customFormat="1" x14ac:dyDescent="0.25">
      <c r="A21" s="663" t="s">
        <v>658</v>
      </c>
      <c r="B21" s="350">
        <f>ROUND((181609847.79+3077745.77+7505149.44),0)</f>
        <v>192192743</v>
      </c>
    </row>
    <row r="22" spans="1:2" s="229" customFormat="1" x14ac:dyDescent="0.25">
      <c r="A22" s="663" t="s">
        <v>659</v>
      </c>
      <c r="B22" s="666">
        <f>-ROUND(3077745.77,0)</f>
        <v>-3077746</v>
      </c>
    </row>
    <row r="23" spans="1:2" s="229" customFormat="1" x14ac:dyDescent="0.25">
      <c r="A23" s="663" t="s">
        <v>660</v>
      </c>
      <c r="B23" s="667">
        <v>-67949</v>
      </c>
    </row>
    <row r="24" spans="1:2" s="229" customFormat="1" ht="30" customHeight="1" thickBot="1" x14ac:dyDescent="0.3">
      <c r="A24" s="663" t="s">
        <v>661</v>
      </c>
      <c r="B24" s="665">
        <f>SUM(B21:B23)</f>
        <v>189047048</v>
      </c>
    </row>
    <row r="25" spans="1:2" s="229" customFormat="1" ht="16.5" thickTop="1" x14ac:dyDescent="0.25">
      <c r="A25" s="663"/>
      <c r="B25" s="668"/>
    </row>
    <row r="26" spans="1:2" s="229" customFormat="1" x14ac:dyDescent="0.25">
      <c r="A26" s="663" t="s">
        <v>662</v>
      </c>
    </row>
    <row r="27" spans="1:2" s="229" customFormat="1" x14ac:dyDescent="0.25">
      <c r="A27" s="663" t="s">
        <v>663</v>
      </c>
      <c r="B27" s="350">
        <f>B19-B24</f>
        <v>816954</v>
      </c>
    </row>
    <row r="28" spans="1:2" s="229" customFormat="1" x14ac:dyDescent="0.25">
      <c r="B28" s="235"/>
    </row>
    <row r="29" spans="1:2" s="229" customFormat="1" x14ac:dyDescent="0.25">
      <c r="A29" s="663" t="s">
        <v>664</v>
      </c>
      <c r="B29" s="669">
        <f>Allocators!C24</f>
        <v>0.87256545893618886</v>
      </c>
    </row>
    <row r="30" spans="1:2" s="229" customFormat="1" x14ac:dyDescent="0.25">
      <c r="A30" s="242"/>
    </row>
    <row r="31" spans="1:2" s="229" customFormat="1" ht="16.5" thickBot="1" x14ac:dyDescent="0.3">
      <c r="A31" s="663" t="s">
        <v>665</v>
      </c>
      <c r="B31" s="665">
        <f>ROUND(+B27*B29,0)</f>
        <v>712846</v>
      </c>
    </row>
    <row r="32" spans="1:2" s="229" customFormat="1" ht="16.5" thickTop="1" x14ac:dyDescent="0.25"/>
    <row r="33" spans="1:1" s="229" customFormat="1" x14ac:dyDescent="0.25">
      <c r="A33" s="229" t="s">
        <v>614</v>
      </c>
    </row>
    <row r="34" spans="1:1" s="229" customFormat="1" x14ac:dyDescent="0.25">
      <c r="A34" s="229" t="s">
        <v>615</v>
      </c>
    </row>
  </sheetData>
  <mergeCells count="3">
    <mergeCell ref="A8:B8"/>
    <mergeCell ref="A11:B11"/>
    <mergeCell ref="A12:B12"/>
  </mergeCells>
  <printOptions horizontalCentered="1" gridLinesSet="0"/>
  <pageMargins left="1" right="0.5" top="1" bottom="0.5" header="0.5" footer="0.5"/>
  <pageSetup scale="9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R148"/>
  <sheetViews>
    <sheetView showGridLines="0" zoomScaleNormal="100" zoomScaleSheetLayoutView="85" workbookViewId="0">
      <selection activeCell="H25" sqref="H25"/>
    </sheetView>
  </sheetViews>
  <sheetFormatPr defaultColWidth="10.875" defaultRowHeight="15.75" x14ac:dyDescent="0.25"/>
  <cols>
    <col min="1" max="1" width="1.75" style="439" customWidth="1"/>
    <col min="2" max="2" width="3.125" style="452" bestFit="1" customWidth="1"/>
    <col min="3" max="3" width="37.75" style="439" customWidth="1"/>
    <col min="4" max="4" width="17.75" style="439" customWidth="1"/>
    <col min="5" max="5" width="23.875" style="439" customWidth="1"/>
    <col min="6" max="6" width="15.125" style="439" customWidth="1"/>
    <col min="7" max="7" width="15.625" style="439" customWidth="1"/>
    <col min="8" max="8" width="14.75" style="439" customWidth="1"/>
    <col min="9" max="9" width="2.375" style="568" customWidth="1"/>
    <col min="10" max="10" width="15.875" style="600" customWidth="1"/>
    <col min="11" max="11" width="14.75" style="439" customWidth="1"/>
    <col min="12" max="13" width="10.875" style="439"/>
    <col min="14" max="14" width="11.875" style="439" bestFit="1" customWidth="1"/>
    <col min="15" max="16384" width="10.875" style="439"/>
  </cols>
  <sheetData>
    <row r="1" spans="1:10" x14ac:dyDescent="0.25">
      <c r="A1" s="566"/>
      <c r="C1" s="566"/>
      <c r="D1" s="566"/>
      <c r="E1" s="566"/>
      <c r="F1" s="566"/>
      <c r="G1" s="566"/>
      <c r="H1" s="566"/>
      <c r="I1" s="567"/>
      <c r="J1" s="439"/>
    </row>
    <row r="2" spans="1:10" x14ac:dyDescent="0.25">
      <c r="A2" s="452"/>
      <c r="J2" s="439"/>
    </row>
    <row r="3" spans="1:10" x14ac:dyDescent="0.25">
      <c r="H3" s="275" t="str">
        <f>'Ex 1'!$K$1</f>
        <v>Revised Exhibit 1</v>
      </c>
      <c r="I3" s="569"/>
      <c r="J3" s="439"/>
    </row>
    <row r="4" spans="1:10" x14ac:dyDescent="0.25">
      <c r="H4" s="30" t="str">
        <f>"Reference Schedule "&amp;Inputs!$A29&amp;""</f>
        <v>Reference Schedule 1.13</v>
      </c>
      <c r="I4" s="571"/>
      <c r="J4" s="439"/>
    </row>
    <row r="5" spans="1:10" x14ac:dyDescent="0.25">
      <c r="H5" s="529" t="str">
        <f>"Sponsoring Witness: "&amp;Inputs!$B29&amp;""</f>
        <v>Sponsoring Witness: Scott</v>
      </c>
      <c r="I5" s="571"/>
      <c r="J5" s="439"/>
    </row>
    <row r="6" spans="1:10" x14ac:dyDescent="0.25">
      <c r="H6" s="570" t="s">
        <v>358</v>
      </c>
      <c r="J6" s="439"/>
    </row>
    <row r="7" spans="1:10" x14ac:dyDescent="0.25">
      <c r="J7" s="439"/>
    </row>
    <row r="8" spans="1:10" x14ac:dyDescent="0.25">
      <c r="J8" s="439"/>
    </row>
    <row r="9" spans="1:10" x14ac:dyDescent="0.25">
      <c r="A9" s="818" t="s">
        <v>230</v>
      </c>
      <c r="B9" s="818"/>
      <c r="C9" s="818"/>
      <c r="D9" s="818"/>
      <c r="E9" s="818"/>
      <c r="F9" s="818"/>
      <c r="G9" s="818"/>
      <c r="H9" s="818"/>
      <c r="I9" s="575"/>
      <c r="J9" s="439"/>
    </row>
    <row r="10" spans="1:10" x14ac:dyDescent="0.25">
      <c r="A10" s="574"/>
      <c r="D10" s="574"/>
      <c r="E10" s="574"/>
      <c r="F10" s="574"/>
      <c r="G10" s="574"/>
      <c r="H10" s="574"/>
      <c r="I10" s="575"/>
      <c r="J10" s="439"/>
    </row>
    <row r="11" spans="1:10" x14ac:dyDescent="0.25">
      <c r="A11" s="574"/>
      <c r="D11" s="574"/>
      <c r="E11" s="574"/>
      <c r="F11" s="574"/>
      <c r="G11" s="574"/>
      <c r="H11" s="574"/>
      <c r="I11" s="575"/>
      <c r="J11" s="439"/>
    </row>
    <row r="12" spans="1:10" x14ac:dyDescent="0.25">
      <c r="A12" s="820" t="s">
        <v>359</v>
      </c>
      <c r="B12" s="820"/>
      <c r="C12" s="820"/>
      <c r="D12" s="820"/>
      <c r="E12" s="820"/>
      <c r="F12" s="820"/>
      <c r="G12" s="820"/>
      <c r="H12" s="820"/>
      <c r="I12" s="575"/>
      <c r="J12" s="439"/>
    </row>
    <row r="13" spans="1:10" x14ac:dyDescent="0.25">
      <c r="A13" s="818" t="str">
        <f>"As Applied to the Twelve Months Ended "&amp;Inputs!B3&amp;""</f>
        <v>As Applied to the Twelve Months Ended March 31, 2012</v>
      </c>
      <c r="B13" s="818"/>
      <c r="C13" s="818"/>
      <c r="D13" s="818"/>
      <c r="E13" s="818"/>
      <c r="F13" s="818"/>
      <c r="G13" s="818"/>
      <c r="H13" s="818"/>
      <c r="I13" s="576"/>
      <c r="J13" s="439"/>
    </row>
    <row r="14" spans="1:10" x14ac:dyDescent="0.25">
      <c r="C14" s="577"/>
      <c r="J14" s="439"/>
    </row>
    <row r="15" spans="1:10" x14ac:dyDescent="0.25">
      <c r="J15" s="439"/>
    </row>
    <row r="16" spans="1:10" x14ac:dyDescent="0.25">
      <c r="J16" s="439"/>
    </row>
    <row r="17" spans="2:10" x14ac:dyDescent="0.25">
      <c r="F17" s="578"/>
      <c r="G17" s="578"/>
      <c r="H17" s="579"/>
      <c r="I17" s="578"/>
      <c r="J17" s="439"/>
    </row>
    <row r="18" spans="2:10" ht="18" x14ac:dyDescent="0.4">
      <c r="F18" s="580"/>
      <c r="G18" s="580"/>
      <c r="H18" s="581"/>
      <c r="I18" s="580"/>
      <c r="J18" s="439"/>
    </row>
    <row r="19" spans="2:10" x14ac:dyDescent="0.25">
      <c r="F19" s="582"/>
      <c r="G19" s="582"/>
      <c r="H19" s="577"/>
      <c r="I19" s="582"/>
      <c r="J19" s="439"/>
    </row>
    <row r="20" spans="2:10" x14ac:dyDescent="0.25">
      <c r="F20" s="568"/>
      <c r="G20" s="568"/>
      <c r="J20" s="439"/>
    </row>
    <row r="21" spans="2:10" x14ac:dyDescent="0.25">
      <c r="B21" s="452">
        <v>1</v>
      </c>
      <c r="C21" s="439" t="s">
        <v>364</v>
      </c>
      <c r="F21" s="583"/>
      <c r="G21" s="583"/>
      <c r="H21" s="584">
        <f>H87</f>
        <v>2921352</v>
      </c>
      <c r="I21" s="583"/>
      <c r="J21" s="426"/>
    </row>
    <row r="22" spans="2:10" x14ac:dyDescent="0.25">
      <c r="B22" s="452">
        <v>2</v>
      </c>
      <c r="C22" s="439" t="s">
        <v>365</v>
      </c>
      <c r="F22" s="568"/>
      <c r="G22" s="568"/>
      <c r="H22" s="585">
        <f>H113</f>
        <v>208708</v>
      </c>
      <c r="I22" s="586"/>
      <c r="J22" s="586"/>
    </row>
    <row r="23" spans="2:10" x14ac:dyDescent="0.25">
      <c r="B23" s="452">
        <v>3</v>
      </c>
      <c r="C23" s="439" t="s">
        <v>366</v>
      </c>
      <c r="F23" s="568"/>
      <c r="G23" s="568"/>
      <c r="H23" s="587">
        <f>H144</f>
        <v>112034</v>
      </c>
      <c r="I23" s="586"/>
      <c r="J23" s="586"/>
    </row>
    <row r="24" spans="2:10" ht="21.75" customHeight="1" x14ac:dyDescent="0.25">
      <c r="B24" s="452">
        <v>4</v>
      </c>
      <c r="C24" s="439" t="s">
        <v>151</v>
      </c>
      <c r="F24" s="583"/>
      <c r="G24" s="583"/>
      <c r="H24" s="584">
        <f>ROUND(SUM(H21:H23),0)</f>
        <v>3242094</v>
      </c>
      <c r="I24" s="583"/>
      <c r="J24" s="423"/>
    </row>
    <row r="25" spans="2:10" x14ac:dyDescent="0.25">
      <c r="B25" s="452">
        <v>5</v>
      </c>
      <c r="C25" s="439" t="s">
        <v>392</v>
      </c>
      <c r="F25" s="568"/>
      <c r="H25" s="120">
        <f>Allocators!C27</f>
        <v>0.88937999999999995</v>
      </c>
      <c r="I25" s="588"/>
      <c r="J25" s="261"/>
    </row>
    <row r="26" spans="2:10" ht="23.25" customHeight="1" thickBot="1" x14ac:dyDescent="0.3">
      <c r="B26" s="452">
        <v>6</v>
      </c>
      <c r="C26" s="439" t="s">
        <v>93</v>
      </c>
      <c r="H26" s="589">
        <f>ROUND(+H24*H25,0)</f>
        <v>2883454</v>
      </c>
      <c r="J26" s="426"/>
    </row>
    <row r="27" spans="2:10" ht="16.5" thickTop="1" x14ac:dyDescent="0.25">
      <c r="C27" s="588"/>
      <c r="D27" s="568"/>
      <c r="E27" s="568"/>
      <c r="F27" s="568"/>
      <c r="G27" s="568"/>
      <c r="H27" s="426"/>
      <c r="J27" s="439"/>
    </row>
    <row r="28" spans="2:10" x14ac:dyDescent="0.25">
      <c r="C28" s="588"/>
      <c r="D28" s="568"/>
      <c r="E28" s="568"/>
      <c r="F28" s="568"/>
      <c r="G28" s="568"/>
      <c r="H28" s="423"/>
      <c r="J28" s="439"/>
    </row>
    <row r="29" spans="2:10" x14ac:dyDescent="0.25">
      <c r="C29" s="588"/>
      <c r="D29" s="568"/>
      <c r="E29" s="568"/>
      <c r="F29" s="568"/>
      <c r="G29" s="568"/>
      <c r="H29" s="423"/>
      <c r="J29" s="439"/>
    </row>
    <row r="30" spans="2:10" x14ac:dyDescent="0.25">
      <c r="C30" s="588"/>
      <c r="D30" s="568"/>
      <c r="E30" s="568"/>
      <c r="F30" s="568"/>
      <c r="G30" s="568"/>
      <c r="H30" s="426"/>
      <c r="J30" s="439"/>
    </row>
    <row r="31" spans="2:10" x14ac:dyDescent="0.25">
      <c r="C31" s="588"/>
      <c r="D31" s="568"/>
      <c r="E31" s="568"/>
      <c r="F31" s="568"/>
      <c r="G31" s="568"/>
      <c r="H31" s="590"/>
      <c r="J31" s="439"/>
    </row>
    <row r="32" spans="2:10" x14ac:dyDescent="0.25">
      <c r="C32" s="588"/>
      <c r="D32" s="568"/>
      <c r="E32" s="568"/>
      <c r="F32" s="568"/>
      <c r="G32" s="568"/>
      <c r="H32" s="426"/>
      <c r="J32" s="439"/>
    </row>
    <row r="33" spans="1:11" x14ac:dyDescent="0.25">
      <c r="C33" s="588"/>
      <c r="D33" s="568"/>
      <c r="E33" s="568"/>
      <c r="F33" s="568"/>
      <c r="G33" s="568"/>
      <c r="H33" s="426"/>
      <c r="J33" s="439"/>
    </row>
    <row r="34" spans="1:11" x14ac:dyDescent="0.25">
      <c r="C34" s="588"/>
      <c r="D34" s="568"/>
      <c r="E34" s="568"/>
      <c r="F34" s="568"/>
      <c r="G34" s="568"/>
      <c r="H34" s="426"/>
      <c r="J34" s="439"/>
    </row>
    <row r="35" spans="1:11" x14ac:dyDescent="0.25">
      <c r="C35" s="452"/>
      <c r="H35" s="426"/>
      <c r="J35" s="439"/>
    </row>
    <row r="36" spans="1:11" x14ac:dyDescent="0.25">
      <c r="C36" s="452"/>
      <c r="H36" s="426"/>
      <c r="J36" s="439"/>
    </row>
    <row r="37" spans="1:11" x14ac:dyDescent="0.25">
      <c r="C37" s="452"/>
      <c r="H37" s="426"/>
      <c r="J37" s="439"/>
    </row>
    <row r="38" spans="1:11" x14ac:dyDescent="0.25">
      <c r="C38" s="452"/>
      <c r="H38" s="426"/>
      <c r="J38" s="439"/>
    </row>
    <row r="39" spans="1:11" x14ac:dyDescent="0.25">
      <c r="J39" s="439"/>
    </row>
    <row r="40" spans="1:11" x14ac:dyDescent="0.25">
      <c r="A40" s="452"/>
      <c r="J40" s="439"/>
    </row>
    <row r="41" spans="1:11" x14ac:dyDescent="0.25">
      <c r="H41" s="570" t="str">
        <f>H3</f>
        <v>Revised Exhibit 1</v>
      </c>
      <c r="I41" s="569"/>
      <c r="J41" s="439"/>
      <c r="K41" s="570"/>
    </row>
    <row r="42" spans="1:11" x14ac:dyDescent="0.25">
      <c r="H42" s="570" t="str">
        <f>H4</f>
        <v>Reference Schedule 1.13</v>
      </c>
      <c r="I42" s="571"/>
      <c r="J42" s="439"/>
      <c r="K42" s="570"/>
    </row>
    <row r="43" spans="1:11" x14ac:dyDescent="0.25">
      <c r="A43" s="452"/>
      <c r="H43" s="570" t="str">
        <f>H5</f>
        <v>Sponsoring Witness: Scott</v>
      </c>
      <c r="I43" s="571"/>
      <c r="J43" s="439"/>
      <c r="K43" s="570"/>
    </row>
    <row r="44" spans="1:11" x14ac:dyDescent="0.25">
      <c r="H44" s="570" t="s">
        <v>196</v>
      </c>
      <c r="J44" s="439"/>
      <c r="K44" s="570"/>
    </row>
    <row r="45" spans="1:11" x14ac:dyDescent="0.25">
      <c r="H45" s="570"/>
      <c r="J45" s="439"/>
      <c r="K45" s="570"/>
    </row>
    <row r="46" spans="1:11" x14ac:dyDescent="0.25">
      <c r="H46" s="572"/>
      <c r="J46" s="439"/>
    </row>
    <row r="47" spans="1:11" x14ac:dyDescent="0.25">
      <c r="A47" s="818" t="str">
        <f>A9</f>
        <v>KENTUCKY UTILITIES</v>
      </c>
      <c r="B47" s="818"/>
      <c r="C47" s="818"/>
      <c r="D47" s="818"/>
      <c r="E47" s="818"/>
      <c r="F47" s="818"/>
      <c r="G47" s="818"/>
      <c r="H47" s="818"/>
      <c r="I47" s="592"/>
      <c r="J47" s="439"/>
    </row>
    <row r="48" spans="1:11" x14ac:dyDescent="0.25">
      <c r="A48" s="591"/>
      <c r="D48" s="591"/>
      <c r="E48" s="591"/>
      <c r="F48" s="591"/>
      <c r="G48" s="591"/>
      <c r="H48" s="591"/>
      <c r="I48" s="592"/>
      <c r="J48" s="439"/>
    </row>
    <row r="49" spans="1:12" x14ac:dyDescent="0.25">
      <c r="A49" s="574"/>
      <c r="D49" s="591"/>
      <c r="E49" s="591"/>
      <c r="F49" s="591"/>
      <c r="G49" s="591"/>
      <c r="H49" s="591"/>
      <c r="I49" s="592"/>
      <c r="J49" s="439"/>
    </row>
    <row r="50" spans="1:12" x14ac:dyDescent="0.25">
      <c r="A50" s="820" t="str">
        <f>A12</f>
        <v>Adjustment to Reflect Increases in Labor and Labor-Related Costs</v>
      </c>
      <c r="B50" s="820"/>
      <c r="C50" s="820"/>
      <c r="D50" s="820"/>
      <c r="E50" s="820"/>
      <c r="F50" s="820"/>
      <c r="G50" s="820"/>
      <c r="H50" s="820"/>
      <c r="I50" s="592"/>
      <c r="J50" s="439"/>
    </row>
    <row r="51" spans="1:12" x14ac:dyDescent="0.25">
      <c r="A51" s="818" t="str">
        <f>A13</f>
        <v>As Applied to the Twelve Months Ended March 31, 2012</v>
      </c>
      <c r="B51" s="818"/>
      <c r="C51" s="818"/>
      <c r="D51" s="818"/>
      <c r="E51" s="818"/>
      <c r="F51" s="818"/>
      <c r="G51" s="818"/>
      <c r="H51" s="818"/>
      <c r="I51" s="592"/>
      <c r="J51" s="439"/>
    </row>
    <row r="52" spans="1:12" x14ac:dyDescent="0.25">
      <c r="C52" s="573"/>
      <c r="D52" s="591"/>
      <c r="E52" s="591"/>
      <c r="F52" s="591"/>
      <c r="G52" s="591"/>
      <c r="H52" s="591"/>
      <c r="I52" s="592"/>
      <c r="J52" s="439"/>
    </row>
    <row r="53" spans="1:12" x14ac:dyDescent="0.25">
      <c r="J53" s="439"/>
    </row>
    <row r="54" spans="1:12" s="670" customFormat="1" ht="34.5" hidden="1" x14ac:dyDescent="0.25">
      <c r="B54" s="638"/>
      <c r="F54" s="671" t="s">
        <v>434</v>
      </c>
      <c r="G54" s="671" t="s">
        <v>435</v>
      </c>
      <c r="I54" s="543"/>
      <c r="J54" s="672"/>
    </row>
    <row r="55" spans="1:12" s="670" customFormat="1" x14ac:dyDescent="0.25">
      <c r="B55" s="638"/>
      <c r="F55" s="671"/>
      <c r="G55" s="700" t="s">
        <v>694</v>
      </c>
      <c r="I55" s="543"/>
      <c r="J55" s="672"/>
    </row>
    <row r="56" spans="1:12" s="670" customFormat="1" x14ac:dyDescent="0.25">
      <c r="B56" s="638">
        <v>1</v>
      </c>
      <c r="C56" s="670" t="s">
        <v>616</v>
      </c>
      <c r="D56" s="558"/>
      <c r="F56" s="673" t="s">
        <v>197</v>
      </c>
      <c r="G56" s="701" t="s">
        <v>261</v>
      </c>
      <c r="H56" s="673" t="s">
        <v>151</v>
      </c>
      <c r="I56" s="543"/>
    </row>
    <row r="57" spans="1:12" s="670" customFormat="1" x14ac:dyDescent="0.25">
      <c r="B57" s="638">
        <v>2</v>
      </c>
      <c r="C57" s="670" t="s">
        <v>436</v>
      </c>
      <c r="F57" s="117">
        <v>89007797</v>
      </c>
      <c r="G57" s="117">
        <v>35964453</v>
      </c>
      <c r="H57" s="117">
        <f>SUM(F57:G57)</f>
        <v>124972250</v>
      </c>
      <c r="I57" s="674"/>
    </row>
    <row r="58" spans="1:12" s="670" customFormat="1" x14ac:dyDescent="0.25">
      <c r="B58" s="638">
        <v>3</v>
      </c>
      <c r="C58" s="670" t="s">
        <v>198</v>
      </c>
      <c r="F58" s="90">
        <v>11900917</v>
      </c>
      <c r="G58" s="90">
        <v>4332635</v>
      </c>
      <c r="H58" s="252">
        <f>SUM(F58:G58)</f>
        <v>16233552</v>
      </c>
      <c r="I58" s="543"/>
    </row>
    <row r="59" spans="1:12" s="670" customFormat="1" ht="24.75" customHeight="1" thickBot="1" x14ac:dyDescent="0.3">
      <c r="B59" s="560">
        <f>B58+1</f>
        <v>4</v>
      </c>
      <c r="C59" s="639" t="s">
        <v>717</v>
      </c>
      <c r="F59" s="675">
        <f>SUM(F57:F58)</f>
        <v>100908714</v>
      </c>
      <c r="G59" s="675">
        <f>SUM(G57:G58)</f>
        <v>40297088</v>
      </c>
      <c r="H59" s="675">
        <f>SUM(H57:H58)</f>
        <v>141205802</v>
      </c>
      <c r="I59" s="28"/>
      <c r="L59" s="676"/>
    </row>
    <row r="60" spans="1:12" s="670" customFormat="1" ht="18.75" customHeight="1" thickTop="1" x14ac:dyDescent="0.25">
      <c r="B60" s="560">
        <f t="shared" ref="B60" si="0">B59+1</f>
        <v>5</v>
      </c>
      <c r="C60" s="670" t="s">
        <v>199</v>
      </c>
      <c r="F60" s="359">
        <f>ROUND(+F59/H59,5)</f>
        <v>0.71462000000000003</v>
      </c>
      <c r="G60" s="359">
        <f>ROUND(+G59/H59,5)</f>
        <v>0.28538000000000002</v>
      </c>
      <c r="H60" s="677">
        <f>+F60+G60</f>
        <v>1</v>
      </c>
      <c r="I60" s="542"/>
    </row>
    <row r="61" spans="1:12" s="670" customFormat="1" x14ac:dyDescent="0.25">
      <c r="B61" s="560"/>
      <c r="H61" s="678"/>
      <c r="I61" s="542"/>
    </row>
    <row r="62" spans="1:12" s="670" customFormat="1" x14ac:dyDescent="0.25">
      <c r="B62" s="560">
        <f>B60+1</f>
        <v>6</v>
      </c>
      <c r="C62" s="558" t="s">
        <v>617</v>
      </c>
      <c r="D62" s="558"/>
      <c r="I62" s="543"/>
      <c r="K62" s="679"/>
    </row>
    <row r="63" spans="1:12" s="670" customFormat="1" x14ac:dyDescent="0.25">
      <c r="B63" s="560">
        <f>B62+1</f>
        <v>7</v>
      </c>
      <c r="C63" s="558" t="s">
        <v>437</v>
      </c>
      <c r="F63" s="594">
        <v>1</v>
      </c>
      <c r="G63" s="680" t="s">
        <v>438</v>
      </c>
      <c r="H63" s="454">
        <v>9418593.5999999996</v>
      </c>
      <c r="I63" s="143"/>
      <c r="J63" s="681"/>
      <c r="K63" s="454"/>
      <c r="L63" s="676"/>
    </row>
    <row r="64" spans="1:12" s="670" customFormat="1" x14ac:dyDescent="0.25">
      <c r="B64" s="560">
        <f t="shared" ref="B64:B71" si="1">B63+1</f>
        <v>8</v>
      </c>
      <c r="C64" s="670" t="s">
        <v>439</v>
      </c>
      <c r="F64" s="594">
        <v>1</v>
      </c>
      <c r="G64" s="680" t="s">
        <v>438</v>
      </c>
      <c r="H64" s="264">
        <f>11953350+502380</f>
        <v>12455730</v>
      </c>
      <c r="I64" s="682"/>
      <c r="K64" s="453"/>
      <c r="L64" s="676"/>
    </row>
    <row r="65" spans="1:18" s="670" customFormat="1" x14ac:dyDescent="0.25">
      <c r="B65" s="560">
        <f t="shared" si="1"/>
        <v>9</v>
      </c>
      <c r="C65" s="670" t="s">
        <v>440</v>
      </c>
      <c r="F65" s="594">
        <v>1</v>
      </c>
      <c r="G65" s="680" t="s">
        <v>438</v>
      </c>
      <c r="H65" s="561">
        <v>12012756.4</v>
      </c>
      <c r="I65" s="682"/>
      <c r="K65" s="455"/>
      <c r="L65" s="676"/>
    </row>
    <row r="66" spans="1:18" s="670" customFormat="1" x14ac:dyDescent="0.25">
      <c r="B66" s="560">
        <f t="shared" si="1"/>
        <v>10</v>
      </c>
      <c r="C66" s="670" t="s">
        <v>441</v>
      </c>
      <c r="F66" s="594">
        <v>1</v>
      </c>
      <c r="G66" s="680" t="s">
        <v>438</v>
      </c>
      <c r="H66" s="561">
        <v>31062532.800000001</v>
      </c>
      <c r="I66" s="682"/>
      <c r="K66" s="455"/>
      <c r="L66" s="676"/>
    </row>
    <row r="67" spans="1:18" s="670" customFormat="1" x14ac:dyDescent="0.25">
      <c r="B67" s="560">
        <f>B66+1</f>
        <v>11</v>
      </c>
      <c r="C67" s="670" t="s">
        <v>442</v>
      </c>
      <c r="F67" s="620">
        <v>0.52505999999999997</v>
      </c>
      <c r="G67" s="680" t="s">
        <v>438</v>
      </c>
      <c r="H67" s="561">
        <f>SUM(80569613.8+12875130)*F67</f>
        <v>49064097.179627992</v>
      </c>
      <c r="I67" s="682"/>
      <c r="J67" s="681"/>
    </row>
    <row r="68" spans="1:18" s="670" customFormat="1" x14ac:dyDescent="0.25">
      <c r="B68" s="560">
        <f t="shared" si="1"/>
        <v>12</v>
      </c>
      <c r="C68" s="670" t="s">
        <v>443</v>
      </c>
      <c r="F68" s="620">
        <f>F67</f>
        <v>0.52505999999999997</v>
      </c>
      <c r="G68" s="680" t="s">
        <v>438</v>
      </c>
      <c r="H68" s="561">
        <f>ROUND(17531678.6*F68,0)</f>
        <v>9205183</v>
      </c>
      <c r="I68" s="682"/>
    </row>
    <row r="69" spans="1:18" s="670" customFormat="1" x14ac:dyDescent="0.25">
      <c r="B69" s="560">
        <f>B68+1</f>
        <v>13</v>
      </c>
      <c r="C69" s="670" t="s">
        <v>444</v>
      </c>
      <c r="F69" s="620">
        <v>8.1320000000000003E-2</v>
      </c>
      <c r="G69" s="680" t="s">
        <v>438</v>
      </c>
      <c r="H69" s="561">
        <f>ROUND(46123708.8*F69,0)</f>
        <v>3750780</v>
      </c>
      <c r="I69" s="682"/>
    </row>
    <row r="70" spans="1:18" s="670" customFormat="1" x14ac:dyDescent="0.25">
      <c r="B70" s="560">
        <f t="shared" si="1"/>
        <v>14</v>
      </c>
      <c r="C70" s="670" t="s">
        <v>445</v>
      </c>
      <c r="F70" s="620">
        <f>F69</f>
        <v>8.1320000000000003E-2</v>
      </c>
      <c r="G70" s="680" t="s">
        <v>438</v>
      </c>
      <c r="H70" s="561">
        <f>ROUND(21696059.4+694390,0)*F70</f>
        <v>1820791.31268</v>
      </c>
      <c r="I70" s="682"/>
    </row>
    <row r="71" spans="1:18" s="670" customFormat="1" x14ac:dyDescent="0.25">
      <c r="B71" s="560">
        <f t="shared" si="1"/>
        <v>15</v>
      </c>
      <c r="C71" s="670" t="s">
        <v>446</v>
      </c>
      <c r="E71" s="683"/>
      <c r="F71" s="620">
        <f>F70</f>
        <v>8.1320000000000003E-2</v>
      </c>
      <c r="G71" s="680" t="s">
        <v>438</v>
      </c>
      <c r="H71" s="562">
        <f>ROUND(2636761*F71,0)</f>
        <v>214421</v>
      </c>
      <c r="I71" s="682"/>
    </row>
    <row r="72" spans="1:18" s="670" customFormat="1" ht="21" customHeight="1" x14ac:dyDescent="0.25">
      <c r="B72" s="560">
        <f>B71+1</f>
        <v>16</v>
      </c>
      <c r="C72" s="639" t="s">
        <v>718</v>
      </c>
      <c r="D72" s="558"/>
      <c r="H72" s="454">
        <f>ROUND(SUM(H63:H71),0)</f>
        <v>129004885</v>
      </c>
      <c r="I72" s="28"/>
      <c r="J72" s="41"/>
      <c r="L72" s="684"/>
    </row>
    <row r="73" spans="1:18" s="670" customFormat="1" x14ac:dyDescent="0.25">
      <c r="B73" s="558"/>
      <c r="G73" s="9"/>
      <c r="H73" s="685"/>
      <c r="I73" s="28"/>
    </row>
    <row r="74" spans="1:18" s="670" customFormat="1" x14ac:dyDescent="0.25">
      <c r="A74" s="558"/>
      <c r="B74" s="559">
        <f>B72+1</f>
        <v>17</v>
      </c>
      <c r="C74" s="686" t="s">
        <v>447</v>
      </c>
      <c r="G74" s="9"/>
      <c r="H74" s="687">
        <v>16229581</v>
      </c>
      <c r="I74" s="593"/>
      <c r="J74" s="558"/>
      <c r="K74" s="558"/>
      <c r="L74" s="558"/>
      <c r="M74" s="558"/>
      <c r="N74" s="558"/>
      <c r="O74" s="558"/>
      <c r="P74" s="558"/>
      <c r="Q74" s="558"/>
      <c r="R74" s="558"/>
    </row>
    <row r="75" spans="1:18" s="670" customFormat="1" x14ac:dyDescent="0.25">
      <c r="A75" s="558"/>
      <c r="B75" s="559">
        <f>B74+1</f>
        <v>18</v>
      </c>
      <c r="C75" s="699" t="s">
        <v>682</v>
      </c>
      <c r="D75" s="558"/>
      <c r="E75" s="558"/>
      <c r="F75" s="558"/>
      <c r="G75" s="563"/>
      <c r="H75" s="614">
        <f>ROUND(153436.25*3%,0)</f>
        <v>4603</v>
      </c>
      <c r="I75" s="593"/>
      <c r="J75" s="558"/>
    </row>
    <row r="76" spans="1:18" s="670" customFormat="1" x14ac:dyDescent="0.25">
      <c r="A76" s="558"/>
      <c r="B76" s="559">
        <f t="shared" ref="B76:B79" si="2">B75+1</f>
        <v>19</v>
      </c>
      <c r="C76" s="699" t="s">
        <v>683</v>
      </c>
      <c r="D76" s="558"/>
      <c r="E76" s="558"/>
      <c r="F76" s="558"/>
      <c r="G76" s="563"/>
      <c r="H76" s="614">
        <f>ROUND(672232.85*3%,0)</f>
        <v>20167</v>
      </c>
      <c r="I76" s="593"/>
      <c r="J76" s="558"/>
    </row>
    <row r="77" spans="1:18" s="670" customFormat="1" x14ac:dyDescent="0.25">
      <c r="A77" s="558"/>
      <c r="B77" s="559">
        <f t="shared" si="2"/>
        <v>20</v>
      </c>
      <c r="C77" s="699" t="s">
        <v>684</v>
      </c>
      <c r="D77" s="558"/>
      <c r="E77" s="558"/>
      <c r="F77" s="558"/>
      <c r="G77" s="563"/>
      <c r="H77" s="614">
        <f>ROUND(8881958.08*2.5%,0)*F69</f>
        <v>18057.024680000002</v>
      </c>
      <c r="I77" s="593"/>
      <c r="J77" s="558"/>
    </row>
    <row r="78" spans="1:18" s="670" customFormat="1" x14ac:dyDescent="0.25">
      <c r="A78" s="558"/>
      <c r="B78" s="559">
        <f t="shared" si="2"/>
        <v>21</v>
      </c>
      <c r="C78" s="699" t="s">
        <v>685</v>
      </c>
      <c r="D78" s="558"/>
      <c r="E78" s="558"/>
      <c r="F78" s="558"/>
      <c r="G78" s="563"/>
      <c r="H78" s="614">
        <f>ROUND(81077.14*3%,0)*F71</f>
        <v>197.77024</v>
      </c>
      <c r="I78" s="593"/>
      <c r="J78" s="558"/>
    </row>
    <row r="79" spans="1:18" s="670" customFormat="1" x14ac:dyDescent="0.25">
      <c r="A79" s="558"/>
      <c r="B79" s="559">
        <f t="shared" si="2"/>
        <v>22</v>
      </c>
      <c r="C79" s="699" t="s">
        <v>686</v>
      </c>
      <c r="D79" s="558"/>
      <c r="E79" s="558"/>
      <c r="F79" s="558"/>
      <c r="G79" s="563"/>
      <c r="H79" s="688">
        <f>ROUND(1054067.94*3%,0)*F68</f>
        <v>16603.447319999999</v>
      </c>
      <c r="I79" s="593"/>
      <c r="J79" s="558"/>
    </row>
    <row r="80" spans="1:18" s="670" customFormat="1" ht="21.75" customHeight="1" thickBot="1" x14ac:dyDescent="0.3">
      <c r="A80" s="558"/>
      <c r="B80" s="559">
        <f>B79+1</f>
        <v>23</v>
      </c>
      <c r="C80" s="639" t="s">
        <v>719</v>
      </c>
      <c r="D80" s="558"/>
      <c r="E80" s="558"/>
      <c r="F80" s="558"/>
      <c r="G80" s="563"/>
      <c r="H80" s="47">
        <f>SUM(H72:H79)</f>
        <v>145294094.24224001</v>
      </c>
      <c r="I80" s="593"/>
      <c r="J80" s="558"/>
    </row>
    <row r="81" spans="1:11" s="670" customFormat="1" ht="16.5" thickTop="1" x14ac:dyDescent="0.25">
      <c r="A81" s="558"/>
      <c r="B81" s="559"/>
      <c r="G81" s="9"/>
      <c r="H81" s="689"/>
      <c r="I81" s="28"/>
    </row>
    <row r="82" spans="1:11" s="670" customFormat="1" x14ac:dyDescent="0.25">
      <c r="A82" s="558"/>
      <c r="B82" s="559">
        <f>B80+1</f>
        <v>24</v>
      </c>
      <c r="C82" s="670" t="s">
        <v>200</v>
      </c>
      <c r="H82" s="46"/>
      <c r="I82" s="28"/>
    </row>
    <row r="83" spans="1:11" s="670" customFormat="1" x14ac:dyDescent="0.25">
      <c r="A83" s="558"/>
      <c r="B83" s="559"/>
      <c r="D83" s="117">
        <f>H80</f>
        <v>145294094.24224001</v>
      </c>
      <c r="E83" s="138" t="s">
        <v>201</v>
      </c>
      <c r="F83" s="496">
        <f>F60</f>
        <v>0.71462000000000003</v>
      </c>
      <c r="H83" s="117">
        <f>ROUND(D83*F83,0)</f>
        <v>103830066</v>
      </c>
      <c r="I83" s="28"/>
    </row>
    <row r="84" spans="1:11" s="670" customFormat="1" x14ac:dyDescent="0.25">
      <c r="A84" s="558"/>
      <c r="B84" s="559"/>
      <c r="D84" s="117"/>
      <c r="E84" s="138"/>
      <c r="F84" s="564"/>
      <c r="H84" s="423"/>
      <c r="I84" s="28"/>
    </row>
    <row r="85" spans="1:11" s="670" customFormat="1" x14ac:dyDescent="0.25">
      <c r="A85" s="558"/>
      <c r="B85" s="559">
        <f>B82+1</f>
        <v>25</v>
      </c>
      <c r="C85" s="639" t="s">
        <v>720</v>
      </c>
      <c r="E85" s="558"/>
      <c r="G85" s="9"/>
      <c r="H85" s="422">
        <f>F59</f>
        <v>100908714</v>
      </c>
      <c r="I85" s="28"/>
    </row>
    <row r="86" spans="1:11" s="670" customFormat="1" x14ac:dyDescent="0.25">
      <c r="A86" s="558"/>
      <c r="B86" s="559"/>
      <c r="G86" s="9"/>
      <c r="H86" s="31"/>
      <c r="I86" s="28"/>
    </row>
    <row r="87" spans="1:11" s="670" customFormat="1" ht="16.5" thickBot="1" x14ac:dyDescent="0.3">
      <c r="A87" s="558"/>
      <c r="B87" s="559">
        <f>B85+1</f>
        <v>26</v>
      </c>
      <c r="C87" s="639" t="s">
        <v>721</v>
      </c>
      <c r="G87" s="9"/>
      <c r="H87" s="47">
        <f>H83-H85</f>
        <v>2921352</v>
      </c>
      <c r="I87" s="28"/>
    </row>
    <row r="88" spans="1:11" s="558" customFormat="1" ht="16.5" thickTop="1" x14ac:dyDescent="0.25">
      <c r="G88" s="563"/>
      <c r="H88" s="595"/>
      <c r="I88" s="593"/>
    </row>
    <row r="89" spans="1:11" x14ac:dyDescent="0.25">
      <c r="J89" s="439"/>
    </row>
    <row r="90" spans="1:11" x14ac:dyDescent="0.25">
      <c r="H90" s="570" t="str">
        <f>+H3</f>
        <v>Revised Exhibit 1</v>
      </c>
      <c r="J90" s="439"/>
      <c r="K90" s="570"/>
    </row>
    <row r="91" spans="1:11" x14ac:dyDescent="0.25">
      <c r="A91" s="452"/>
      <c r="H91" s="570" t="str">
        <f>+H4</f>
        <v>Reference Schedule 1.13</v>
      </c>
      <c r="I91" s="569"/>
      <c r="J91" s="439"/>
      <c r="K91" s="570"/>
    </row>
    <row r="92" spans="1:11" x14ac:dyDescent="0.25">
      <c r="H92" s="570" t="str">
        <f>+H5</f>
        <v>Sponsoring Witness: Scott</v>
      </c>
      <c r="I92" s="571"/>
      <c r="J92" s="439"/>
      <c r="K92" s="570"/>
    </row>
    <row r="93" spans="1:11" x14ac:dyDescent="0.25">
      <c r="H93" s="570" t="s">
        <v>202</v>
      </c>
      <c r="I93" s="571"/>
      <c r="J93" s="439"/>
      <c r="K93" s="570"/>
    </row>
    <row r="94" spans="1:11" x14ac:dyDescent="0.25">
      <c r="J94" s="439"/>
    </row>
    <row r="95" spans="1:11" x14ac:dyDescent="0.25">
      <c r="J95" s="439"/>
    </row>
    <row r="96" spans="1:11" x14ac:dyDescent="0.25">
      <c r="A96" s="818" t="str">
        <f>A9</f>
        <v>KENTUCKY UTILITIES</v>
      </c>
      <c r="B96" s="818"/>
      <c r="C96" s="818"/>
      <c r="D96" s="818"/>
      <c r="E96" s="818"/>
      <c r="F96" s="818"/>
      <c r="G96" s="818"/>
      <c r="H96" s="818"/>
      <c r="J96" s="439"/>
    </row>
    <row r="97" spans="1:10" x14ac:dyDescent="0.25">
      <c r="A97" s="574"/>
      <c r="B97" s="596"/>
      <c r="D97" s="574"/>
      <c r="E97" s="574"/>
      <c r="F97" s="574"/>
      <c r="G97" s="574"/>
      <c r="H97" s="574"/>
      <c r="I97" s="575"/>
      <c r="J97" s="439"/>
    </row>
    <row r="98" spans="1:10" x14ac:dyDescent="0.25">
      <c r="A98" s="574"/>
      <c r="D98" s="574"/>
      <c r="E98" s="574"/>
      <c r="F98" s="574"/>
      <c r="G98" s="574"/>
      <c r="H98" s="574"/>
      <c r="I98" s="575"/>
      <c r="J98" s="439"/>
    </row>
    <row r="99" spans="1:10" x14ac:dyDescent="0.25">
      <c r="A99" s="821" t="s">
        <v>203</v>
      </c>
      <c r="B99" s="821"/>
      <c r="C99" s="821"/>
      <c r="D99" s="821"/>
      <c r="E99" s="821"/>
      <c r="F99" s="821"/>
      <c r="G99" s="821"/>
      <c r="H99" s="821"/>
      <c r="I99" s="575"/>
      <c r="J99" s="439"/>
    </row>
    <row r="100" spans="1:10" x14ac:dyDescent="0.25">
      <c r="A100" s="818" t="str">
        <f>A13</f>
        <v>As Applied to the Twelve Months Ended March 31, 2012</v>
      </c>
      <c r="B100" s="818"/>
      <c r="C100" s="818"/>
      <c r="D100" s="818"/>
      <c r="E100" s="818"/>
      <c r="F100" s="818"/>
      <c r="G100" s="818"/>
      <c r="H100" s="818"/>
      <c r="I100" s="575"/>
      <c r="J100" s="439"/>
    </row>
    <row r="101" spans="1:10" x14ac:dyDescent="0.25">
      <c r="C101" s="597"/>
      <c r="D101" s="574"/>
      <c r="E101" s="574"/>
      <c r="F101" s="574"/>
      <c r="G101" s="574"/>
      <c r="H101" s="574"/>
      <c r="I101" s="575"/>
      <c r="J101" s="439"/>
    </row>
    <row r="102" spans="1:10" x14ac:dyDescent="0.25">
      <c r="J102" s="439"/>
    </row>
    <row r="103" spans="1:10" s="670" customFormat="1" x14ac:dyDescent="0.25">
      <c r="B103" s="638">
        <v>1</v>
      </c>
      <c r="C103" s="639" t="s">
        <v>722</v>
      </c>
      <c r="D103" s="558"/>
      <c r="H103" s="117">
        <f>+H87</f>
        <v>2921352</v>
      </c>
    </row>
    <row r="104" spans="1:10" s="670" customFormat="1" x14ac:dyDescent="0.25">
      <c r="B104" s="638"/>
      <c r="H104" s="40"/>
    </row>
    <row r="105" spans="1:10" s="670" customFormat="1" x14ac:dyDescent="0.25">
      <c r="B105" s="638">
        <v>2</v>
      </c>
      <c r="C105" s="670" t="s">
        <v>204</v>
      </c>
      <c r="H105" s="120">
        <v>0.91842000000000001</v>
      </c>
    </row>
    <row r="106" spans="1:10" s="670" customFormat="1" x14ac:dyDescent="0.25">
      <c r="B106" s="638"/>
      <c r="H106" s="40"/>
    </row>
    <row r="107" spans="1:10" s="670" customFormat="1" ht="16.5" thickBot="1" x14ac:dyDescent="0.3">
      <c r="B107" s="638">
        <v>3</v>
      </c>
      <c r="C107" s="670" t="s">
        <v>205</v>
      </c>
      <c r="H107" s="55">
        <f>ROUND(+H103*H105,0)</f>
        <v>2683028</v>
      </c>
    </row>
    <row r="108" spans="1:10" s="670" customFormat="1" ht="16.5" thickTop="1" x14ac:dyDescent="0.25">
      <c r="B108" s="638"/>
      <c r="H108" s="40"/>
    </row>
    <row r="109" spans="1:10" s="670" customFormat="1" x14ac:dyDescent="0.25">
      <c r="B109" s="559">
        <v>4</v>
      </c>
      <c r="C109" s="558" t="s">
        <v>206</v>
      </c>
      <c r="H109" s="117">
        <f>ROUND(+H103*0.0145,0)</f>
        <v>42360</v>
      </c>
    </row>
    <row r="110" spans="1:10" s="670" customFormat="1" x14ac:dyDescent="0.25">
      <c r="B110" s="638"/>
      <c r="H110" s="117"/>
    </row>
    <row r="111" spans="1:10" s="670" customFormat="1" x14ac:dyDescent="0.25">
      <c r="B111" s="559">
        <v>5</v>
      </c>
      <c r="C111" s="558" t="s">
        <v>207</v>
      </c>
      <c r="D111" s="558"/>
      <c r="H111" s="598">
        <f>ROUND(+H107*0.062,0)</f>
        <v>166348</v>
      </c>
    </row>
    <row r="112" spans="1:10" s="670" customFormat="1" x14ac:dyDescent="0.25">
      <c r="B112" s="639"/>
    </row>
    <row r="113" spans="1:11" s="670" customFormat="1" ht="16.5" thickBot="1" x14ac:dyDescent="0.3">
      <c r="B113" s="638">
        <v>6</v>
      </c>
      <c r="C113" s="670" t="s">
        <v>208</v>
      </c>
      <c r="H113" s="55">
        <f>+H109+H111</f>
        <v>208708</v>
      </c>
    </row>
    <row r="114" spans="1:11" ht="16.5" thickTop="1" x14ac:dyDescent="0.25">
      <c r="I114" s="439"/>
      <c r="J114" s="439"/>
    </row>
    <row r="115" spans="1:11" x14ac:dyDescent="0.25">
      <c r="I115" s="262"/>
      <c r="J115" s="439"/>
    </row>
    <row r="116" spans="1:11" x14ac:dyDescent="0.25">
      <c r="J116" s="439"/>
    </row>
    <row r="117" spans="1:11" x14ac:dyDescent="0.25">
      <c r="H117" s="577"/>
      <c r="I117" s="582"/>
      <c r="J117" s="439"/>
    </row>
    <row r="118" spans="1:11" x14ac:dyDescent="0.25">
      <c r="J118" s="439"/>
    </row>
    <row r="119" spans="1:11" x14ac:dyDescent="0.25">
      <c r="J119" s="439"/>
    </row>
    <row r="120" spans="1:11" x14ac:dyDescent="0.25">
      <c r="A120" s="452"/>
      <c r="H120" s="570" t="str">
        <f>+H3</f>
        <v>Revised Exhibit 1</v>
      </c>
      <c r="I120" s="569"/>
      <c r="J120" s="439"/>
      <c r="K120" s="570"/>
    </row>
    <row r="121" spans="1:11" x14ac:dyDescent="0.25">
      <c r="H121" s="570" t="str">
        <f>+H4</f>
        <v>Reference Schedule 1.13</v>
      </c>
      <c r="I121" s="571"/>
      <c r="J121" s="439"/>
      <c r="K121" s="570"/>
    </row>
    <row r="122" spans="1:11" x14ac:dyDescent="0.25">
      <c r="H122" s="570" t="str">
        <f>+H5</f>
        <v>Sponsoring Witness: Scott</v>
      </c>
      <c r="I122" s="571"/>
      <c r="J122" s="439"/>
      <c r="K122" s="570"/>
    </row>
    <row r="123" spans="1:11" x14ac:dyDescent="0.25">
      <c r="H123" s="570" t="s">
        <v>209</v>
      </c>
      <c r="J123" s="439"/>
      <c r="K123" s="570"/>
    </row>
    <row r="124" spans="1:11" x14ac:dyDescent="0.25">
      <c r="H124" s="572"/>
      <c r="J124" s="439"/>
    </row>
    <row r="125" spans="1:11" x14ac:dyDescent="0.25">
      <c r="J125" s="439"/>
    </row>
    <row r="126" spans="1:11" x14ac:dyDescent="0.25">
      <c r="A126" s="822" t="str">
        <f>A9</f>
        <v>KENTUCKY UTILITIES</v>
      </c>
      <c r="B126" s="822"/>
      <c r="C126" s="822"/>
      <c r="D126" s="822"/>
      <c r="E126" s="822"/>
      <c r="F126" s="822"/>
      <c r="G126" s="822"/>
      <c r="H126" s="822"/>
      <c r="J126" s="439"/>
    </row>
    <row r="127" spans="1:11" x14ac:dyDescent="0.25">
      <c r="A127" s="574"/>
      <c r="D127" s="574"/>
      <c r="E127" s="574"/>
      <c r="F127" s="574"/>
      <c r="G127" s="574"/>
      <c r="H127" s="574"/>
      <c r="I127" s="575"/>
      <c r="J127" s="439"/>
    </row>
    <row r="128" spans="1:11" x14ac:dyDescent="0.25">
      <c r="A128" s="574"/>
      <c r="D128" s="574"/>
      <c r="E128" s="574"/>
      <c r="F128" s="574"/>
      <c r="G128" s="574"/>
      <c r="H128" s="574"/>
      <c r="I128" s="575"/>
      <c r="J128" s="439"/>
    </row>
    <row r="129" spans="1:12" x14ac:dyDescent="0.25">
      <c r="A129" s="821" t="s">
        <v>210</v>
      </c>
      <c r="B129" s="821"/>
      <c r="C129" s="821"/>
      <c r="D129" s="821"/>
      <c r="E129" s="821"/>
      <c r="F129" s="821"/>
      <c r="G129" s="821"/>
      <c r="H129" s="821"/>
      <c r="I129" s="575"/>
      <c r="J129" s="439"/>
    </row>
    <row r="130" spans="1:12" x14ac:dyDescent="0.25">
      <c r="A130" s="818" t="str">
        <f>A13</f>
        <v>As Applied to the Twelve Months Ended March 31, 2012</v>
      </c>
      <c r="B130" s="818"/>
      <c r="C130" s="818"/>
      <c r="D130" s="818"/>
      <c r="E130" s="818"/>
      <c r="F130" s="818"/>
      <c r="G130" s="818"/>
      <c r="H130" s="818"/>
      <c r="I130" s="575"/>
      <c r="J130" s="439"/>
    </row>
    <row r="131" spans="1:12" x14ac:dyDescent="0.25">
      <c r="C131" s="452"/>
      <c r="D131" s="574"/>
      <c r="E131" s="574"/>
      <c r="F131" s="574"/>
      <c r="G131" s="574"/>
      <c r="H131" s="574"/>
      <c r="I131" s="575"/>
      <c r="J131" s="439"/>
    </row>
    <row r="132" spans="1:12" x14ac:dyDescent="0.25">
      <c r="J132" s="439"/>
    </row>
    <row r="133" spans="1:12" s="670" customFormat="1" ht="15.95" customHeight="1" x14ac:dyDescent="0.25">
      <c r="B133" s="560">
        <v>1</v>
      </c>
      <c r="C133" s="639" t="s">
        <v>723</v>
      </c>
      <c r="H133" s="117">
        <f>H59</f>
        <v>141205802</v>
      </c>
      <c r="I133" s="28"/>
      <c r="L133" s="676"/>
    </row>
    <row r="134" spans="1:12" s="670" customFormat="1" x14ac:dyDescent="0.25">
      <c r="B134" s="638">
        <v>2</v>
      </c>
      <c r="C134" s="639" t="s">
        <v>724</v>
      </c>
      <c r="D134" s="558"/>
      <c r="E134" s="558"/>
      <c r="H134" s="425">
        <f>8230907+3102357</f>
        <v>11333264</v>
      </c>
      <c r="I134" s="690"/>
    </row>
    <row r="135" spans="1:12" s="670" customFormat="1" ht="15.95" customHeight="1" x14ac:dyDescent="0.25">
      <c r="B135" s="560"/>
      <c r="C135" s="639"/>
      <c r="H135" s="117"/>
      <c r="I135" s="28"/>
      <c r="L135" s="676"/>
    </row>
    <row r="136" spans="1:12" s="670" customFormat="1" x14ac:dyDescent="0.25">
      <c r="B136" s="638">
        <v>3</v>
      </c>
      <c r="C136" s="639" t="s">
        <v>725</v>
      </c>
      <c r="D136" s="558"/>
      <c r="E136" s="558"/>
      <c r="H136" s="117">
        <f>SUM(H133:H135)</f>
        <v>152539066</v>
      </c>
      <c r="I136" s="690"/>
    </row>
    <row r="137" spans="1:12" s="670" customFormat="1" x14ac:dyDescent="0.25">
      <c r="B137" s="716"/>
      <c r="I137" s="543"/>
    </row>
    <row r="138" spans="1:12" s="670" customFormat="1" x14ac:dyDescent="0.25">
      <c r="A138" s="819"/>
      <c r="B138" s="638">
        <v>4</v>
      </c>
      <c r="C138" s="670" t="s">
        <v>618</v>
      </c>
      <c r="D138" s="558"/>
      <c r="E138" s="558"/>
      <c r="H138" s="425">
        <v>5850075</v>
      </c>
      <c r="I138" s="690"/>
    </row>
    <row r="139" spans="1:12" s="670" customFormat="1" x14ac:dyDescent="0.25">
      <c r="A139" s="819"/>
      <c r="B139" s="639"/>
      <c r="I139" s="543"/>
    </row>
    <row r="140" spans="1:12" s="670" customFormat="1" ht="21.75" customHeight="1" x14ac:dyDescent="0.25">
      <c r="B140" s="638">
        <v>5</v>
      </c>
      <c r="C140" s="639" t="s">
        <v>726</v>
      </c>
      <c r="H140" s="359">
        <f>ROUND(+H138/H136,5)</f>
        <v>3.8350000000000002E-2</v>
      </c>
      <c r="I140" s="50"/>
    </row>
    <row r="141" spans="1:12" s="670" customFormat="1" x14ac:dyDescent="0.25">
      <c r="B141" s="716"/>
      <c r="I141" s="543"/>
    </row>
    <row r="142" spans="1:12" s="670" customFormat="1" x14ac:dyDescent="0.25">
      <c r="B142" s="638">
        <v>6</v>
      </c>
      <c r="C142" s="639" t="s">
        <v>722</v>
      </c>
      <c r="D142" s="558"/>
      <c r="H142" s="425">
        <f>+H87</f>
        <v>2921352</v>
      </c>
      <c r="I142" s="690"/>
    </row>
    <row r="143" spans="1:12" s="670" customFormat="1" x14ac:dyDescent="0.25">
      <c r="B143" s="716"/>
      <c r="I143" s="543"/>
    </row>
    <row r="144" spans="1:12" s="670" customFormat="1" ht="16.5" thickBot="1" x14ac:dyDescent="0.3">
      <c r="B144" s="638">
        <v>7</v>
      </c>
      <c r="C144" s="639" t="s">
        <v>727</v>
      </c>
      <c r="H144" s="55">
        <f>ROUND(+H140*H142,0)</f>
        <v>112034</v>
      </c>
      <c r="I144" s="28"/>
    </row>
    <row r="145" spans="1:10" ht="16.5" thickTop="1" x14ac:dyDescent="0.25">
      <c r="C145" s="452"/>
      <c r="J145" s="439"/>
    </row>
    <row r="146" spans="1:10" x14ac:dyDescent="0.25">
      <c r="J146" s="439"/>
    </row>
    <row r="147" spans="1:10" x14ac:dyDescent="0.25">
      <c r="A147" s="452"/>
      <c r="J147" s="439"/>
    </row>
    <row r="148" spans="1:10" x14ac:dyDescent="0.25">
      <c r="C148" s="599"/>
      <c r="J148" s="439"/>
    </row>
  </sheetData>
  <mergeCells count="13">
    <mergeCell ref="A138:A139"/>
    <mergeCell ref="A9:H9"/>
    <mergeCell ref="A12:H12"/>
    <mergeCell ref="A13:H13"/>
    <mergeCell ref="A47:H47"/>
    <mergeCell ref="A50:H50"/>
    <mergeCell ref="A51:H51"/>
    <mergeCell ref="A96:H96"/>
    <mergeCell ref="A99:H99"/>
    <mergeCell ref="A100:H100"/>
    <mergeCell ref="A126:H126"/>
    <mergeCell ref="A129:H129"/>
    <mergeCell ref="A130:H130"/>
  </mergeCells>
  <phoneticPr fontId="74" type="noConversion"/>
  <printOptions horizontalCentered="1"/>
  <pageMargins left="0.75" right="0.5" top="1" bottom="0.75" header="0.5" footer="0.5"/>
  <pageSetup scale="66" fitToHeight="0" orientation="portrait" blackAndWhite="1" r:id="rId1"/>
  <headerFooter alignWithMargins="0"/>
  <rowBreaks count="3" manualBreakCount="3">
    <brk id="40" max="7" man="1"/>
    <brk id="89" max="7" man="1"/>
    <brk id="119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B36"/>
  <sheetViews>
    <sheetView showGridLines="0" zoomScaleNormal="100" workbookViewId="0">
      <selection activeCell="B36" sqref="B36"/>
    </sheetView>
  </sheetViews>
  <sheetFormatPr defaultColWidth="9.625" defaultRowHeight="15.75" x14ac:dyDescent="0.25"/>
  <cols>
    <col min="1" max="1" width="72.25" style="526" customWidth="1"/>
    <col min="2" max="2" width="14.375" style="526" customWidth="1"/>
    <col min="3" max="251" width="9.625" style="526"/>
    <col min="252" max="252" width="63.625" style="526" customWidth="1"/>
    <col min="253" max="253" width="0" style="526" hidden="1" customWidth="1"/>
    <col min="254" max="254" width="14.375" style="526" customWidth="1"/>
    <col min="255" max="255" width="0" style="526" hidden="1" customWidth="1"/>
    <col min="256" max="507" width="9.625" style="526"/>
    <col min="508" max="508" width="63.625" style="526" customWidth="1"/>
    <col min="509" max="509" width="0" style="526" hidden="1" customWidth="1"/>
    <col min="510" max="510" width="14.375" style="526" customWidth="1"/>
    <col min="511" max="511" width="0" style="526" hidden="1" customWidth="1"/>
    <col min="512" max="763" width="9.625" style="526"/>
    <col min="764" max="764" width="63.625" style="526" customWidth="1"/>
    <col min="765" max="765" width="0" style="526" hidden="1" customWidth="1"/>
    <col min="766" max="766" width="14.375" style="526" customWidth="1"/>
    <col min="767" max="767" width="0" style="526" hidden="1" customWidth="1"/>
    <col min="768" max="1019" width="9.625" style="526"/>
    <col min="1020" max="1020" width="63.625" style="526" customWidth="1"/>
    <col min="1021" max="1021" width="0" style="526" hidden="1" customWidth="1"/>
    <col min="1022" max="1022" width="14.375" style="526" customWidth="1"/>
    <col min="1023" max="1023" width="0" style="526" hidden="1" customWidth="1"/>
    <col min="1024" max="1275" width="9.625" style="526"/>
    <col min="1276" max="1276" width="63.625" style="526" customWidth="1"/>
    <col min="1277" max="1277" width="0" style="526" hidden="1" customWidth="1"/>
    <col min="1278" max="1278" width="14.375" style="526" customWidth="1"/>
    <col min="1279" max="1279" width="0" style="526" hidden="1" customWidth="1"/>
    <col min="1280" max="1531" width="9.625" style="526"/>
    <col min="1532" max="1532" width="63.625" style="526" customWidth="1"/>
    <col min="1533" max="1533" width="0" style="526" hidden="1" customWidth="1"/>
    <col min="1534" max="1534" width="14.375" style="526" customWidth="1"/>
    <col min="1535" max="1535" width="0" style="526" hidden="1" customWidth="1"/>
    <col min="1536" max="1787" width="9.625" style="526"/>
    <col min="1788" max="1788" width="63.625" style="526" customWidth="1"/>
    <col min="1789" max="1789" width="0" style="526" hidden="1" customWidth="1"/>
    <col min="1790" max="1790" width="14.375" style="526" customWidth="1"/>
    <col min="1791" max="1791" width="0" style="526" hidden="1" customWidth="1"/>
    <col min="1792" max="2043" width="9.625" style="526"/>
    <col min="2044" max="2044" width="63.625" style="526" customWidth="1"/>
    <col min="2045" max="2045" width="0" style="526" hidden="1" customWidth="1"/>
    <col min="2046" max="2046" width="14.375" style="526" customWidth="1"/>
    <col min="2047" max="2047" width="0" style="526" hidden="1" customWidth="1"/>
    <col min="2048" max="2299" width="9.625" style="526"/>
    <col min="2300" max="2300" width="63.625" style="526" customWidth="1"/>
    <col min="2301" max="2301" width="0" style="526" hidden="1" customWidth="1"/>
    <col min="2302" max="2302" width="14.375" style="526" customWidth="1"/>
    <col min="2303" max="2303" width="0" style="526" hidden="1" customWidth="1"/>
    <col min="2304" max="2555" width="9.625" style="526"/>
    <col min="2556" max="2556" width="63.625" style="526" customWidth="1"/>
    <col min="2557" max="2557" width="0" style="526" hidden="1" customWidth="1"/>
    <col min="2558" max="2558" width="14.375" style="526" customWidth="1"/>
    <col min="2559" max="2559" width="0" style="526" hidden="1" customWidth="1"/>
    <col min="2560" max="2811" width="9.625" style="526"/>
    <col min="2812" max="2812" width="63.625" style="526" customWidth="1"/>
    <col min="2813" max="2813" width="0" style="526" hidden="1" customWidth="1"/>
    <col min="2814" max="2814" width="14.375" style="526" customWidth="1"/>
    <col min="2815" max="2815" width="0" style="526" hidden="1" customWidth="1"/>
    <col min="2816" max="3067" width="9.625" style="526"/>
    <col min="3068" max="3068" width="63.625" style="526" customWidth="1"/>
    <col min="3069" max="3069" width="0" style="526" hidden="1" customWidth="1"/>
    <col min="3070" max="3070" width="14.375" style="526" customWidth="1"/>
    <col min="3071" max="3071" width="0" style="526" hidden="1" customWidth="1"/>
    <col min="3072" max="3323" width="9.625" style="526"/>
    <col min="3324" max="3324" width="63.625" style="526" customWidth="1"/>
    <col min="3325" max="3325" width="0" style="526" hidden="1" customWidth="1"/>
    <col min="3326" max="3326" width="14.375" style="526" customWidth="1"/>
    <col min="3327" max="3327" width="0" style="526" hidden="1" customWidth="1"/>
    <col min="3328" max="3579" width="9.625" style="526"/>
    <col min="3580" max="3580" width="63.625" style="526" customWidth="1"/>
    <col min="3581" max="3581" width="0" style="526" hidden="1" customWidth="1"/>
    <col min="3582" max="3582" width="14.375" style="526" customWidth="1"/>
    <col min="3583" max="3583" width="0" style="526" hidden="1" customWidth="1"/>
    <col min="3584" max="3835" width="9.625" style="526"/>
    <col min="3836" max="3836" width="63.625" style="526" customWidth="1"/>
    <col min="3837" max="3837" width="0" style="526" hidden="1" customWidth="1"/>
    <col min="3838" max="3838" width="14.375" style="526" customWidth="1"/>
    <col min="3839" max="3839" width="0" style="526" hidden="1" customWidth="1"/>
    <col min="3840" max="4091" width="9.625" style="526"/>
    <col min="4092" max="4092" width="63.625" style="526" customWidth="1"/>
    <col min="4093" max="4093" width="0" style="526" hidden="1" customWidth="1"/>
    <col min="4094" max="4094" width="14.375" style="526" customWidth="1"/>
    <col min="4095" max="4095" width="0" style="526" hidden="1" customWidth="1"/>
    <col min="4096" max="4347" width="9.625" style="526"/>
    <col min="4348" max="4348" width="63.625" style="526" customWidth="1"/>
    <col min="4349" max="4349" width="0" style="526" hidden="1" customWidth="1"/>
    <col min="4350" max="4350" width="14.375" style="526" customWidth="1"/>
    <col min="4351" max="4351" width="0" style="526" hidden="1" customWidth="1"/>
    <col min="4352" max="4603" width="9.625" style="526"/>
    <col min="4604" max="4604" width="63.625" style="526" customWidth="1"/>
    <col min="4605" max="4605" width="0" style="526" hidden="1" customWidth="1"/>
    <col min="4606" max="4606" width="14.375" style="526" customWidth="1"/>
    <col min="4607" max="4607" width="0" style="526" hidden="1" customWidth="1"/>
    <col min="4608" max="4859" width="9.625" style="526"/>
    <col min="4860" max="4860" width="63.625" style="526" customWidth="1"/>
    <col min="4861" max="4861" width="0" style="526" hidden="1" customWidth="1"/>
    <col min="4862" max="4862" width="14.375" style="526" customWidth="1"/>
    <col min="4863" max="4863" width="0" style="526" hidden="1" customWidth="1"/>
    <col min="4864" max="5115" width="9.625" style="526"/>
    <col min="5116" max="5116" width="63.625" style="526" customWidth="1"/>
    <col min="5117" max="5117" width="0" style="526" hidden="1" customWidth="1"/>
    <col min="5118" max="5118" width="14.375" style="526" customWidth="1"/>
    <col min="5119" max="5119" width="0" style="526" hidden="1" customWidth="1"/>
    <col min="5120" max="5371" width="9.625" style="526"/>
    <col min="5372" max="5372" width="63.625" style="526" customWidth="1"/>
    <col min="5373" max="5373" width="0" style="526" hidden="1" customWidth="1"/>
    <col min="5374" max="5374" width="14.375" style="526" customWidth="1"/>
    <col min="5375" max="5375" width="0" style="526" hidden="1" customWidth="1"/>
    <col min="5376" max="5627" width="9.625" style="526"/>
    <col min="5628" max="5628" width="63.625" style="526" customWidth="1"/>
    <col min="5629" max="5629" width="0" style="526" hidden="1" customWidth="1"/>
    <col min="5630" max="5630" width="14.375" style="526" customWidth="1"/>
    <col min="5631" max="5631" width="0" style="526" hidden="1" customWidth="1"/>
    <col min="5632" max="5883" width="9.625" style="526"/>
    <col min="5884" max="5884" width="63.625" style="526" customWidth="1"/>
    <col min="5885" max="5885" width="0" style="526" hidden="1" customWidth="1"/>
    <col min="5886" max="5886" width="14.375" style="526" customWidth="1"/>
    <col min="5887" max="5887" width="0" style="526" hidden="1" customWidth="1"/>
    <col min="5888" max="6139" width="9.625" style="526"/>
    <col min="6140" max="6140" width="63.625" style="526" customWidth="1"/>
    <col min="6141" max="6141" width="0" style="526" hidden="1" customWidth="1"/>
    <col min="6142" max="6142" width="14.375" style="526" customWidth="1"/>
    <col min="6143" max="6143" width="0" style="526" hidden="1" customWidth="1"/>
    <col min="6144" max="6395" width="9.625" style="526"/>
    <col min="6396" max="6396" width="63.625" style="526" customWidth="1"/>
    <col min="6397" max="6397" width="0" style="526" hidden="1" customWidth="1"/>
    <col min="6398" max="6398" width="14.375" style="526" customWidth="1"/>
    <col min="6399" max="6399" width="0" style="526" hidden="1" customWidth="1"/>
    <col min="6400" max="6651" width="9.625" style="526"/>
    <col min="6652" max="6652" width="63.625" style="526" customWidth="1"/>
    <col min="6653" max="6653" width="0" style="526" hidden="1" customWidth="1"/>
    <col min="6654" max="6654" width="14.375" style="526" customWidth="1"/>
    <col min="6655" max="6655" width="0" style="526" hidden="1" customWidth="1"/>
    <col min="6656" max="6907" width="9.625" style="526"/>
    <col min="6908" max="6908" width="63.625" style="526" customWidth="1"/>
    <col min="6909" max="6909" width="0" style="526" hidden="1" customWidth="1"/>
    <col min="6910" max="6910" width="14.375" style="526" customWidth="1"/>
    <col min="6911" max="6911" width="0" style="526" hidden="1" customWidth="1"/>
    <col min="6912" max="7163" width="9.625" style="526"/>
    <col min="7164" max="7164" width="63.625" style="526" customWidth="1"/>
    <col min="7165" max="7165" width="0" style="526" hidden="1" customWidth="1"/>
    <col min="7166" max="7166" width="14.375" style="526" customWidth="1"/>
    <col min="7167" max="7167" width="0" style="526" hidden="1" customWidth="1"/>
    <col min="7168" max="7419" width="9.625" style="526"/>
    <col min="7420" max="7420" width="63.625" style="526" customWidth="1"/>
    <col min="7421" max="7421" width="0" style="526" hidden="1" customWidth="1"/>
    <col min="7422" max="7422" width="14.375" style="526" customWidth="1"/>
    <col min="7423" max="7423" width="0" style="526" hidden="1" customWidth="1"/>
    <col min="7424" max="7675" width="9.625" style="526"/>
    <col min="7676" max="7676" width="63.625" style="526" customWidth="1"/>
    <col min="7677" max="7677" width="0" style="526" hidden="1" customWidth="1"/>
    <col min="7678" max="7678" width="14.375" style="526" customWidth="1"/>
    <col min="7679" max="7679" width="0" style="526" hidden="1" customWidth="1"/>
    <col min="7680" max="7931" width="9.625" style="526"/>
    <col min="7932" max="7932" width="63.625" style="526" customWidth="1"/>
    <col min="7933" max="7933" width="0" style="526" hidden="1" customWidth="1"/>
    <col min="7934" max="7934" width="14.375" style="526" customWidth="1"/>
    <col min="7935" max="7935" width="0" style="526" hidden="1" customWidth="1"/>
    <col min="7936" max="8187" width="9.625" style="526"/>
    <col min="8188" max="8188" width="63.625" style="526" customWidth="1"/>
    <col min="8189" max="8189" width="0" style="526" hidden="1" customWidth="1"/>
    <col min="8190" max="8190" width="14.375" style="526" customWidth="1"/>
    <col min="8191" max="8191" width="0" style="526" hidden="1" customWidth="1"/>
    <col min="8192" max="8443" width="9.625" style="526"/>
    <col min="8444" max="8444" width="63.625" style="526" customWidth="1"/>
    <col min="8445" max="8445" width="0" style="526" hidden="1" customWidth="1"/>
    <col min="8446" max="8446" width="14.375" style="526" customWidth="1"/>
    <col min="8447" max="8447" width="0" style="526" hidden="1" customWidth="1"/>
    <col min="8448" max="8699" width="9.625" style="526"/>
    <col min="8700" max="8700" width="63.625" style="526" customWidth="1"/>
    <col min="8701" max="8701" width="0" style="526" hidden="1" customWidth="1"/>
    <col min="8702" max="8702" width="14.375" style="526" customWidth="1"/>
    <col min="8703" max="8703" width="0" style="526" hidden="1" customWidth="1"/>
    <col min="8704" max="8955" width="9.625" style="526"/>
    <col min="8956" max="8956" width="63.625" style="526" customWidth="1"/>
    <col min="8957" max="8957" width="0" style="526" hidden="1" customWidth="1"/>
    <col min="8958" max="8958" width="14.375" style="526" customWidth="1"/>
    <col min="8959" max="8959" width="0" style="526" hidden="1" customWidth="1"/>
    <col min="8960" max="9211" width="9.625" style="526"/>
    <col min="9212" max="9212" width="63.625" style="526" customWidth="1"/>
    <col min="9213" max="9213" width="0" style="526" hidden="1" customWidth="1"/>
    <col min="9214" max="9214" width="14.375" style="526" customWidth="1"/>
    <col min="9215" max="9215" width="0" style="526" hidden="1" customWidth="1"/>
    <col min="9216" max="9467" width="9.625" style="526"/>
    <col min="9468" max="9468" width="63.625" style="526" customWidth="1"/>
    <col min="9469" max="9469" width="0" style="526" hidden="1" customWidth="1"/>
    <col min="9470" max="9470" width="14.375" style="526" customWidth="1"/>
    <col min="9471" max="9471" width="0" style="526" hidden="1" customWidth="1"/>
    <col min="9472" max="9723" width="9.625" style="526"/>
    <col min="9724" max="9724" width="63.625" style="526" customWidth="1"/>
    <col min="9725" max="9725" width="0" style="526" hidden="1" customWidth="1"/>
    <col min="9726" max="9726" width="14.375" style="526" customWidth="1"/>
    <col min="9727" max="9727" width="0" style="526" hidden="1" customWidth="1"/>
    <col min="9728" max="9979" width="9.625" style="526"/>
    <col min="9980" max="9980" width="63.625" style="526" customWidth="1"/>
    <col min="9981" max="9981" width="0" style="526" hidden="1" customWidth="1"/>
    <col min="9982" max="9982" width="14.375" style="526" customWidth="1"/>
    <col min="9983" max="9983" width="0" style="526" hidden="1" customWidth="1"/>
    <col min="9984" max="10235" width="9.625" style="526"/>
    <col min="10236" max="10236" width="63.625" style="526" customWidth="1"/>
    <col min="10237" max="10237" width="0" style="526" hidden="1" customWidth="1"/>
    <col min="10238" max="10238" width="14.375" style="526" customWidth="1"/>
    <col min="10239" max="10239" width="0" style="526" hidden="1" customWidth="1"/>
    <col min="10240" max="10491" width="9.625" style="526"/>
    <col min="10492" max="10492" width="63.625" style="526" customWidth="1"/>
    <col min="10493" max="10493" width="0" style="526" hidden="1" customWidth="1"/>
    <col min="10494" max="10494" width="14.375" style="526" customWidth="1"/>
    <col min="10495" max="10495" width="0" style="526" hidden="1" customWidth="1"/>
    <col min="10496" max="10747" width="9.625" style="526"/>
    <col min="10748" max="10748" width="63.625" style="526" customWidth="1"/>
    <col min="10749" max="10749" width="0" style="526" hidden="1" customWidth="1"/>
    <col min="10750" max="10750" width="14.375" style="526" customWidth="1"/>
    <col min="10751" max="10751" width="0" style="526" hidden="1" customWidth="1"/>
    <col min="10752" max="11003" width="9.625" style="526"/>
    <col min="11004" max="11004" width="63.625" style="526" customWidth="1"/>
    <col min="11005" max="11005" width="0" style="526" hidden="1" customWidth="1"/>
    <col min="11006" max="11006" width="14.375" style="526" customWidth="1"/>
    <col min="11007" max="11007" width="0" style="526" hidden="1" customWidth="1"/>
    <col min="11008" max="11259" width="9.625" style="526"/>
    <col min="11260" max="11260" width="63.625" style="526" customWidth="1"/>
    <col min="11261" max="11261" width="0" style="526" hidden="1" customWidth="1"/>
    <col min="11262" max="11262" width="14.375" style="526" customWidth="1"/>
    <col min="11263" max="11263" width="0" style="526" hidden="1" customWidth="1"/>
    <col min="11264" max="11515" width="9.625" style="526"/>
    <col min="11516" max="11516" width="63.625" style="526" customWidth="1"/>
    <col min="11517" max="11517" width="0" style="526" hidden="1" customWidth="1"/>
    <col min="11518" max="11518" width="14.375" style="526" customWidth="1"/>
    <col min="11519" max="11519" width="0" style="526" hidden="1" customWidth="1"/>
    <col min="11520" max="11771" width="9.625" style="526"/>
    <col min="11772" max="11772" width="63.625" style="526" customWidth="1"/>
    <col min="11773" max="11773" width="0" style="526" hidden="1" customWidth="1"/>
    <col min="11774" max="11774" width="14.375" style="526" customWidth="1"/>
    <col min="11775" max="11775" width="0" style="526" hidden="1" customWidth="1"/>
    <col min="11776" max="12027" width="9.625" style="526"/>
    <col min="12028" max="12028" width="63.625" style="526" customWidth="1"/>
    <col min="12029" max="12029" width="0" style="526" hidden="1" customWidth="1"/>
    <col min="12030" max="12030" width="14.375" style="526" customWidth="1"/>
    <col min="12031" max="12031" width="0" style="526" hidden="1" customWidth="1"/>
    <col min="12032" max="12283" width="9.625" style="526"/>
    <col min="12284" max="12284" width="63.625" style="526" customWidth="1"/>
    <col min="12285" max="12285" width="0" style="526" hidden="1" customWidth="1"/>
    <col min="12286" max="12286" width="14.375" style="526" customWidth="1"/>
    <col min="12287" max="12287" width="0" style="526" hidden="1" customWidth="1"/>
    <col min="12288" max="12539" width="9.625" style="526"/>
    <col min="12540" max="12540" width="63.625" style="526" customWidth="1"/>
    <col min="12541" max="12541" width="0" style="526" hidden="1" customWidth="1"/>
    <col min="12542" max="12542" width="14.375" style="526" customWidth="1"/>
    <col min="12543" max="12543" width="0" style="526" hidden="1" customWidth="1"/>
    <col min="12544" max="12795" width="9.625" style="526"/>
    <col min="12796" max="12796" width="63.625" style="526" customWidth="1"/>
    <col min="12797" max="12797" width="0" style="526" hidden="1" customWidth="1"/>
    <col min="12798" max="12798" width="14.375" style="526" customWidth="1"/>
    <col min="12799" max="12799" width="0" style="526" hidden="1" customWidth="1"/>
    <col min="12800" max="13051" width="9.625" style="526"/>
    <col min="13052" max="13052" width="63.625" style="526" customWidth="1"/>
    <col min="13053" max="13053" width="0" style="526" hidden="1" customWidth="1"/>
    <col min="13054" max="13054" width="14.375" style="526" customWidth="1"/>
    <col min="13055" max="13055" width="0" style="526" hidden="1" customWidth="1"/>
    <col min="13056" max="13307" width="9.625" style="526"/>
    <col min="13308" max="13308" width="63.625" style="526" customWidth="1"/>
    <col min="13309" max="13309" width="0" style="526" hidden="1" customWidth="1"/>
    <col min="13310" max="13310" width="14.375" style="526" customWidth="1"/>
    <col min="13311" max="13311" width="0" style="526" hidden="1" customWidth="1"/>
    <col min="13312" max="13563" width="9.625" style="526"/>
    <col min="13564" max="13564" width="63.625" style="526" customWidth="1"/>
    <col min="13565" max="13565" width="0" style="526" hidden="1" customWidth="1"/>
    <col min="13566" max="13566" width="14.375" style="526" customWidth="1"/>
    <col min="13567" max="13567" width="0" style="526" hidden="1" customWidth="1"/>
    <col min="13568" max="13819" width="9.625" style="526"/>
    <col min="13820" max="13820" width="63.625" style="526" customWidth="1"/>
    <col min="13821" max="13821" width="0" style="526" hidden="1" customWidth="1"/>
    <col min="13822" max="13822" width="14.375" style="526" customWidth="1"/>
    <col min="13823" max="13823" width="0" style="526" hidden="1" customWidth="1"/>
    <col min="13824" max="14075" width="9.625" style="526"/>
    <col min="14076" max="14076" width="63.625" style="526" customWidth="1"/>
    <col min="14077" max="14077" width="0" style="526" hidden="1" customWidth="1"/>
    <col min="14078" max="14078" width="14.375" style="526" customWidth="1"/>
    <col min="14079" max="14079" width="0" style="526" hidden="1" customWidth="1"/>
    <col min="14080" max="14331" width="9.625" style="526"/>
    <col min="14332" max="14332" width="63.625" style="526" customWidth="1"/>
    <col min="14333" max="14333" width="0" style="526" hidden="1" customWidth="1"/>
    <col min="14334" max="14334" width="14.375" style="526" customWidth="1"/>
    <col min="14335" max="14335" width="0" style="526" hidden="1" customWidth="1"/>
    <col min="14336" max="14587" width="9.625" style="526"/>
    <col min="14588" max="14588" width="63.625" style="526" customWidth="1"/>
    <col min="14589" max="14589" width="0" style="526" hidden="1" customWidth="1"/>
    <col min="14590" max="14590" width="14.375" style="526" customWidth="1"/>
    <col min="14591" max="14591" width="0" style="526" hidden="1" customWidth="1"/>
    <col min="14592" max="14843" width="9.625" style="526"/>
    <col min="14844" max="14844" width="63.625" style="526" customWidth="1"/>
    <col min="14845" max="14845" width="0" style="526" hidden="1" customWidth="1"/>
    <col min="14846" max="14846" width="14.375" style="526" customWidth="1"/>
    <col min="14847" max="14847" width="0" style="526" hidden="1" customWidth="1"/>
    <col min="14848" max="15099" width="9.625" style="526"/>
    <col min="15100" max="15100" width="63.625" style="526" customWidth="1"/>
    <col min="15101" max="15101" width="0" style="526" hidden="1" customWidth="1"/>
    <col min="15102" max="15102" width="14.375" style="526" customWidth="1"/>
    <col min="15103" max="15103" width="0" style="526" hidden="1" customWidth="1"/>
    <col min="15104" max="15355" width="9.625" style="526"/>
    <col min="15356" max="15356" width="63.625" style="526" customWidth="1"/>
    <col min="15357" max="15357" width="0" style="526" hidden="1" customWidth="1"/>
    <col min="15358" max="15358" width="14.375" style="526" customWidth="1"/>
    <col min="15359" max="15359" width="0" style="526" hidden="1" customWidth="1"/>
    <col min="15360" max="15611" width="9.625" style="526"/>
    <col min="15612" max="15612" width="63.625" style="526" customWidth="1"/>
    <col min="15613" max="15613" width="0" style="526" hidden="1" customWidth="1"/>
    <col min="15614" max="15614" width="14.375" style="526" customWidth="1"/>
    <col min="15615" max="15615" width="0" style="526" hidden="1" customWidth="1"/>
    <col min="15616" max="15867" width="9.625" style="526"/>
    <col min="15868" max="15868" width="63.625" style="526" customWidth="1"/>
    <col min="15869" max="15869" width="0" style="526" hidden="1" customWidth="1"/>
    <col min="15870" max="15870" width="14.375" style="526" customWidth="1"/>
    <col min="15871" max="15871" width="0" style="526" hidden="1" customWidth="1"/>
    <col min="15872" max="16123" width="9.625" style="526"/>
    <col min="16124" max="16124" width="63.625" style="526" customWidth="1"/>
    <col min="16125" max="16125" width="0" style="526" hidden="1" customWidth="1"/>
    <col min="16126" max="16126" width="14.375" style="526" customWidth="1"/>
    <col min="16127" max="16127" width="0" style="526" hidden="1" customWidth="1"/>
    <col min="16128" max="16384" width="9.625" style="526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"&amp;Inputs!$A28&amp;""</f>
        <v>Reference Schedule 1.12</v>
      </c>
    </row>
    <row r="5" spans="1:2" x14ac:dyDescent="0.25">
      <c r="B5" s="529" t="str">
        <f>"Sponsoring Witness: "&amp;Inputs!$B28&amp;""</f>
        <v>Sponsoring Witness: Charnas</v>
      </c>
    </row>
    <row r="8" spans="1:2" x14ac:dyDescent="0.25">
      <c r="A8" s="800" t="s">
        <v>230</v>
      </c>
      <c r="B8" s="800"/>
    </row>
    <row r="9" spans="1:2" x14ac:dyDescent="0.25">
      <c r="A9" s="497"/>
    </row>
    <row r="10" spans="1:2" x14ac:dyDescent="0.25">
      <c r="A10" s="498"/>
    </row>
    <row r="11" spans="1:2" x14ac:dyDescent="0.25">
      <c r="A11" s="808" t="s">
        <v>384</v>
      </c>
      <c r="B11" s="807"/>
    </row>
    <row r="12" spans="1:2" x14ac:dyDescent="0.25">
      <c r="A12" s="801" t="s">
        <v>732</v>
      </c>
      <c r="B12" s="800"/>
    </row>
    <row r="15" spans="1:2" s="229" customFormat="1" x14ac:dyDescent="0.25">
      <c r="A15" s="663" t="s">
        <v>612</v>
      </c>
      <c r="B15" s="350">
        <v>144441326</v>
      </c>
    </row>
    <row r="16" spans="1:2" s="229" customFormat="1" x14ac:dyDescent="0.25">
      <c r="A16" s="663"/>
      <c r="B16" s="664"/>
    </row>
    <row r="17" spans="1:2" s="229" customFormat="1" x14ac:dyDescent="0.25">
      <c r="A17" s="663" t="s">
        <v>613</v>
      </c>
      <c r="B17" s="51">
        <v>45422676</v>
      </c>
    </row>
    <row r="18" spans="1:2" s="229" customFormat="1" x14ac:dyDescent="0.25">
      <c r="A18" s="663"/>
      <c r="B18" s="664"/>
    </row>
    <row r="19" spans="1:2" s="229" customFormat="1" ht="16.5" thickBot="1" x14ac:dyDescent="0.3">
      <c r="A19" s="663" t="s">
        <v>657</v>
      </c>
      <c r="B19" s="665">
        <f>SUM(B15:B17)</f>
        <v>189864002</v>
      </c>
    </row>
    <row r="20" spans="1:2" s="229" customFormat="1" ht="16.5" thickTop="1" x14ac:dyDescent="0.25">
      <c r="A20" s="663"/>
      <c r="B20" s="664"/>
    </row>
    <row r="21" spans="1:2" s="229" customFormat="1" x14ac:dyDescent="0.25">
      <c r="A21" s="663" t="s">
        <v>658</v>
      </c>
      <c r="B21" s="350">
        <f>ROUND((181609847.79+3077745.77+7505149.44),0)</f>
        <v>192192743</v>
      </c>
    </row>
    <row r="22" spans="1:2" s="229" customFormat="1" x14ac:dyDescent="0.25">
      <c r="A22" s="663" t="s">
        <v>659</v>
      </c>
      <c r="B22" s="666">
        <f>-ROUND(3077745.77,0)</f>
        <v>-3077746</v>
      </c>
    </row>
    <row r="23" spans="1:2" s="229" customFormat="1" x14ac:dyDescent="0.25">
      <c r="A23" s="663" t="s">
        <v>660</v>
      </c>
      <c r="B23" s="798">
        <v>-67949</v>
      </c>
    </row>
    <row r="24" spans="1:2" s="229" customFormat="1" x14ac:dyDescent="0.25">
      <c r="A24" s="663" t="s">
        <v>772</v>
      </c>
      <c r="B24" s="667">
        <v>-84</v>
      </c>
    </row>
    <row r="25" spans="1:2" s="229" customFormat="1" ht="30" customHeight="1" thickBot="1" x14ac:dyDescent="0.3">
      <c r="A25" s="663" t="s">
        <v>773</v>
      </c>
      <c r="B25" s="665">
        <f>SUM(B21:B24)</f>
        <v>189046964</v>
      </c>
    </row>
    <row r="26" spans="1:2" s="229" customFormat="1" ht="16.5" thickTop="1" x14ac:dyDescent="0.25">
      <c r="A26" s="663"/>
      <c r="B26" s="668"/>
    </row>
    <row r="27" spans="1:2" s="229" customFormat="1" x14ac:dyDescent="0.25">
      <c r="A27" s="663" t="s">
        <v>774</v>
      </c>
    </row>
    <row r="28" spans="1:2" s="229" customFormat="1" x14ac:dyDescent="0.25">
      <c r="A28" s="663" t="s">
        <v>776</v>
      </c>
      <c r="B28" s="350">
        <f>B19-B25</f>
        <v>817038</v>
      </c>
    </row>
    <row r="29" spans="1:2" s="229" customFormat="1" x14ac:dyDescent="0.25">
      <c r="B29" s="235"/>
    </row>
    <row r="30" spans="1:2" s="229" customFormat="1" x14ac:dyDescent="0.25">
      <c r="A30" s="663" t="s">
        <v>396</v>
      </c>
      <c r="B30" s="669">
        <f>Allocators!C24</f>
        <v>0.87256545893618886</v>
      </c>
    </row>
    <row r="31" spans="1:2" s="229" customFormat="1" x14ac:dyDescent="0.25">
      <c r="A31" s="242"/>
    </row>
    <row r="32" spans="1:2" s="229" customFormat="1" ht="16.5" thickBot="1" x14ac:dyDescent="0.3">
      <c r="A32" s="663" t="s">
        <v>775</v>
      </c>
      <c r="B32" s="665">
        <f>ROUND(+B28*B30,0)</f>
        <v>712919</v>
      </c>
    </row>
    <row r="33" spans="1:1" s="229" customFormat="1" ht="16.5" thickTop="1" x14ac:dyDescent="0.25"/>
    <row r="34" spans="1:1" s="229" customFormat="1" x14ac:dyDescent="0.25">
      <c r="A34" s="229" t="s">
        <v>614</v>
      </c>
    </row>
    <row r="35" spans="1:1" s="229" customFormat="1" x14ac:dyDescent="0.25">
      <c r="A35" s="229" t="s">
        <v>615</v>
      </c>
    </row>
    <row r="36" spans="1:1" x14ac:dyDescent="0.25">
      <c r="A36" s="229" t="s">
        <v>777</v>
      </c>
    </row>
  </sheetData>
  <mergeCells count="3">
    <mergeCell ref="A8:B8"/>
    <mergeCell ref="A11:B11"/>
    <mergeCell ref="A12:B12"/>
  </mergeCells>
  <printOptions horizontalCentered="1" gridLinesSet="0"/>
  <pageMargins left="1" right="0.5" top="1" bottom="0.5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" enableFormatConditionsCalculation="0">
    <pageSetUpPr fitToPage="1"/>
  </sheetPr>
  <dimension ref="A1:AD52"/>
  <sheetViews>
    <sheetView showGridLines="0" zoomScale="85" zoomScaleNormal="85" zoomScaleSheetLayoutView="55" workbookViewId="0">
      <selection activeCell="A2" sqref="A2"/>
    </sheetView>
  </sheetViews>
  <sheetFormatPr defaultColWidth="15.625" defaultRowHeight="15.75" x14ac:dyDescent="0.25"/>
  <cols>
    <col min="1" max="1" width="4.75" style="25" customWidth="1"/>
    <col min="2" max="2" width="33.875" style="25" customWidth="1"/>
    <col min="3" max="3" width="16.625" style="25" customWidth="1"/>
    <col min="4" max="5" width="1.5" style="25" customWidth="1"/>
    <col min="6" max="6" width="16.125" style="25" customWidth="1"/>
    <col min="7" max="7" width="1.75" style="25" customWidth="1"/>
    <col min="8" max="8" width="16.5" style="25" customWidth="1"/>
    <col min="9" max="9" width="1.75" style="25" customWidth="1"/>
    <col min="10" max="10" width="16.625" style="25" customWidth="1"/>
    <col min="11" max="11" width="2" style="25" customWidth="1"/>
    <col min="12" max="12" width="16.625" style="25" customWidth="1"/>
    <col min="13" max="13" width="2" style="25" customWidth="1"/>
    <col min="14" max="14" width="16.625" style="25" customWidth="1"/>
    <col min="15" max="15" width="3.5" style="25" customWidth="1"/>
    <col min="16" max="16" width="16.625" style="25" customWidth="1"/>
    <col min="17" max="17" width="1.625" style="25" customWidth="1"/>
    <col min="18" max="18" width="16.625" style="25" customWidth="1"/>
    <col min="19" max="19" width="1.625" style="25" customWidth="1"/>
    <col min="20" max="20" width="21.625" style="25" customWidth="1"/>
    <col min="21" max="21" width="1.625" style="25" customWidth="1"/>
    <col min="22" max="22" width="16.625" style="25" customWidth="1"/>
    <col min="23" max="23" width="2" style="25" customWidth="1"/>
    <col min="24" max="24" width="16" style="25" customWidth="1"/>
    <col min="25" max="25" width="2.125" style="25" customWidth="1"/>
    <col min="26" max="26" width="14.375" style="25" customWidth="1"/>
    <col min="27" max="27" width="2.5" style="25" customWidth="1"/>
    <col min="28" max="28" width="15.875" style="25" customWidth="1"/>
    <col min="29" max="16384" width="15.625" style="25"/>
  </cols>
  <sheetData>
    <row r="1" spans="1:28" x14ac:dyDescent="0.25">
      <c r="A1" s="79"/>
      <c r="B1" s="8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8" t="s">
        <v>764</v>
      </c>
      <c r="U1" s="2"/>
      <c r="V1" s="275"/>
      <c r="W1" s="2"/>
      <c r="Y1" s="2"/>
      <c r="Z1" s="2"/>
      <c r="AA1" s="2"/>
    </row>
    <row r="2" spans="1:28" x14ac:dyDescent="0.25">
      <c r="A2" s="79"/>
      <c r="B2" s="8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29" t="str">
        <f>"Sponsoring Witness: "&amp;Inputs!$B8&amp;""</f>
        <v>Sponsoring Witness: Blake</v>
      </c>
      <c r="U2" s="2"/>
      <c r="W2" s="2"/>
      <c r="Y2" s="2"/>
      <c r="Z2" s="2"/>
      <c r="AA2" s="2"/>
    </row>
    <row r="3" spans="1:28" x14ac:dyDescent="0.25">
      <c r="A3" s="80"/>
      <c r="B3" s="8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240</v>
      </c>
      <c r="U3" s="2"/>
      <c r="Y3" s="2"/>
      <c r="Z3" s="2"/>
    </row>
    <row r="4" spans="1:28" x14ac:dyDescent="0.25">
      <c r="A4" s="800" t="s">
        <v>230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2"/>
      <c r="Y4" s="208"/>
      <c r="Z4" s="208"/>
      <c r="AA4" s="208"/>
      <c r="AB4" s="208"/>
    </row>
    <row r="5" spans="1:2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"/>
      <c r="Z5" s="2"/>
      <c r="AA5" s="2"/>
      <c r="AB5" s="2"/>
    </row>
    <row r="6" spans="1:28" x14ac:dyDescent="0.25">
      <c r="A6" s="800" t="str">
        <f>"Capitalization at "&amp;Inputs!B3&amp;""</f>
        <v>Capitalization at March 31, 2012</v>
      </c>
      <c r="B6" s="800"/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2"/>
      <c r="Y6" s="208"/>
      <c r="Z6" s="208"/>
      <c r="AA6" s="208"/>
      <c r="AB6" s="208"/>
    </row>
    <row r="7" spans="1:28" s="531" customFormat="1" x14ac:dyDescent="0.25">
      <c r="A7" s="801" t="s">
        <v>761</v>
      </c>
      <c r="B7" s="800"/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800"/>
      <c r="N7" s="800"/>
      <c r="O7" s="800"/>
      <c r="P7" s="800"/>
      <c r="Q7" s="800"/>
      <c r="R7" s="800"/>
      <c r="S7" s="800"/>
      <c r="T7" s="800"/>
      <c r="U7" s="800"/>
      <c r="V7" s="800"/>
      <c r="W7" s="800"/>
      <c r="X7" s="720"/>
      <c r="Y7" s="534"/>
      <c r="Z7" s="534"/>
      <c r="AA7" s="534"/>
      <c r="AB7" s="534"/>
    </row>
    <row r="8" spans="1:28" s="531" customFormat="1" x14ac:dyDescent="0.25">
      <c r="A8" s="800"/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800"/>
      <c r="N8" s="800"/>
      <c r="O8" s="800"/>
      <c r="P8" s="800"/>
      <c r="Q8" s="800"/>
      <c r="R8" s="800"/>
      <c r="S8" s="800"/>
      <c r="T8" s="800"/>
      <c r="U8" s="800"/>
      <c r="V8" s="800"/>
      <c r="W8" s="800"/>
      <c r="X8" s="535"/>
      <c r="Y8" s="534"/>
      <c r="Z8" s="534"/>
      <c r="AA8" s="534"/>
      <c r="AB8" s="534"/>
    </row>
    <row r="9" spans="1:28" ht="18" x14ac:dyDescent="0.4">
      <c r="A9" s="80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8" x14ac:dyDescent="0.25">
      <c r="A10" s="80"/>
      <c r="B10" s="80"/>
      <c r="C10" s="2"/>
      <c r="D10" s="2"/>
      <c r="E10" s="2"/>
      <c r="H10" s="2"/>
      <c r="I10" s="2"/>
      <c r="J10" s="2"/>
      <c r="K10" s="2"/>
      <c r="L10" s="2"/>
      <c r="M10" s="2"/>
      <c r="N10" s="8" t="s">
        <v>161</v>
      </c>
      <c r="Q10" s="2"/>
      <c r="R10" s="2"/>
      <c r="S10" s="2"/>
      <c r="T10" s="2"/>
      <c r="W10" s="2"/>
      <c r="X10" s="8"/>
      <c r="Y10" s="8"/>
    </row>
    <row r="11" spans="1:28" x14ac:dyDescent="0.25">
      <c r="A11" s="80"/>
      <c r="B11" s="80"/>
      <c r="C11" s="8"/>
      <c r="D11" s="8"/>
      <c r="E11" s="8"/>
      <c r="H11" s="8"/>
      <c r="I11" s="8"/>
      <c r="J11" s="8"/>
      <c r="K11" s="8"/>
      <c r="L11" s="8"/>
      <c r="M11" s="8"/>
      <c r="N11" s="8" t="s">
        <v>214</v>
      </c>
      <c r="O11" s="8"/>
      <c r="P11" s="8" t="s">
        <v>236</v>
      </c>
      <c r="R11" s="8" t="s">
        <v>238</v>
      </c>
      <c r="S11" s="8"/>
      <c r="T11" s="21" t="s">
        <v>239</v>
      </c>
      <c r="Y11" s="21"/>
      <c r="AA11" s="8"/>
      <c r="AB11" s="8"/>
    </row>
    <row r="12" spans="1:28" x14ac:dyDescent="0.25">
      <c r="A12" s="80"/>
      <c r="B12" s="80"/>
      <c r="C12" s="8"/>
      <c r="D12" s="8"/>
      <c r="E12" s="8"/>
      <c r="F12" s="8"/>
      <c r="H12" s="8" t="s">
        <v>257</v>
      </c>
      <c r="I12" s="8"/>
      <c r="J12" s="8" t="s">
        <v>233</v>
      </c>
      <c r="K12" s="8"/>
      <c r="L12" s="8" t="s">
        <v>29</v>
      </c>
      <c r="M12" s="8"/>
      <c r="N12" s="8" t="s">
        <v>235</v>
      </c>
      <c r="O12" s="8"/>
      <c r="P12" s="8" t="s">
        <v>237</v>
      </c>
      <c r="Q12" s="21"/>
      <c r="R12" s="8" t="s">
        <v>213</v>
      </c>
      <c r="S12" s="8"/>
      <c r="T12" s="8" t="s">
        <v>238</v>
      </c>
    </row>
    <row r="13" spans="1:28" x14ac:dyDescent="0.25">
      <c r="A13" s="80"/>
      <c r="B13" s="2"/>
      <c r="C13" s="8" t="s">
        <v>162</v>
      </c>
      <c r="D13" s="8"/>
      <c r="E13" s="8"/>
      <c r="F13" s="21" t="s">
        <v>217</v>
      </c>
      <c r="H13" s="8" t="s">
        <v>231</v>
      </c>
      <c r="I13" s="8"/>
      <c r="J13" s="8" t="s">
        <v>234</v>
      </c>
      <c r="K13" s="8"/>
      <c r="L13" s="8" t="s">
        <v>30</v>
      </c>
      <c r="M13" s="8"/>
      <c r="N13" s="8" t="s">
        <v>194</v>
      </c>
      <c r="O13" s="8"/>
      <c r="P13" s="8" t="s">
        <v>194</v>
      </c>
      <c r="Q13" s="21"/>
      <c r="R13" s="8" t="s">
        <v>12</v>
      </c>
      <c r="S13" s="8"/>
      <c r="T13" s="21" t="s">
        <v>194</v>
      </c>
    </row>
    <row r="14" spans="1:28" x14ac:dyDescent="0.25">
      <c r="A14" s="2"/>
      <c r="B14" s="2"/>
      <c r="C14" s="20" t="str">
        <f>+Inputs!B5</f>
        <v>3-31-2012</v>
      </c>
      <c r="D14" s="8"/>
      <c r="E14" s="8"/>
      <c r="F14" s="21" t="s">
        <v>218</v>
      </c>
      <c r="H14" s="8" t="s">
        <v>232</v>
      </c>
      <c r="I14" s="8"/>
      <c r="J14" s="203" t="s">
        <v>656</v>
      </c>
      <c r="K14" s="8"/>
      <c r="L14" s="203" t="s">
        <v>95</v>
      </c>
      <c r="M14" s="8"/>
      <c r="N14" s="203" t="s">
        <v>655</v>
      </c>
      <c r="O14" s="8"/>
      <c r="P14" s="203" t="s">
        <v>654</v>
      </c>
      <c r="Q14" s="21"/>
      <c r="R14" s="203" t="s">
        <v>385</v>
      </c>
      <c r="S14" s="8"/>
      <c r="T14" s="203" t="s">
        <v>653</v>
      </c>
    </row>
    <row r="15" spans="1:28" x14ac:dyDescent="0.25">
      <c r="A15" s="2"/>
      <c r="B15" s="2"/>
      <c r="C15" s="18" t="s">
        <v>159</v>
      </c>
      <c r="D15" s="8"/>
      <c r="E15" s="21"/>
      <c r="F15" s="18">
        <v>-2</v>
      </c>
      <c r="H15" s="18">
        <v>-3</v>
      </c>
      <c r="I15" s="8"/>
      <c r="J15" s="492">
        <v>-4</v>
      </c>
      <c r="K15" s="8"/>
      <c r="L15" s="492">
        <v>-5</v>
      </c>
      <c r="M15" s="8"/>
      <c r="N15" s="492">
        <v>-6</v>
      </c>
      <c r="O15" s="8"/>
      <c r="P15" s="492">
        <v>-7</v>
      </c>
      <c r="Q15" s="8"/>
      <c r="R15" s="492">
        <v>-8</v>
      </c>
      <c r="S15" s="8"/>
      <c r="T15" s="492">
        <v>-9</v>
      </c>
    </row>
    <row r="16" spans="1:28" x14ac:dyDescent="0.25">
      <c r="A16" s="86"/>
      <c r="B16" s="2"/>
      <c r="C16" s="12"/>
      <c r="D16" s="2"/>
      <c r="E16" s="12"/>
      <c r="F16" s="8"/>
      <c r="H16" s="8"/>
      <c r="I16" s="8"/>
      <c r="J16" s="8"/>
      <c r="K16" s="8"/>
      <c r="L16" s="8"/>
      <c r="M16" s="8"/>
      <c r="N16" s="8"/>
      <c r="O16" s="8"/>
      <c r="P16" s="21"/>
      <c r="Q16" s="21"/>
      <c r="R16" s="8"/>
      <c r="S16" s="8"/>
    </row>
    <row r="17" spans="1:29" x14ac:dyDescent="0.25">
      <c r="A17" s="2"/>
      <c r="B17" s="2"/>
      <c r="C17" s="2"/>
      <c r="D17" s="2"/>
      <c r="E17" s="2"/>
      <c r="F17" s="2"/>
      <c r="H17" s="2"/>
      <c r="I17" s="2"/>
      <c r="J17" s="2"/>
      <c r="K17" s="2"/>
      <c r="L17" s="2"/>
      <c r="M17" s="2"/>
      <c r="N17" s="2"/>
      <c r="O17" s="2"/>
      <c r="R17" s="2"/>
      <c r="S17" s="2"/>
    </row>
    <row r="18" spans="1:29" x14ac:dyDescent="0.25">
      <c r="A18" s="14" t="s">
        <v>170</v>
      </c>
      <c r="B18" s="2" t="s">
        <v>195</v>
      </c>
      <c r="C18" s="164">
        <v>0</v>
      </c>
      <c r="D18" s="2"/>
      <c r="E18" s="2"/>
      <c r="F18" s="41">
        <f>ROUND(+C18/$C$24,4)</f>
        <v>0</v>
      </c>
      <c r="H18" s="40">
        <v>0</v>
      </c>
      <c r="I18" s="2"/>
      <c r="J18" s="40">
        <f>ROUND(+F18*$J$24,0)</f>
        <v>0</v>
      </c>
      <c r="K18" s="2"/>
      <c r="L18" s="40">
        <f>ROUND(+F18*$L$24,0)</f>
        <v>0</v>
      </c>
      <c r="M18" s="2"/>
      <c r="N18" s="40">
        <f>SUM(H18:M18)</f>
        <v>0</v>
      </c>
      <c r="O18" s="2"/>
      <c r="P18" s="49">
        <f>+C18+N18</f>
        <v>0</v>
      </c>
      <c r="R18" s="328">
        <f>'Ex 3'!D44</f>
        <v>0.87519999999999998</v>
      </c>
      <c r="S18" s="2"/>
      <c r="T18" s="49">
        <f>ROUND(+P18*R18,0)</f>
        <v>0</v>
      </c>
    </row>
    <row r="19" spans="1:29" x14ac:dyDescent="0.25">
      <c r="A19" s="14"/>
      <c r="B19" s="2"/>
      <c r="C19" s="165"/>
      <c r="D19" s="2"/>
      <c r="E19" s="2"/>
      <c r="F19" s="41"/>
      <c r="H19" s="52"/>
      <c r="I19" s="2"/>
      <c r="J19" s="2"/>
      <c r="K19" s="2"/>
      <c r="L19" s="2"/>
      <c r="M19" s="2"/>
      <c r="N19" s="2"/>
      <c r="O19" s="2"/>
      <c r="R19" s="96"/>
      <c r="S19" s="2"/>
    </row>
    <row r="20" spans="1:29" x14ac:dyDescent="0.25">
      <c r="A20" s="14" t="s">
        <v>171</v>
      </c>
      <c r="B20" s="2" t="s">
        <v>211</v>
      </c>
      <c r="C20" s="165">
        <v>1840750374</v>
      </c>
      <c r="D20" s="2"/>
      <c r="E20" s="2"/>
      <c r="F20" s="41">
        <f>ROUND(+C20/$C$24,4)</f>
        <v>0.46260000000000001</v>
      </c>
      <c r="H20" s="52">
        <v>0</v>
      </c>
      <c r="I20" s="2"/>
      <c r="J20" s="52">
        <f>ROUND(+F20*$J$24,0)</f>
        <v>-599437</v>
      </c>
      <c r="K20" s="2"/>
      <c r="L20" s="2">
        <f>ROUND(+F20*$L$24,0)</f>
        <v>-198511</v>
      </c>
      <c r="M20" s="2"/>
      <c r="N20" s="2">
        <f>SUM(H20:M20)</f>
        <v>-797948</v>
      </c>
      <c r="O20" s="2"/>
      <c r="P20" s="25">
        <f>+C20+N20</f>
        <v>1839952426</v>
      </c>
      <c r="R20" s="96">
        <f>+R18</f>
        <v>0.87519999999999998</v>
      </c>
      <c r="S20" s="2"/>
      <c r="T20" s="25">
        <f>ROUND(+P20*R20,0)</f>
        <v>1610326363</v>
      </c>
    </row>
    <row r="21" spans="1:29" x14ac:dyDescent="0.25">
      <c r="A21" s="2"/>
      <c r="B21" s="2"/>
      <c r="C21" s="165"/>
      <c r="D21" s="2"/>
      <c r="E21" s="2"/>
      <c r="F21" s="41"/>
      <c r="H21" s="52"/>
      <c r="I21" s="2"/>
      <c r="J21" s="41"/>
      <c r="K21" s="2"/>
      <c r="L21" s="2"/>
      <c r="M21" s="2"/>
      <c r="N21" s="2"/>
      <c r="O21" s="2"/>
      <c r="R21" s="96"/>
      <c r="S21" s="2"/>
    </row>
    <row r="22" spans="1:29" x14ac:dyDescent="0.25">
      <c r="A22" s="14" t="s">
        <v>172</v>
      </c>
      <c r="B22" s="2" t="s">
        <v>212</v>
      </c>
      <c r="C22" s="165">
        <v>2138484751</v>
      </c>
      <c r="D22" s="2"/>
      <c r="E22" s="2"/>
      <c r="F22" s="41">
        <f>1-F18-F20</f>
        <v>0.53739999999999999</v>
      </c>
      <c r="H22" s="435">
        <f>ROUND(-14468538.75+(0.389*14468538.75)+5681776.49,0)</f>
        <v>-3158501</v>
      </c>
      <c r="I22" s="2"/>
      <c r="J22" s="52">
        <f>+J24-J18-J20</f>
        <v>-696363</v>
      </c>
      <c r="K22" s="2"/>
      <c r="L22" s="52">
        <f>+L24-L18-L20</f>
        <v>-230610</v>
      </c>
      <c r="M22" s="2"/>
      <c r="N22" s="52">
        <f>SUM(H22:M22)</f>
        <v>-4085474</v>
      </c>
      <c r="O22" s="2"/>
      <c r="P22" s="25">
        <f>+C22+N22</f>
        <v>2134399277</v>
      </c>
      <c r="R22" s="96">
        <f>+R18</f>
        <v>0.87519999999999998</v>
      </c>
      <c r="S22" s="2"/>
      <c r="T22" s="25">
        <f>ROUND(+P22*R22,0)</f>
        <v>1868026247</v>
      </c>
    </row>
    <row r="23" spans="1:29" x14ac:dyDescent="0.25">
      <c r="A23" s="2"/>
      <c r="B23" s="2"/>
      <c r="C23" s="2"/>
      <c r="D23" s="2"/>
      <c r="E23" s="2"/>
      <c r="F23" s="41"/>
      <c r="H23" s="52"/>
      <c r="I23" s="2"/>
      <c r="J23" s="2"/>
      <c r="K23" s="2"/>
      <c r="L23" s="2"/>
      <c r="M23" s="2"/>
      <c r="N23" s="2"/>
      <c r="O23" s="2"/>
      <c r="R23" s="2"/>
      <c r="S23" s="2"/>
    </row>
    <row r="24" spans="1:29" ht="24.95" customHeight="1" thickBot="1" x14ac:dyDescent="0.3">
      <c r="A24" s="14" t="s">
        <v>173</v>
      </c>
      <c r="B24" s="2" t="s">
        <v>175</v>
      </c>
      <c r="C24" s="121">
        <f>SUM(C18:C22)</f>
        <v>3979235125</v>
      </c>
      <c r="D24" s="2"/>
      <c r="E24" s="2"/>
      <c r="F24" s="83">
        <f>SUM(F18:F22)</f>
        <v>1</v>
      </c>
      <c r="H24" s="121">
        <f>SUM(H18:H22)</f>
        <v>-3158501</v>
      </c>
      <c r="I24" s="2"/>
      <c r="J24" s="464">
        <f>ROUND(-(-14468538.75+9299143.2+6465195.55),0)</f>
        <v>-1295800</v>
      </c>
      <c r="K24" s="2"/>
      <c r="L24" s="464">
        <f>-(250000+179121)</f>
        <v>-429121</v>
      </c>
      <c r="M24" s="2"/>
      <c r="N24" s="121">
        <f>SUM(N18:N22)</f>
        <v>-4883422</v>
      </c>
      <c r="O24" s="2"/>
      <c r="P24" s="121">
        <f>SUM(P18:P22)</f>
        <v>3974351703</v>
      </c>
      <c r="S24" s="2"/>
      <c r="T24" s="121">
        <f>SUM(T18:T22)</f>
        <v>3478352610</v>
      </c>
    </row>
    <row r="25" spans="1:29" ht="16.5" thickTop="1" x14ac:dyDescent="0.25">
      <c r="A25" s="2"/>
      <c r="B25" s="2"/>
      <c r="C25" s="2"/>
      <c r="D25" s="2"/>
      <c r="E25" s="2"/>
      <c r="F25" s="2"/>
      <c r="H25" s="2"/>
      <c r="J25" s="2"/>
      <c r="K25" s="2"/>
      <c r="L25" s="526"/>
      <c r="M25" s="2"/>
      <c r="N25" s="2"/>
      <c r="O25" s="2"/>
      <c r="P25" s="2"/>
      <c r="Q25" s="2"/>
      <c r="S25" s="2"/>
      <c r="U25" s="2"/>
    </row>
    <row r="26" spans="1:29" x14ac:dyDescent="0.25">
      <c r="A26" s="2"/>
      <c r="B26" s="2"/>
      <c r="C26" s="2"/>
      <c r="D26" s="2"/>
      <c r="E26" s="2"/>
      <c r="F26" s="2"/>
      <c r="H26" s="463"/>
      <c r="J26" s="2"/>
      <c r="K26" s="2"/>
      <c r="L26" s="2"/>
      <c r="M26" s="2"/>
      <c r="N26" s="2"/>
      <c r="O26" s="2"/>
      <c r="P26" s="2"/>
      <c r="Q26" s="2"/>
      <c r="R26" s="2"/>
      <c r="S26" s="2"/>
      <c r="W26" s="2"/>
      <c r="Y26" s="2"/>
    </row>
    <row r="27" spans="1:29" ht="18" x14ac:dyDescent="0.4">
      <c r="A27" s="2"/>
      <c r="B27" s="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2"/>
    </row>
    <row r="28" spans="1:29" ht="18" x14ac:dyDescent="0.4">
      <c r="A28" s="2"/>
      <c r="B28" s="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2"/>
    </row>
    <row r="29" spans="1:29" ht="23.25" customHeight="1" x14ac:dyDescent="0.4">
      <c r="A29" s="2"/>
      <c r="B29" s="2"/>
      <c r="C29" s="53"/>
      <c r="D29" s="53"/>
      <c r="E29" s="53"/>
      <c r="F29" s="53"/>
      <c r="G29" s="53"/>
      <c r="H29" s="554"/>
      <c r="I29" s="53"/>
      <c r="J29" s="138" t="s">
        <v>167</v>
      </c>
      <c r="K29" s="53"/>
      <c r="L29" s="53"/>
      <c r="M29" s="53"/>
      <c r="P29" s="2"/>
      <c r="Q29" s="2"/>
      <c r="S29" s="2"/>
      <c r="Y29" s="2"/>
      <c r="AC29" s="21"/>
    </row>
    <row r="30" spans="1:29" ht="24.75" customHeight="1" x14ac:dyDescent="0.4">
      <c r="A30" s="2"/>
      <c r="B30" s="2"/>
      <c r="C30" s="53"/>
      <c r="D30" s="53"/>
      <c r="E30" s="53"/>
      <c r="F30" s="53"/>
      <c r="G30" s="53"/>
      <c r="H30" s="138" t="s">
        <v>215</v>
      </c>
      <c r="I30" s="53"/>
      <c r="J30" s="21" t="s">
        <v>239</v>
      </c>
      <c r="K30" s="53"/>
      <c r="O30" s="8"/>
      <c r="P30" s="8" t="s">
        <v>163</v>
      </c>
      <c r="Y30" s="2"/>
      <c r="AC30" s="21"/>
    </row>
    <row r="31" spans="1:29" x14ac:dyDescent="0.25">
      <c r="A31" s="2"/>
      <c r="B31" s="2"/>
      <c r="C31" s="21" t="s">
        <v>239</v>
      </c>
      <c r="D31" s="2"/>
      <c r="E31" s="2"/>
      <c r="F31" s="2"/>
      <c r="H31" s="8" t="s">
        <v>376</v>
      </c>
      <c r="J31" s="8" t="s">
        <v>238</v>
      </c>
      <c r="K31" s="2"/>
      <c r="L31" s="21" t="s">
        <v>167</v>
      </c>
      <c r="N31" s="8" t="s">
        <v>165</v>
      </c>
      <c r="O31" s="8"/>
      <c r="P31" s="8" t="s">
        <v>164</v>
      </c>
      <c r="Y31" s="2"/>
      <c r="AB31" s="21"/>
      <c r="AC31" s="21"/>
    </row>
    <row r="32" spans="1:29" ht="24.75" customHeight="1" x14ac:dyDescent="0.4">
      <c r="C32" s="8" t="s">
        <v>238</v>
      </c>
      <c r="D32" s="57"/>
      <c r="E32" s="57"/>
      <c r="F32" s="21" t="s">
        <v>217</v>
      </c>
      <c r="H32" s="491" t="s">
        <v>377</v>
      </c>
      <c r="J32" s="21" t="s">
        <v>194</v>
      </c>
      <c r="K32" s="57"/>
      <c r="L32" s="21" t="s">
        <v>217</v>
      </c>
      <c r="N32" s="8" t="s">
        <v>163</v>
      </c>
      <c r="O32" s="8"/>
      <c r="P32" s="8" t="s">
        <v>166</v>
      </c>
      <c r="Y32" s="57"/>
      <c r="AB32" s="21"/>
      <c r="AC32" s="74"/>
    </row>
    <row r="33" spans="1:30" x14ac:dyDescent="0.25">
      <c r="A33" s="86"/>
      <c r="B33" s="85"/>
      <c r="C33" s="21" t="s">
        <v>194</v>
      </c>
      <c r="F33" s="21" t="s">
        <v>218</v>
      </c>
      <c r="H33" s="203" t="s">
        <v>652</v>
      </c>
      <c r="J33" s="203" t="s">
        <v>651</v>
      </c>
      <c r="L33" s="21" t="s">
        <v>218</v>
      </c>
      <c r="N33" s="8" t="s">
        <v>168</v>
      </c>
      <c r="O33" s="8"/>
      <c r="P33" s="203" t="s">
        <v>650</v>
      </c>
      <c r="Y33" s="21"/>
      <c r="AB33" s="21"/>
      <c r="AC33" s="74"/>
    </row>
    <row r="34" spans="1:30" x14ac:dyDescent="0.25">
      <c r="A34" s="85"/>
      <c r="B34" s="85"/>
      <c r="C34" s="18">
        <v>-9</v>
      </c>
      <c r="D34" s="21"/>
      <c r="E34" s="21"/>
      <c r="F34" s="18">
        <v>-10</v>
      </c>
      <c r="H34" s="18">
        <v>-11</v>
      </c>
      <c r="J34" s="18">
        <v>-12</v>
      </c>
      <c r="K34" s="21"/>
      <c r="L34" s="18">
        <v>-13</v>
      </c>
      <c r="N34" s="18">
        <v>-14</v>
      </c>
      <c r="O34" s="8"/>
      <c r="P34" s="18">
        <v>-15</v>
      </c>
      <c r="Y34" s="21"/>
      <c r="AB34" s="21"/>
      <c r="AC34" s="21"/>
    </row>
    <row r="35" spans="1:30" x14ac:dyDescent="0.25">
      <c r="A35" s="85"/>
      <c r="B35" s="85"/>
      <c r="C35" s="21"/>
      <c r="D35" s="21"/>
      <c r="E35" s="21"/>
      <c r="F35" s="21"/>
      <c r="H35" s="21"/>
      <c r="J35" s="21"/>
      <c r="K35" s="21"/>
      <c r="N35" s="8"/>
      <c r="O35" s="2"/>
      <c r="P35" s="8"/>
      <c r="Y35" s="21"/>
      <c r="AB35" s="21"/>
      <c r="AC35" s="21"/>
    </row>
    <row r="36" spans="1:30" x14ac:dyDescent="0.25">
      <c r="A36" s="85"/>
      <c r="B36" s="85"/>
      <c r="C36" s="21"/>
      <c r="D36" s="21"/>
      <c r="E36" s="21"/>
      <c r="F36" s="21"/>
      <c r="H36" s="21"/>
      <c r="J36" s="21"/>
      <c r="K36" s="21"/>
      <c r="N36" s="2"/>
      <c r="O36" s="2"/>
      <c r="P36" s="2"/>
      <c r="Y36" s="21"/>
    </row>
    <row r="37" spans="1:30" x14ac:dyDescent="0.25">
      <c r="A37" s="14" t="s">
        <v>170</v>
      </c>
      <c r="B37" s="2" t="s">
        <v>195</v>
      </c>
      <c r="C37" s="40">
        <f>+T18</f>
        <v>0</v>
      </c>
      <c r="D37" s="2"/>
      <c r="E37" s="2"/>
      <c r="F37" s="41">
        <f>ROUND(+C37/$C$43,4)</f>
        <v>0</v>
      </c>
      <c r="H37" s="40">
        <f>ROUND(+F37*$H$43,0)</f>
        <v>0</v>
      </c>
      <c r="J37" s="153">
        <f>+C37+H37</f>
        <v>0</v>
      </c>
      <c r="K37" s="21"/>
      <c r="L37" s="50">
        <f>ROUND(+J37/$J$43,4)</f>
        <v>0</v>
      </c>
      <c r="N37" s="400">
        <v>4.3E-3</v>
      </c>
      <c r="O37" s="526" t="s">
        <v>337</v>
      </c>
      <c r="P37" s="96">
        <f>ROUND(+$L$37*$N$37,4)</f>
        <v>0</v>
      </c>
      <c r="Y37" s="21"/>
      <c r="AB37" s="320"/>
      <c r="AC37" s="50"/>
    </row>
    <row r="38" spans="1:30" x14ac:dyDescent="0.25">
      <c r="A38" s="14"/>
      <c r="B38" s="2"/>
      <c r="C38" s="2"/>
      <c r="D38" s="2"/>
      <c r="E38" s="2"/>
      <c r="F38" s="41"/>
      <c r="H38" s="2"/>
      <c r="J38" s="88"/>
      <c r="K38" s="21"/>
      <c r="N38" s="400"/>
      <c r="O38" s="2"/>
      <c r="P38" s="8"/>
      <c r="V38"/>
      <c r="W38"/>
      <c r="X38"/>
      <c r="Y38"/>
      <c r="AA38"/>
      <c r="AB38" s="320"/>
    </row>
    <row r="39" spans="1:30" x14ac:dyDescent="0.25">
      <c r="A39" s="14" t="s">
        <v>171</v>
      </c>
      <c r="B39" s="2" t="s">
        <v>211</v>
      </c>
      <c r="C39" s="2">
        <f>+T20</f>
        <v>1610326363</v>
      </c>
      <c r="D39" s="2"/>
      <c r="E39" s="2"/>
      <c r="F39" s="41">
        <f>ROUND(+C39/$C$43,5)</f>
        <v>0.46295999999999998</v>
      </c>
      <c r="H39" s="2">
        <f>ROUND(+F39*$H$43,0)</f>
        <v>-85030505</v>
      </c>
      <c r="J39" s="75">
        <f>+C39+H39</f>
        <v>1525295858</v>
      </c>
      <c r="K39" s="21"/>
      <c r="L39" s="50">
        <f>ROUND(+J39/$J$43,4)</f>
        <v>0.46300000000000002</v>
      </c>
      <c r="N39" s="400">
        <v>3.6999999999999998E-2</v>
      </c>
      <c r="O39" s="526" t="s">
        <v>337</v>
      </c>
      <c r="P39" s="96">
        <f>ROUND(+$L$39*$N$39,4)</f>
        <v>1.7100000000000001E-2</v>
      </c>
      <c r="V39"/>
      <c r="W39"/>
      <c r="X39"/>
      <c r="Y39"/>
      <c r="AA39"/>
      <c r="AB39" s="320"/>
      <c r="AC39" s="50"/>
    </row>
    <row r="40" spans="1:30" x14ac:dyDescent="0.25">
      <c r="A40" s="2"/>
      <c r="B40" s="2"/>
      <c r="C40" s="2"/>
      <c r="D40" s="2"/>
      <c r="E40" s="2"/>
      <c r="F40" s="41"/>
      <c r="H40" s="2"/>
      <c r="J40" s="48"/>
      <c r="N40" s="400"/>
      <c r="O40" s="2"/>
      <c r="P40" s="8"/>
      <c r="Z40" s="261"/>
      <c r="AA40" s="262"/>
      <c r="AB40" s="260"/>
      <c r="AC40" s="262"/>
      <c r="AD40" s="262"/>
    </row>
    <row r="41" spans="1:30" x14ac:dyDescent="0.25">
      <c r="A41" s="14" t="s">
        <v>172</v>
      </c>
      <c r="B41" s="2" t="s">
        <v>212</v>
      </c>
      <c r="C41" s="2">
        <f>+T22</f>
        <v>1868026247</v>
      </c>
      <c r="D41" s="2"/>
      <c r="E41" s="2"/>
      <c r="F41" s="41">
        <f>1-F37-F39</f>
        <v>0.53703999999999996</v>
      </c>
      <c r="H41" s="229">
        <f>+H43-H37-H39</f>
        <v>-98636561</v>
      </c>
      <c r="J41" s="75">
        <f>+C41+H41</f>
        <v>1769389686</v>
      </c>
      <c r="L41" s="41">
        <f>1-L37-L39</f>
        <v>0.53699999999999992</v>
      </c>
      <c r="N41" s="400">
        <v>0.11</v>
      </c>
      <c r="O41" s="530" t="s">
        <v>354</v>
      </c>
      <c r="P41" s="96">
        <f>ROUND(+$L$41*$N$41,4)</f>
        <v>5.91E-2</v>
      </c>
      <c r="AB41" s="263"/>
      <c r="AC41" s="50"/>
    </row>
    <row r="42" spans="1:30" x14ac:dyDescent="0.25">
      <c r="A42" s="2"/>
      <c r="B42" s="2"/>
      <c r="C42" s="2"/>
      <c r="D42" s="2"/>
      <c r="E42" s="2"/>
      <c r="F42" s="41"/>
      <c r="H42" s="2"/>
      <c r="J42" s="48"/>
      <c r="N42" s="41"/>
      <c r="O42" s="2"/>
      <c r="P42" s="2"/>
    </row>
    <row r="43" spans="1:30" ht="24.95" customHeight="1" thickBot="1" x14ac:dyDescent="0.3">
      <c r="A43" s="14" t="s">
        <v>173</v>
      </c>
      <c r="B43" s="2" t="s">
        <v>175</v>
      </c>
      <c r="C43" s="121">
        <f>SUM(C37:C41)</f>
        <v>3478352610</v>
      </c>
      <c r="D43" s="2"/>
      <c r="E43" s="2"/>
      <c r="F43" s="83">
        <f>SUM(F37:F41)</f>
        <v>1</v>
      </c>
      <c r="H43" s="327">
        <f>-F47</f>
        <v>-183667066</v>
      </c>
      <c r="J43" s="121">
        <f>SUM(J37:J41)</f>
        <v>3294685544</v>
      </c>
      <c r="L43" s="83">
        <f>SUM(L37:L41)</f>
        <v>1</v>
      </c>
      <c r="N43" s="50"/>
      <c r="O43" s="2"/>
      <c r="P43" s="401">
        <f>SUM(P37:P41)</f>
        <v>7.6200000000000004E-2</v>
      </c>
      <c r="AC43" s="50"/>
    </row>
    <row r="44" spans="1:30" ht="16.5" thickTop="1" x14ac:dyDescent="0.25">
      <c r="H44" s="393"/>
      <c r="J44" s="259"/>
    </row>
    <row r="47" spans="1:30" ht="16.5" thickBot="1" x14ac:dyDescent="0.3">
      <c r="A47" s="402" t="s">
        <v>290</v>
      </c>
      <c r="B47" s="552" t="s">
        <v>574</v>
      </c>
      <c r="C47" s="293"/>
      <c r="D47" s="293"/>
      <c r="E47" s="293"/>
      <c r="F47" s="295">
        <f>'SuppSch-Ex 3(Page1,2)'!J44</f>
        <v>183667066</v>
      </c>
      <c r="H47" s="296"/>
    </row>
    <row r="48" spans="1:30" ht="16.5" thickTop="1" x14ac:dyDescent="0.25">
      <c r="A48" s="293" t="s">
        <v>337</v>
      </c>
      <c r="B48" s="552" t="s">
        <v>762</v>
      </c>
      <c r="C48" s="293"/>
      <c r="D48" s="293"/>
      <c r="E48" s="293"/>
      <c r="F48" s="293"/>
      <c r="G48" s="531"/>
      <c r="H48" s="293"/>
    </row>
    <row r="49" spans="1:8" x14ac:dyDescent="0.25">
      <c r="A49" s="530" t="s">
        <v>354</v>
      </c>
      <c r="B49" s="552" t="s">
        <v>528</v>
      </c>
      <c r="C49" s="293"/>
      <c r="D49" s="293"/>
      <c r="E49" s="293"/>
      <c r="F49" s="350"/>
      <c r="G49" s="531"/>
      <c r="H49" s="531"/>
    </row>
    <row r="50" spans="1:8" s="531" customFormat="1" x14ac:dyDescent="0.25">
      <c r="A50" s="293"/>
      <c r="B50" s="350"/>
      <c r="C50" s="293"/>
      <c r="D50" s="293"/>
      <c r="E50" s="293"/>
      <c r="F50" s="350"/>
    </row>
    <row r="51" spans="1:8" s="531" customFormat="1" x14ac:dyDescent="0.25">
      <c r="B51" s="345"/>
    </row>
    <row r="52" spans="1:8" s="531" customFormat="1" x14ac:dyDescent="0.25">
      <c r="B52" s="33"/>
    </row>
  </sheetData>
  <mergeCells count="4">
    <mergeCell ref="A4:W4"/>
    <mergeCell ref="A6:W6"/>
    <mergeCell ref="A7:W7"/>
    <mergeCell ref="A8:W8"/>
  </mergeCells>
  <phoneticPr fontId="68" type="noConversion"/>
  <printOptions horizontalCentered="1" gridLinesSet="0"/>
  <pageMargins left="0.32" right="0.33" top="1" bottom="0.5" header="0.5" footer="0.25"/>
  <pageSetup scale="53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7"/>
  <sheetViews>
    <sheetView zoomScale="90" zoomScaleNormal="90" workbookViewId="0">
      <selection activeCell="F81" sqref="F81"/>
    </sheetView>
  </sheetViews>
  <sheetFormatPr defaultColWidth="10.875" defaultRowHeight="15.75" x14ac:dyDescent="0.25"/>
  <cols>
    <col min="1" max="1" width="1.75" style="439" customWidth="1"/>
    <col min="2" max="2" width="3.75" style="452" customWidth="1"/>
    <col min="3" max="3" width="37.75" style="439" customWidth="1"/>
    <col min="4" max="4" width="17.75" style="439" customWidth="1"/>
    <col min="5" max="5" width="23.875" style="439" customWidth="1"/>
    <col min="6" max="6" width="18" style="439" bestFit="1" customWidth="1"/>
    <col min="7" max="7" width="19.625" style="439" bestFit="1" customWidth="1"/>
    <col min="8" max="8" width="22.25" style="439" customWidth="1"/>
    <col min="9" max="9" width="2.375" style="568" customWidth="1"/>
    <col min="10" max="11" width="10.875" style="439"/>
    <col min="12" max="12" width="11.875" style="439" bestFit="1" customWidth="1"/>
    <col min="13" max="256" width="10.875" style="439"/>
    <col min="257" max="257" width="1.75" style="439" customWidth="1"/>
    <col min="258" max="258" width="3.75" style="439" customWidth="1"/>
    <col min="259" max="259" width="37.75" style="439" customWidth="1"/>
    <col min="260" max="260" width="17.75" style="439" customWidth="1"/>
    <col min="261" max="261" width="23.875" style="439" customWidth="1"/>
    <col min="262" max="262" width="18" style="439" bestFit="1" customWidth="1"/>
    <col min="263" max="263" width="19.625" style="439" bestFit="1" customWidth="1"/>
    <col min="264" max="264" width="22.25" style="439" customWidth="1"/>
    <col min="265" max="265" width="2.375" style="439" customWidth="1"/>
    <col min="266" max="267" width="10.875" style="439"/>
    <col min="268" max="268" width="11.875" style="439" bestFit="1" customWidth="1"/>
    <col min="269" max="512" width="10.875" style="439"/>
    <col min="513" max="513" width="1.75" style="439" customWidth="1"/>
    <col min="514" max="514" width="3.75" style="439" customWidth="1"/>
    <col min="515" max="515" width="37.75" style="439" customWidth="1"/>
    <col min="516" max="516" width="17.75" style="439" customWidth="1"/>
    <col min="517" max="517" width="23.875" style="439" customWidth="1"/>
    <col min="518" max="518" width="18" style="439" bestFit="1" customWidth="1"/>
    <col min="519" max="519" width="19.625" style="439" bestFit="1" customWidth="1"/>
    <col min="520" max="520" width="22.25" style="439" customWidth="1"/>
    <col min="521" max="521" width="2.375" style="439" customWidth="1"/>
    <col min="522" max="523" width="10.875" style="439"/>
    <col min="524" max="524" width="11.875" style="439" bestFit="1" customWidth="1"/>
    <col min="525" max="768" width="10.875" style="439"/>
    <col min="769" max="769" width="1.75" style="439" customWidth="1"/>
    <col min="770" max="770" width="3.75" style="439" customWidth="1"/>
    <col min="771" max="771" width="37.75" style="439" customWidth="1"/>
    <col min="772" max="772" width="17.75" style="439" customWidth="1"/>
    <col min="773" max="773" width="23.875" style="439" customWidth="1"/>
    <col min="774" max="774" width="18" style="439" bestFit="1" customWidth="1"/>
    <col min="775" max="775" width="19.625" style="439" bestFit="1" customWidth="1"/>
    <col min="776" max="776" width="22.25" style="439" customWidth="1"/>
    <col min="777" max="777" width="2.375" style="439" customWidth="1"/>
    <col min="778" max="779" width="10.875" style="439"/>
    <col min="780" max="780" width="11.875" style="439" bestFit="1" customWidth="1"/>
    <col min="781" max="1024" width="10.875" style="439"/>
    <col min="1025" max="1025" width="1.75" style="439" customWidth="1"/>
    <col min="1026" max="1026" width="3.75" style="439" customWidth="1"/>
    <col min="1027" max="1027" width="37.75" style="439" customWidth="1"/>
    <col min="1028" max="1028" width="17.75" style="439" customWidth="1"/>
    <col min="1029" max="1029" width="23.875" style="439" customWidth="1"/>
    <col min="1030" max="1030" width="18" style="439" bestFit="1" customWidth="1"/>
    <col min="1031" max="1031" width="19.625" style="439" bestFit="1" customWidth="1"/>
    <col min="1032" max="1032" width="22.25" style="439" customWidth="1"/>
    <col min="1033" max="1033" width="2.375" style="439" customWidth="1"/>
    <col min="1034" max="1035" width="10.875" style="439"/>
    <col min="1036" max="1036" width="11.875" style="439" bestFit="1" customWidth="1"/>
    <col min="1037" max="1280" width="10.875" style="439"/>
    <col min="1281" max="1281" width="1.75" style="439" customWidth="1"/>
    <col min="1282" max="1282" width="3.75" style="439" customWidth="1"/>
    <col min="1283" max="1283" width="37.75" style="439" customWidth="1"/>
    <col min="1284" max="1284" width="17.75" style="439" customWidth="1"/>
    <col min="1285" max="1285" width="23.875" style="439" customWidth="1"/>
    <col min="1286" max="1286" width="18" style="439" bestFit="1" customWidth="1"/>
    <col min="1287" max="1287" width="19.625" style="439" bestFit="1" customWidth="1"/>
    <col min="1288" max="1288" width="22.25" style="439" customWidth="1"/>
    <col min="1289" max="1289" width="2.375" style="439" customWidth="1"/>
    <col min="1290" max="1291" width="10.875" style="439"/>
    <col min="1292" max="1292" width="11.875" style="439" bestFit="1" customWidth="1"/>
    <col min="1293" max="1536" width="10.875" style="439"/>
    <col min="1537" max="1537" width="1.75" style="439" customWidth="1"/>
    <col min="1538" max="1538" width="3.75" style="439" customWidth="1"/>
    <col min="1539" max="1539" width="37.75" style="439" customWidth="1"/>
    <col min="1540" max="1540" width="17.75" style="439" customWidth="1"/>
    <col min="1541" max="1541" width="23.875" style="439" customWidth="1"/>
    <col min="1542" max="1542" width="18" style="439" bestFit="1" customWidth="1"/>
    <col min="1543" max="1543" width="19.625" style="439" bestFit="1" customWidth="1"/>
    <col min="1544" max="1544" width="22.25" style="439" customWidth="1"/>
    <col min="1545" max="1545" width="2.375" style="439" customWidth="1"/>
    <col min="1546" max="1547" width="10.875" style="439"/>
    <col min="1548" max="1548" width="11.875" style="439" bestFit="1" customWidth="1"/>
    <col min="1549" max="1792" width="10.875" style="439"/>
    <col min="1793" max="1793" width="1.75" style="439" customWidth="1"/>
    <col min="1794" max="1794" width="3.75" style="439" customWidth="1"/>
    <col min="1795" max="1795" width="37.75" style="439" customWidth="1"/>
    <col min="1796" max="1796" width="17.75" style="439" customWidth="1"/>
    <col min="1797" max="1797" width="23.875" style="439" customWidth="1"/>
    <col min="1798" max="1798" width="18" style="439" bestFit="1" customWidth="1"/>
    <col min="1799" max="1799" width="19.625" style="439" bestFit="1" customWidth="1"/>
    <col min="1800" max="1800" width="22.25" style="439" customWidth="1"/>
    <col min="1801" max="1801" width="2.375" style="439" customWidth="1"/>
    <col min="1802" max="1803" width="10.875" style="439"/>
    <col min="1804" max="1804" width="11.875" style="439" bestFit="1" customWidth="1"/>
    <col min="1805" max="2048" width="10.875" style="439"/>
    <col min="2049" max="2049" width="1.75" style="439" customWidth="1"/>
    <col min="2050" max="2050" width="3.75" style="439" customWidth="1"/>
    <col min="2051" max="2051" width="37.75" style="439" customWidth="1"/>
    <col min="2052" max="2052" width="17.75" style="439" customWidth="1"/>
    <col min="2053" max="2053" width="23.875" style="439" customWidth="1"/>
    <col min="2054" max="2054" width="18" style="439" bestFit="1" customWidth="1"/>
    <col min="2055" max="2055" width="19.625" style="439" bestFit="1" customWidth="1"/>
    <col min="2056" max="2056" width="22.25" style="439" customWidth="1"/>
    <col min="2057" max="2057" width="2.375" style="439" customWidth="1"/>
    <col min="2058" max="2059" width="10.875" style="439"/>
    <col min="2060" max="2060" width="11.875" style="439" bestFit="1" customWidth="1"/>
    <col min="2061" max="2304" width="10.875" style="439"/>
    <col min="2305" max="2305" width="1.75" style="439" customWidth="1"/>
    <col min="2306" max="2306" width="3.75" style="439" customWidth="1"/>
    <col min="2307" max="2307" width="37.75" style="439" customWidth="1"/>
    <col min="2308" max="2308" width="17.75" style="439" customWidth="1"/>
    <col min="2309" max="2309" width="23.875" style="439" customWidth="1"/>
    <col min="2310" max="2310" width="18" style="439" bestFit="1" customWidth="1"/>
    <col min="2311" max="2311" width="19.625" style="439" bestFit="1" customWidth="1"/>
    <col min="2312" max="2312" width="22.25" style="439" customWidth="1"/>
    <col min="2313" max="2313" width="2.375" style="439" customWidth="1"/>
    <col min="2314" max="2315" width="10.875" style="439"/>
    <col min="2316" max="2316" width="11.875" style="439" bestFit="1" customWidth="1"/>
    <col min="2317" max="2560" width="10.875" style="439"/>
    <col min="2561" max="2561" width="1.75" style="439" customWidth="1"/>
    <col min="2562" max="2562" width="3.75" style="439" customWidth="1"/>
    <col min="2563" max="2563" width="37.75" style="439" customWidth="1"/>
    <col min="2564" max="2564" width="17.75" style="439" customWidth="1"/>
    <col min="2565" max="2565" width="23.875" style="439" customWidth="1"/>
    <col min="2566" max="2566" width="18" style="439" bestFit="1" customWidth="1"/>
    <col min="2567" max="2567" width="19.625" style="439" bestFit="1" customWidth="1"/>
    <col min="2568" max="2568" width="22.25" style="439" customWidth="1"/>
    <col min="2569" max="2569" width="2.375" style="439" customWidth="1"/>
    <col min="2570" max="2571" width="10.875" style="439"/>
    <col min="2572" max="2572" width="11.875" style="439" bestFit="1" customWidth="1"/>
    <col min="2573" max="2816" width="10.875" style="439"/>
    <col min="2817" max="2817" width="1.75" style="439" customWidth="1"/>
    <col min="2818" max="2818" width="3.75" style="439" customWidth="1"/>
    <col min="2819" max="2819" width="37.75" style="439" customWidth="1"/>
    <col min="2820" max="2820" width="17.75" style="439" customWidth="1"/>
    <col min="2821" max="2821" width="23.875" style="439" customWidth="1"/>
    <col min="2822" max="2822" width="18" style="439" bestFit="1" customWidth="1"/>
    <col min="2823" max="2823" width="19.625" style="439" bestFit="1" customWidth="1"/>
    <col min="2824" max="2824" width="22.25" style="439" customWidth="1"/>
    <col min="2825" max="2825" width="2.375" style="439" customWidth="1"/>
    <col min="2826" max="2827" width="10.875" style="439"/>
    <col min="2828" max="2828" width="11.875" style="439" bestFit="1" customWidth="1"/>
    <col min="2829" max="3072" width="10.875" style="439"/>
    <col min="3073" max="3073" width="1.75" style="439" customWidth="1"/>
    <col min="3074" max="3074" width="3.75" style="439" customWidth="1"/>
    <col min="3075" max="3075" width="37.75" style="439" customWidth="1"/>
    <col min="3076" max="3076" width="17.75" style="439" customWidth="1"/>
    <col min="3077" max="3077" width="23.875" style="439" customWidth="1"/>
    <col min="3078" max="3078" width="18" style="439" bestFit="1" customWidth="1"/>
    <col min="3079" max="3079" width="19.625" style="439" bestFit="1" customWidth="1"/>
    <col min="3080" max="3080" width="22.25" style="439" customWidth="1"/>
    <col min="3081" max="3081" width="2.375" style="439" customWidth="1"/>
    <col min="3082" max="3083" width="10.875" style="439"/>
    <col min="3084" max="3084" width="11.875" style="439" bestFit="1" customWidth="1"/>
    <col min="3085" max="3328" width="10.875" style="439"/>
    <col min="3329" max="3329" width="1.75" style="439" customWidth="1"/>
    <col min="3330" max="3330" width="3.75" style="439" customWidth="1"/>
    <col min="3331" max="3331" width="37.75" style="439" customWidth="1"/>
    <col min="3332" max="3332" width="17.75" style="439" customWidth="1"/>
    <col min="3333" max="3333" width="23.875" style="439" customWidth="1"/>
    <col min="3334" max="3334" width="18" style="439" bestFit="1" customWidth="1"/>
    <col min="3335" max="3335" width="19.625" style="439" bestFit="1" customWidth="1"/>
    <col min="3336" max="3336" width="22.25" style="439" customWidth="1"/>
    <col min="3337" max="3337" width="2.375" style="439" customWidth="1"/>
    <col min="3338" max="3339" width="10.875" style="439"/>
    <col min="3340" max="3340" width="11.875" style="439" bestFit="1" customWidth="1"/>
    <col min="3341" max="3584" width="10.875" style="439"/>
    <col min="3585" max="3585" width="1.75" style="439" customWidth="1"/>
    <col min="3586" max="3586" width="3.75" style="439" customWidth="1"/>
    <col min="3587" max="3587" width="37.75" style="439" customWidth="1"/>
    <col min="3588" max="3588" width="17.75" style="439" customWidth="1"/>
    <col min="3589" max="3589" width="23.875" style="439" customWidth="1"/>
    <col min="3590" max="3590" width="18" style="439" bestFit="1" customWidth="1"/>
    <col min="3591" max="3591" width="19.625" style="439" bestFit="1" customWidth="1"/>
    <col min="3592" max="3592" width="22.25" style="439" customWidth="1"/>
    <col min="3593" max="3593" width="2.375" style="439" customWidth="1"/>
    <col min="3594" max="3595" width="10.875" style="439"/>
    <col min="3596" max="3596" width="11.875" style="439" bestFit="1" customWidth="1"/>
    <col min="3597" max="3840" width="10.875" style="439"/>
    <col min="3841" max="3841" width="1.75" style="439" customWidth="1"/>
    <col min="3842" max="3842" width="3.75" style="439" customWidth="1"/>
    <col min="3843" max="3843" width="37.75" style="439" customWidth="1"/>
    <col min="3844" max="3844" width="17.75" style="439" customWidth="1"/>
    <col min="3845" max="3845" width="23.875" style="439" customWidth="1"/>
    <col min="3846" max="3846" width="18" style="439" bestFit="1" customWidth="1"/>
    <col min="3847" max="3847" width="19.625" style="439" bestFit="1" customWidth="1"/>
    <col min="3848" max="3848" width="22.25" style="439" customWidth="1"/>
    <col min="3849" max="3849" width="2.375" style="439" customWidth="1"/>
    <col min="3850" max="3851" width="10.875" style="439"/>
    <col min="3852" max="3852" width="11.875" style="439" bestFit="1" customWidth="1"/>
    <col min="3853" max="4096" width="10.875" style="439"/>
    <col min="4097" max="4097" width="1.75" style="439" customWidth="1"/>
    <col min="4098" max="4098" width="3.75" style="439" customWidth="1"/>
    <col min="4099" max="4099" width="37.75" style="439" customWidth="1"/>
    <col min="4100" max="4100" width="17.75" style="439" customWidth="1"/>
    <col min="4101" max="4101" width="23.875" style="439" customWidth="1"/>
    <col min="4102" max="4102" width="18" style="439" bestFit="1" customWidth="1"/>
    <col min="4103" max="4103" width="19.625" style="439" bestFit="1" customWidth="1"/>
    <col min="4104" max="4104" width="22.25" style="439" customWidth="1"/>
    <col min="4105" max="4105" width="2.375" style="439" customWidth="1"/>
    <col min="4106" max="4107" width="10.875" style="439"/>
    <col min="4108" max="4108" width="11.875" style="439" bestFit="1" customWidth="1"/>
    <col min="4109" max="4352" width="10.875" style="439"/>
    <col min="4353" max="4353" width="1.75" style="439" customWidth="1"/>
    <col min="4354" max="4354" width="3.75" style="439" customWidth="1"/>
    <col min="4355" max="4355" width="37.75" style="439" customWidth="1"/>
    <col min="4356" max="4356" width="17.75" style="439" customWidth="1"/>
    <col min="4357" max="4357" width="23.875" style="439" customWidth="1"/>
    <col min="4358" max="4358" width="18" style="439" bestFit="1" customWidth="1"/>
    <col min="4359" max="4359" width="19.625" style="439" bestFit="1" customWidth="1"/>
    <col min="4360" max="4360" width="22.25" style="439" customWidth="1"/>
    <col min="4361" max="4361" width="2.375" style="439" customWidth="1"/>
    <col min="4362" max="4363" width="10.875" style="439"/>
    <col min="4364" max="4364" width="11.875" style="439" bestFit="1" customWidth="1"/>
    <col min="4365" max="4608" width="10.875" style="439"/>
    <col min="4609" max="4609" width="1.75" style="439" customWidth="1"/>
    <col min="4610" max="4610" width="3.75" style="439" customWidth="1"/>
    <col min="4611" max="4611" width="37.75" style="439" customWidth="1"/>
    <col min="4612" max="4612" width="17.75" style="439" customWidth="1"/>
    <col min="4613" max="4613" width="23.875" style="439" customWidth="1"/>
    <col min="4614" max="4614" width="18" style="439" bestFit="1" customWidth="1"/>
    <col min="4615" max="4615" width="19.625" style="439" bestFit="1" customWidth="1"/>
    <col min="4616" max="4616" width="22.25" style="439" customWidth="1"/>
    <col min="4617" max="4617" width="2.375" style="439" customWidth="1"/>
    <col min="4618" max="4619" width="10.875" style="439"/>
    <col min="4620" max="4620" width="11.875" style="439" bestFit="1" customWidth="1"/>
    <col min="4621" max="4864" width="10.875" style="439"/>
    <col min="4865" max="4865" width="1.75" style="439" customWidth="1"/>
    <col min="4866" max="4866" width="3.75" style="439" customWidth="1"/>
    <col min="4867" max="4867" width="37.75" style="439" customWidth="1"/>
    <col min="4868" max="4868" width="17.75" style="439" customWidth="1"/>
    <col min="4869" max="4869" width="23.875" style="439" customWidth="1"/>
    <col min="4870" max="4870" width="18" style="439" bestFit="1" customWidth="1"/>
    <col min="4871" max="4871" width="19.625" style="439" bestFit="1" customWidth="1"/>
    <col min="4872" max="4872" width="22.25" style="439" customWidth="1"/>
    <col min="4873" max="4873" width="2.375" style="439" customWidth="1"/>
    <col min="4874" max="4875" width="10.875" style="439"/>
    <col min="4876" max="4876" width="11.875" style="439" bestFit="1" customWidth="1"/>
    <col min="4877" max="5120" width="10.875" style="439"/>
    <col min="5121" max="5121" width="1.75" style="439" customWidth="1"/>
    <col min="5122" max="5122" width="3.75" style="439" customWidth="1"/>
    <col min="5123" max="5123" width="37.75" style="439" customWidth="1"/>
    <col min="5124" max="5124" width="17.75" style="439" customWidth="1"/>
    <col min="5125" max="5125" width="23.875" style="439" customWidth="1"/>
    <col min="5126" max="5126" width="18" style="439" bestFit="1" customWidth="1"/>
    <col min="5127" max="5127" width="19.625" style="439" bestFit="1" customWidth="1"/>
    <col min="5128" max="5128" width="22.25" style="439" customWidth="1"/>
    <col min="5129" max="5129" width="2.375" style="439" customWidth="1"/>
    <col min="5130" max="5131" width="10.875" style="439"/>
    <col min="5132" max="5132" width="11.875" style="439" bestFit="1" customWidth="1"/>
    <col min="5133" max="5376" width="10.875" style="439"/>
    <col min="5377" max="5377" width="1.75" style="439" customWidth="1"/>
    <col min="5378" max="5378" width="3.75" style="439" customWidth="1"/>
    <col min="5379" max="5379" width="37.75" style="439" customWidth="1"/>
    <col min="5380" max="5380" width="17.75" style="439" customWidth="1"/>
    <col min="5381" max="5381" width="23.875" style="439" customWidth="1"/>
    <col min="5382" max="5382" width="18" style="439" bestFit="1" customWidth="1"/>
    <col min="5383" max="5383" width="19.625" style="439" bestFit="1" customWidth="1"/>
    <col min="5384" max="5384" width="22.25" style="439" customWidth="1"/>
    <col min="5385" max="5385" width="2.375" style="439" customWidth="1"/>
    <col min="5386" max="5387" width="10.875" style="439"/>
    <col min="5388" max="5388" width="11.875" style="439" bestFit="1" customWidth="1"/>
    <col min="5389" max="5632" width="10.875" style="439"/>
    <col min="5633" max="5633" width="1.75" style="439" customWidth="1"/>
    <col min="5634" max="5634" width="3.75" style="439" customWidth="1"/>
    <col min="5635" max="5635" width="37.75" style="439" customWidth="1"/>
    <col min="5636" max="5636" width="17.75" style="439" customWidth="1"/>
    <col min="5637" max="5637" width="23.875" style="439" customWidth="1"/>
    <col min="5638" max="5638" width="18" style="439" bestFit="1" customWidth="1"/>
    <col min="5639" max="5639" width="19.625" style="439" bestFit="1" customWidth="1"/>
    <col min="5640" max="5640" width="22.25" style="439" customWidth="1"/>
    <col min="5641" max="5641" width="2.375" style="439" customWidth="1"/>
    <col min="5642" max="5643" width="10.875" style="439"/>
    <col min="5644" max="5644" width="11.875" style="439" bestFit="1" customWidth="1"/>
    <col min="5645" max="5888" width="10.875" style="439"/>
    <col min="5889" max="5889" width="1.75" style="439" customWidth="1"/>
    <col min="5890" max="5890" width="3.75" style="439" customWidth="1"/>
    <col min="5891" max="5891" width="37.75" style="439" customWidth="1"/>
    <col min="5892" max="5892" width="17.75" style="439" customWidth="1"/>
    <col min="5893" max="5893" width="23.875" style="439" customWidth="1"/>
    <col min="5894" max="5894" width="18" style="439" bestFit="1" customWidth="1"/>
    <col min="5895" max="5895" width="19.625" style="439" bestFit="1" customWidth="1"/>
    <col min="5896" max="5896" width="22.25" style="439" customWidth="1"/>
    <col min="5897" max="5897" width="2.375" style="439" customWidth="1"/>
    <col min="5898" max="5899" width="10.875" style="439"/>
    <col min="5900" max="5900" width="11.875" style="439" bestFit="1" customWidth="1"/>
    <col min="5901" max="6144" width="10.875" style="439"/>
    <col min="6145" max="6145" width="1.75" style="439" customWidth="1"/>
    <col min="6146" max="6146" width="3.75" style="439" customWidth="1"/>
    <col min="6147" max="6147" width="37.75" style="439" customWidth="1"/>
    <col min="6148" max="6148" width="17.75" style="439" customWidth="1"/>
    <col min="6149" max="6149" width="23.875" style="439" customWidth="1"/>
    <col min="6150" max="6150" width="18" style="439" bestFit="1" customWidth="1"/>
    <col min="6151" max="6151" width="19.625" style="439" bestFit="1" customWidth="1"/>
    <col min="6152" max="6152" width="22.25" style="439" customWidth="1"/>
    <col min="6153" max="6153" width="2.375" style="439" customWidth="1"/>
    <col min="6154" max="6155" width="10.875" style="439"/>
    <col min="6156" max="6156" width="11.875" style="439" bestFit="1" customWidth="1"/>
    <col min="6157" max="6400" width="10.875" style="439"/>
    <col min="6401" max="6401" width="1.75" style="439" customWidth="1"/>
    <col min="6402" max="6402" width="3.75" style="439" customWidth="1"/>
    <col min="6403" max="6403" width="37.75" style="439" customWidth="1"/>
    <col min="6404" max="6404" width="17.75" style="439" customWidth="1"/>
    <col min="6405" max="6405" width="23.875" style="439" customWidth="1"/>
    <col min="6406" max="6406" width="18" style="439" bestFit="1" customWidth="1"/>
    <col min="6407" max="6407" width="19.625" style="439" bestFit="1" customWidth="1"/>
    <col min="6408" max="6408" width="22.25" style="439" customWidth="1"/>
    <col min="6409" max="6409" width="2.375" style="439" customWidth="1"/>
    <col min="6410" max="6411" width="10.875" style="439"/>
    <col min="6412" max="6412" width="11.875" style="439" bestFit="1" customWidth="1"/>
    <col min="6413" max="6656" width="10.875" style="439"/>
    <col min="6657" max="6657" width="1.75" style="439" customWidth="1"/>
    <col min="6658" max="6658" width="3.75" style="439" customWidth="1"/>
    <col min="6659" max="6659" width="37.75" style="439" customWidth="1"/>
    <col min="6660" max="6660" width="17.75" style="439" customWidth="1"/>
    <col min="6661" max="6661" width="23.875" style="439" customWidth="1"/>
    <col min="6662" max="6662" width="18" style="439" bestFit="1" customWidth="1"/>
    <col min="6663" max="6663" width="19.625" style="439" bestFit="1" customWidth="1"/>
    <col min="6664" max="6664" width="22.25" style="439" customWidth="1"/>
    <col min="6665" max="6665" width="2.375" style="439" customWidth="1"/>
    <col min="6666" max="6667" width="10.875" style="439"/>
    <col min="6668" max="6668" width="11.875" style="439" bestFit="1" customWidth="1"/>
    <col min="6669" max="6912" width="10.875" style="439"/>
    <col min="6913" max="6913" width="1.75" style="439" customWidth="1"/>
    <col min="6914" max="6914" width="3.75" style="439" customWidth="1"/>
    <col min="6915" max="6915" width="37.75" style="439" customWidth="1"/>
    <col min="6916" max="6916" width="17.75" style="439" customWidth="1"/>
    <col min="6917" max="6917" width="23.875" style="439" customWidth="1"/>
    <col min="6918" max="6918" width="18" style="439" bestFit="1" customWidth="1"/>
    <col min="6919" max="6919" width="19.625" style="439" bestFit="1" customWidth="1"/>
    <col min="6920" max="6920" width="22.25" style="439" customWidth="1"/>
    <col min="6921" max="6921" width="2.375" style="439" customWidth="1"/>
    <col min="6922" max="6923" width="10.875" style="439"/>
    <col min="6924" max="6924" width="11.875" style="439" bestFit="1" customWidth="1"/>
    <col min="6925" max="7168" width="10.875" style="439"/>
    <col min="7169" max="7169" width="1.75" style="439" customWidth="1"/>
    <col min="7170" max="7170" width="3.75" style="439" customWidth="1"/>
    <col min="7171" max="7171" width="37.75" style="439" customWidth="1"/>
    <col min="7172" max="7172" width="17.75" style="439" customWidth="1"/>
    <col min="7173" max="7173" width="23.875" style="439" customWidth="1"/>
    <col min="7174" max="7174" width="18" style="439" bestFit="1" customWidth="1"/>
    <col min="7175" max="7175" width="19.625" style="439" bestFit="1" customWidth="1"/>
    <col min="7176" max="7176" width="22.25" style="439" customWidth="1"/>
    <col min="7177" max="7177" width="2.375" style="439" customWidth="1"/>
    <col min="7178" max="7179" width="10.875" style="439"/>
    <col min="7180" max="7180" width="11.875" style="439" bestFit="1" customWidth="1"/>
    <col min="7181" max="7424" width="10.875" style="439"/>
    <col min="7425" max="7425" width="1.75" style="439" customWidth="1"/>
    <col min="7426" max="7426" width="3.75" style="439" customWidth="1"/>
    <col min="7427" max="7427" width="37.75" style="439" customWidth="1"/>
    <col min="7428" max="7428" width="17.75" style="439" customWidth="1"/>
    <col min="7429" max="7429" width="23.875" style="439" customWidth="1"/>
    <col min="7430" max="7430" width="18" style="439" bestFit="1" customWidth="1"/>
    <col min="7431" max="7431" width="19.625" style="439" bestFit="1" customWidth="1"/>
    <col min="7432" max="7432" width="22.25" style="439" customWidth="1"/>
    <col min="7433" max="7433" width="2.375" style="439" customWidth="1"/>
    <col min="7434" max="7435" width="10.875" style="439"/>
    <col min="7436" max="7436" width="11.875" style="439" bestFit="1" customWidth="1"/>
    <col min="7437" max="7680" width="10.875" style="439"/>
    <col min="7681" max="7681" width="1.75" style="439" customWidth="1"/>
    <col min="7682" max="7682" width="3.75" style="439" customWidth="1"/>
    <col min="7683" max="7683" width="37.75" style="439" customWidth="1"/>
    <col min="7684" max="7684" width="17.75" style="439" customWidth="1"/>
    <col min="7685" max="7685" width="23.875" style="439" customWidth="1"/>
    <col min="7686" max="7686" width="18" style="439" bestFit="1" customWidth="1"/>
    <col min="7687" max="7687" width="19.625" style="439" bestFit="1" customWidth="1"/>
    <col min="7688" max="7688" width="22.25" style="439" customWidth="1"/>
    <col min="7689" max="7689" width="2.375" style="439" customWidth="1"/>
    <col min="7690" max="7691" width="10.875" style="439"/>
    <col min="7692" max="7692" width="11.875" style="439" bestFit="1" customWidth="1"/>
    <col min="7693" max="7936" width="10.875" style="439"/>
    <col min="7937" max="7937" width="1.75" style="439" customWidth="1"/>
    <col min="7938" max="7938" width="3.75" style="439" customWidth="1"/>
    <col min="7939" max="7939" width="37.75" style="439" customWidth="1"/>
    <col min="7940" max="7940" width="17.75" style="439" customWidth="1"/>
    <col min="7941" max="7941" width="23.875" style="439" customWidth="1"/>
    <col min="7942" max="7942" width="18" style="439" bestFit="1" customWidth="1"/>
    <col min="7943" max="7943" width="19.625" style="439" bestFit="1" customWidth="1"/>
    <col min="7944" max="7944" width="22.25" style="439" customWidth="1"/>
    <col min="7945" max="7945" width="2.375" style="439" customWidth="1"/>
    <col min="7946" max="7947" width="10.875" style="439"/>
    <col min="7948" max="7948" width="11.875" style="439" bestFit="1" customWidth="1"/>
    <col min="7949" max="8192" width="10.875" style="439"/>
    <col min="8193" max="8193" width="1.75" style="439" customWidth="1"/>
    <col min="8194" max="8194" width="3.75" style="439" customWidth="1"/>
    <col min="8195" max="8195" width="37.75" style="439" customWidth="1"/>
    <col min="8196" max="8196" width="17.75" style="439" customWidth="1"/>
    <col min="8197" max="8197" width="23.875" style="439" customWidth="1"/>
    <col min="8198" max="8198" width="18" style="439" bestFit="1" customWidth="1"/>
    <col min="8199" max="8199" width="19.625" style="439" bestFit="1" customWidth="1"/>
    <col min="8200" max="8200" width="22.25" style="439" customWidth="1"/>
    <col min="8201" max="8201" width="2.375" style="439" customWidth="1"/>
    <col min="8202" max="8203" width="10.875" style="439"/>
    <col min="8204" max="8204" width="11.875" style="439" bestFit="1" customWidth="1"/>
    <col min="8205" max="8448" width="10.875" style="439"/>
    <col min="8449" max="8449" width="1.75" style="439" customWidth="1"/>
    <col min="8450" max="8450" width="3.75" style="439" customWidth="1"/>
    <col min="8451" max="8451" width="37.75" style="439" customWidth="1"/>
    <col min="8452" max="8452" width="17.75" style="439" customWidth="1"/>
    <col min="8453" max="8453" width="23.875" style="439" customWidth="1"/>
    <col min="8454" max="8454" width="18" style="439" bestFit="1" customWidth="1"/>
    <col min="8455" max="8455" width="19.625" style="439" bestFit="1" customWidth="1"/>
    <col min="8456" max="8456" width="22.25" style="439" customWidth="1"/>
    <col min="8457" max="8457" width="2.375" style="439" customWidth="1"/>
    <col min="8458" max="8459" width="10.875" style="439"/>
    <col min="8460" max="8460" width="11.875" style="439" bestFit="1" customWidth="1"/>
    <col min="8461" max="8704" width="10.875" style="439"/>
    <col min="8705" max="8705" width="1.75" style="439" customWidth="1"/>
    <col min="8706" max="8706" width="3.75" style="439" customWidth="1"/>
    <col min="8707" max="8707" width="37.75" style="439" customWidth="1"/>
    <col min="8708" max="8708" width="17.75" style="439" customWidth="1"/>
    <col min="8709" max="8709" width="23.875" style="439" customWidth="1"/>
    <col min="8710" max="8710" width="18" style="439" bestFit="1" customWidth="1"/>
    <col min="8711" max="8711" width="19.625" style="439" bestFit="1" customWidth="1"/>
    <col min="8712" max="8712" width="22.25" style="439" customWidth="1"/>
    <col min="8713" max="8713" width="2.375" style="439" customWidth="1"/>
    <col min="8714" max="8715" width="10.875" style="439"/>
    <col min="8716" max="8716" width="11.875" style="439" bestFit="1" customWidth="1"/>
    <col min="8717" max="8960" width="10.875" style="439"/>
    <col min="8961" max="8961" width="1.75" style="439" customWidth="1"/>
    <col min="8962" max="8962" width="3.75" style="439" customWidth="1"/>
    <col min="8963" max="8963" width="37.75" style="439" customWidth="1"/>
    <col min="8964" max="8964" width="17.75" style="439" customWidth="1"/>
    <col min="8965" max="8965" width="23.875" style="439" customWidth="1"/>
    <col min="8966" max="8966" width="18" style="439" bestFit="1" customWidth="1"/>
    <col min="8967" max="8967" width="19.625" style="439" bestFit="1" customWidth="1"/>
    <col min="8968" max="8968" width="22.25" style="439" customWidth="1"/>
    <col min="8969" max="8969" width="2.375" style="439" customWidth="1"/>
    <col min="8970" max="8971" width="10.875" style="439"/>
    <col min="8972" max="8972" width="11.875" style="439" bestFit="1" customWidth="1"/>
    <col min="8973" max="9216" width="10.875" style="439"/>
    <col min="9217" max="9217" width="1.75" style="439" customWidth="1"/>
    <col min="9218" max="9218" width="3.75" style="439" customWidth="1"/>
    <col min="9219" max="9219" width="37.75" style="439" customWidth="1"/>
    <col min="9220" max="9220" width="17.75" style="439" customWidth="1"/>
    <col min="9221" max="9221" width="23.875" style="439" customWidth="1"/>
    <col min="9222" max="9222" width="18" style="439" bestFit="1" customWidth="1"/>
    <col min="9223" max="9223" width="19.625" style="439" bestFit="1" customWidth="1"/>
    <col min="9224" max="9224" width="22.25" style="439" customWidth="1"/>
    <col min="9225" max="9225" width="2.375" style="439" customWidth="1"/>
    <col min="9226" max="9227" width="10.875" style="439"/>
    <col min="9228" max="9228" width="11.875" style="439" bestFit="1" customWidth="1"/>
    <col min="9229" max="9472" width="10.875" style="439"/>
    <col min="9473" max="9473" width="1.75" style="439" customWidth="1"/>
    <col min="9474" max="9474" width="3.75" style="439" customWidth="1"/>
    <col min="9475" max="9475" width="37.75" style="439" customWidth="1"/>
    <col min="9476" max="9476" width="17.75" style="439" customWidth="1"/>
    <col min="9477" max="9477" width="23.875" style="439" customWidth="1"/>
    <col min="9478" max="9478" width="18" style="439" bestFit="1" customWidth="1"/>
    <col min="9479" max="9479" width="19.625" style="439" bestFit="1" customWidth="1"/>
    <col min="9480" max="9480" width="22.25" style="439" customWidth="1"/>
    <col min="9481" max="9481" width="2.375" style="439" customWidth="1"/>
    <col min="9482" max="9483" width="10.875" style="439"/>
    <col min="9484" max="9484" width="11.875" style="439" bestFit="1" customWidth="1"/>
    <col min="9485" max="9728" width="10.875" style="439"/>
    <col min="9729" max="9729" width="1.75" style="439" customWidth="1"/>
    <col min="9730" max="9730" width="3.75" style="439" customWidth="1"/>
    <col min="9731" max="9731" width="37.75" style="439" customWidth="1"/>
    <col min="9732" max="9732" width="17.75" style="439" customWidth="1"/>
    <col min="9733" max="9733" width="23.875" style="439" customWidth="1"/>
    <col min="9734" max="9734" width="18" style="439" bestFit="1" customWidth="1"/>
    <col min="9735" max="9735" width="19.625" style="439" bestFit="1" customWidth="1"/>
    <col min="9736" max="9736" width="22.25" style="439" customWidth="1"/>
    <col min="9737" max="9737" width="2.375" style="439" customWidth="1"/>
    <col min="9738" max="9739" width="10.875" style="439"/>
    <col min="9740" max="9740" width="11.875" style="439" bestFit="1" customWidth="1"/>
    <col min="9741" max="9984" width="10.875" style="439"/>
    <col min="9985" max="9985" width="1.75" style="439" customWidth="1"/>
    <col min="9986" max="9986" width="3.75" style="439" customWidth="1"/>
    <col min="9987" max="9987" width="37.75" style="439" customWidth="1"/>
    <col min="9988" max="9988" width="17.75" style="439" customWidth="1"/>
    <col min="9989" max="9989" width="23.875" style="439" customWidth="1"/>
    <col min="9990" max="9990" width="18" style="439" bestFit="1" customWidth="1"/>
    <col min="9991" max="9991" width="19.625" style="439" bestFit="1" customWidth="1"/>
    <col min="9992" max="9992" width="22.25" style="439" customWidth="1"/>
    <col min="9993" max="9993" width="2.375" style="439" customWidth="1"/>
    <col min="9994" max="9995" width="10.875" style="439"/>
    <col min="9996" max="9996" width="11.875" style="439" bestFit="1" customWidth="1"/>
    <col min="9997" max="10240" width="10.875" style="439"/>
    <col min="10241" max="10241" width="1.75" style="439" customWidth="1"/>
    <col min="10242" max="10242" width="3.75" style="439" customWidth="1"/>
    <col min="10243" max="10243" width="37.75" style="439" customWidth="1"/>
    <col min="10244" max="10244" width="17.75" style="439" customWidth="1"/>
    <col min="10245" max="10245" width="23.875" style="439" customWidth="1"/>
    <col min="10246" max="10246" width="18" style="439" bestFit="1" customWidth="1"/>
    <col min="10247" max="10247" width="19.625" style="439" bestFit="1" customWidth="1"/>
    <col min="10248" max="10248" width="22.25" style="439" customWidth="1"/>
    <col min="10249" max="10249" width="2.375" style="439" customWidth="1"/>
    <col min="10250" max="10251" width="10.875" style="439"/>
    <col min="10252" max="10252" width="11.875" style="439" bestFit="1" customWidth="1"/>
    <col min="10253" max="10496" width="10.875" style="439"/>
    <col min="10497" max="10497" width="1.75" style="439" customWidth="1"/>
    <col min="10498" max="10498" width="3.75" style="439" customWidth="1"/>
    <col min="10499" max="10499" width="37.75" style="439" customWidth="1"/>
    <col min="10500" max="10500" width="17.75" style="439" customWidth="1"/>
    <col min="10501" max="10501" width="23.875" style="439" customWidth="1"/>
    <col min="10502" max="10502" width="18" style="439" bestFit="1" customWidth="1"/>
    <col min="10503" max="10503" width="19.625" style="439" bestFit="1" customWidth="1"/>
    <col min="10504" max="10504" width="22.25" style="439" customWidth="1"/>
    <col min="10505" max="10505" width="2.375" style="439" customWidth="1"/>
    <col min="10506" max="10507" width="10.875" style="439"/>
    <col min="10508" max="10508" width="11.875" style="439" bestFit="1" customWidth="1"/>
    <col min="10509" max="10752" width="10.875" style="439"/>
    <col min="10753" max="10753" width="1.75" style="439" customWidth="1"/>
    <col min="10754" max="10754" width="3.75" style="439" customWidth="1"/>
    <col min="10755" max="10755" width="37.75" style="439" customWidth="1"/>
    <col min="10756" max="10756" width="17.75" style="439" customWidth="1"/>
    <col min="10757" max="10757" width="23.875" style="439" customWidth="1"/>
    <col min="10758" max="10758" width="18" style="439" bestFit="1" customWidth="1"/>
    <col min="10759" max="10759" width="19.625" style="439" bestFit="1" customWidth="1"/>
    <col min="10760" max="10760" width="22.25" style="439" customWidth="1"/>
    <col min="10761" max="10761" width="2.375" style="439" customWidth="1"/>
    <col min="10762" max="10763" width="10.875" style="439"/>
    <col min="10764" max="10764" width="11.875" style="439" bestFit="1" customWidth="1"/>
    <col min="10765" max="11008" width="10.875" style="439"/>
    <col min="11009" max="11009" width="1.75" style="439" customWidth="1"/>
    <col min="11010" max="11010" width="3.75" style="439" customWidth="1"/>
    <col min="11011" max="11011" width="37.75" style="439" customWidth="1"/>
    <col min="11012" max="11012" width="17.75" style="439" customWidth="1"/>
    <col min="11013" max="11013" width="23.875" style="439" customWidth="1"/>
    <col min="11014" max="11014" width="18" style="439" bestFit="1" customWidth="1"/>
    <col min="11015" max="11015" width="19.625" style="439" bestFit="1" customWidth="1"/>
    <col min="11016" max="11016" width="22.25" style="439" customWidth="1"/>
    <col min="11017" max="11017" width="2.375" style="439" customWidth="1"/>
    <col min="11018" max="11019" width="10.875" style="439"/>
    <col min="11020" max="11020" width="11.875" style="439" bestFit="1" customWidth="1"/>
    <col min="11021" max="11264" width="10.875" style="439"/>
    <col min="11265" max="11265" width="1.75" style="439" customWidth="1"/>
    <col min="11266" max="11266" width="3.75" style="439" customWidth="1"/>
    <col min="11267" max="11267" width="37.75" style="439" customWidth="1"/>
    <col min="11268" max="11268" width="17.75" style="439" customWidth="1"/>
    <col min="11269" max="11269" width="23.875" style="439" customWidth="1"/>
    <col min="11270" max="11270" width="18" style="439" bestFit="1" customWidth="1"/>
    <col min="11271" max="11271" width="19.625" style="439" bestFit="1" customWidth="1"/>
    <col min="11272" max="11272" width="22.25" style="439" customWidth="1"/>
    <col min="11273" max="11273" width="2.375" style="439" customWidth="1"/>
    <col min="11274" max="11275" width="10.875" style="439"/>
    <col min="11276" max="11276" width="11.875" style="439" bestFit="1" customWidth="1"/>
    <col min="11277" max="11520" width="10.875" style="439"/>
    <col min="11521" max="11521" width="1.75" style="439" customWidth="1"/>
    <col min="11522" max="11522" width="3.75" style="439" customWidth="1"/>
    <col min="11523" max="11523" width="37.75" style="439" customWidth="1"/>
    <col min="11524" max="11524" width="17.75" style="439" customWidth="1"/>
    <col min="11525" max="11525" width="23.875" style="439" customWidth="1"/>
    <col min="11526" max="11526" width="18" style="439" bestFit="1" customWidth="1"/>
    <col min="11527" max="11527" width="19.625" style="439" bestFit="1" customWidth="1"/>
    <col min="11528" max="11528" width="22.25" style="439" customWidth="1"/>
    <col min="11529" max="11529" width="2.375" style="439" customWidth="1"/>
    <col min="11530" max="11531" width="10.875" style="439"/>
    <col min="11532" max="11532" width="11.875" style="439" bestFit="1" customWidth="1"/>
    <col min="11533" max="11776" width="10.875" style="439"/>
    <col min="11777" max="11777" width="1.75" style="439" customWidth="1"/>
    <col min="11778" max="11778" width="3.75" style="439" customWidth="1"/>
    <col min="11779" max="11779" width="37.75" style="439" customWidth="1"/>
    <col min="11780" max="11780" width="17.75" style="439" customWidth="1"/>
    <col min="11781" max="11781" width="23.875" style="439" customWidth="1"/>
    <col min="11782" max="11782" width="18" style="439" bestFit="1" customWidth="1"/>
    <col min="11783" max="11783" width="19.625" style="439" bestFit="1" customWidth="1"/>
    <col min="11784" max="11784" width="22.25" style="439" customWidth="1"/>
    <col min="11785" max="11785" width="2.375" style="439" customWidth="1"/>
    <col min="11786" max="11787" width="10.875" style="439"/>
    <col min="11788" max="11788" width="11.875" style="439" bestFit="1" customWidth="1"/>
    <col min="11789" max="12032" width="10.875" style="439"/>
    <col min="12033" max="12033" width="1.75" style="439" customWidth="1"/>
    <col min="12034" max="12034" width="3.75" style="439" customWidth="1"/>
    <col min="12035" max="12035" width="37.75" style="439" customWidth="1"/>
    <col min="12036" max="12036" width="17.75" style="439" customWidth="1"/>
    <col min="12037" max="12037" width="23.875" style="439" customWidth="1"/>
    <col min="12038" max="12038" width="18" style="439" bestFit="1" customWidth="1"/>
    <col min="12039" max="12039" width="19.625" style="439" bestFit="1" customWidth="1"/>
    <col min="12040" max="12040" width="22.25" style="439" customWidth="1"/>
    <col min="12041" max="12041" width="2.375" style="439" customWidth="1"/>
    <col min="12042" max="12043" width="10.875" style="439"/>
    <col min="12044" max="12044" width="11.875" style="439" bestFit="1" customWidth="1"/>
    <col min="12045" max="12288" width="10.875" style="439"/>
    <col min="12289" max="12289" width="1.75" style="439" customWidth="1"/>
    <col min="12290" max="12290" width="3.75" style="439" customWidth="1"/>
    <col min="12291" max="12291" width="37.75" style="439" customWidth="1"/>
    <col min="12292" max="12292" width="17.75" style="439" customWidth="1"/>
    <col min="12293" max="12293" width="23.875" style="439" customWidth="1"/>
    <col min="12294" max="12294" width="18" style="439" bestFit="1" customWidth="1"/>
    <col min="12295" max="12295" width="19.625" style="439" bestFit="1" customWidth="1"/>
    <col min="12296" max="12296" width="22.25" style="439" customWidth="1"/>
    <col min="12297" max="12297" width="2.375" style="439" customWidth="1"/>
    <col min="12298" max="12299" width="10.875" style="439"/>
    <col min="12300" max="12300" width="11.875" style="439" bestFit="1" customWidth="1"/>
    <col min="12301" max="12544" width="10.875" style="439"/>
    <col min="12545" max="12545" width="1.75" style="439" customWidth="1"/>
    <col min="12546" max="12546" width="3.75" style="439" customWidth="1"/>
    <col min="12547" max="12547" width="37.75" style="439" customWidth="1"/>
    <col min="12548" max="12548" width="17.75" style="439" customWidth="1"/>
    <col min="12549" max="12549" width="23.875" style="439" customWidth="1"/>
    <col min="12550" max="12550" width="18" style="439" bestFit="1" customWidth="1"/>
    <col min="12551" max="12551" width="19.625" style="439" bestFit="1" customWidth="1"/>
    <col min="12552" max="12552" width="22.25" style="439" customWidth="1"/>
    <col min="12553" max="12553" width="2.375" style="439" customWidth="1"/>
    <col min="12554" max="12555" width="10.875" style="439"/>
    <col min="12556" max="12556" width="11.875" style="439" bestFit="1" customWidth="1"/>
    <col min="12557" max="12800" width="10.875" style="439"/>
    <col min="12801" max="12801" width="1.75" style="439" customWidth="1"/>
    <col min="12802" max="12802" width="3.75" style="439" customWidth="1"/>
    <col min="12803" max="12803" width="37.75" style="439" customWidth="1"/>
    <col min="12804" max="12804" width="17.75" style="439" customWidth="1"/>
    <col min="12805" max="12805" width="23.875" style="439" customWidth="1"/>
    <col min="12806" max="12806" width="18" style="439" bestFit="1" customWidth="1"/>
    <col min="12807" max="12807" width="19.625" style="439" bestFit="1" customWidth="1"/>
    <col min="12808" max="12808" width="22.25" style="439" customWidth="1"/>
    <col min="12809" max="12809" width="2.375" style="439" customWidth="1"/>
    <col min="12810" max="12811" width="10.875" style="439"/>
    <col min="12812" max="12812" width="11.875" style="439" bestFit="1" customWidth="1"/>
    <col min="12813" max="13056" width="10.875" style="439"/>
    <col min="13057" max="13057" width="1.75" style="439" customWidth="1"/>
    <col min="13058" max="13058" width="3.75" style="439" customWidth="1"/>
    <col min="13059" max="13059" width="37.75" style="439" customWidth="1"/>
    <col min="13060" max="13060" width="17.75" style="439" customWidth="1"/>
    <col min="13061" max="13061" width="23.875" style="439" customWidth="1"/>
    <col min="13062" max="13062" width="18" style="439" bestFit="1" customWidth="1"/>
    <col min="13063" max="13063" width="19.625" style="439" bestFit="1" customWidth="1"/>
    <col min="13064" max="13064" width="22.25" style="439" customWidth="1"/>
    <col min="13065" max="13065" width="2.375" style="439" customWidth="1"/>
    <col min="13066" max="13067" width="10.875" style="439"/>
    <col min="13068" max="13068" width="11.875" style="439" bestFit="1" customWidth="1"/>
    <col min="13069" max="13312" width="10.875" style="439"/>
    <col min="13313" max="13313" width="1.75" style="439" customWidth="1"/>
    <col min="13314" max="13314" width="3.75" style="439" customWidth="1"/>
    <col min="13315" max="13315" width="37.75" style="439" customWidth="1"/>
    <col min="13316" max="13316" width="17.75" style="439" customWidth="1"/>
    <col min="13317" max="13317" width="23.875" style="439" customWidth="1"/>
    <col min="13318" max="13318" width="18" style="439" bestFit="1" customWidth="1"/>
    <col min="13319" max="13319" width="19.625" style="439" bestFit="1" customWidth="1"/>
    <col min="13320" max="13320" width="22.25" style="439" customWidth="1"/>
    <col min="13321" max="13321" width="2.375" style="439" customWidth="1"/>
    <col min="13322" max="13323" width="10.875" style="439"/>
    <col min="13324" max="13324" width="11.875" style="439" bestFit="1" customWidth="1"/>
    <col min="13325" max="13568" width="10.875" style="439"/>
    <col min="13569" max="13569" width="1.75" style="439" customWidth="1"/>
    <col min="13570" max="13570" width="3.75" style="439" customWidth="1"/>
    <col min="13571" max="13571" width="37.75" style="439" customWidth="1"/>
    <col min="13572" max="13572" width="17.75" style="439" customWidth="1"/>
    <col min="13573" max="13573" width="23.875" style="439" customWidth="1"/>
    <col min="13574" max="13574" width="18" style="439" bestFit="1" customWidth="1"/>
    <col min="13575" max="13575" width="19.625" style="439" bestFit="1" customWidth="1"/>
    <col min="13576" max="13576" width="22.25" style="439" customWidth="1"/>
    <col min="13577" max="13577" width="2.375" style="439" customWidth="1"/>
    <col min="13578" max="13579" width="10.875" style="439"/>
    <col min="13580" max="13580" width="11.875" style="439" bestFit="1" customWidth="1"/>
    <col min="13581" max="13824" width="10.875" style="439"/>
    <col min="13825" max="13825" width="1.75" style="439" customWidth="1"/>
    <col min="13826" max="13826" width="3.75" style="439" customWidth="1"/>
    <col min="13827" max="13827" width="37.75" style="439" customWidth="1"/>
    <col min="13828" max="13828" width="17.75" style="439" customWidth="1"/>
    <col min="13829" max="13829" width="23.875" style="439" customWidth="1"/>
    <col min="13830" max="13830" width="18" style="439" bestFit="1" customWidth="1"/>
    <col min="13831" max="13831" width="19.625" style="439" bestFit="1" customWidth="1"/>
    <col min="13832" max="13832" width="22.25" style="439" customWidth="1"/>
    <col min="13833" max="13833" width="2.375" style="439" customWidth="1"/>
    <col min="13834" max="13835" width="10.875" style="439"/>
    <col min="13836" max="13836" width="11.875" style="439" bestFit="1" customWidth="1"/>
    <col min="13837" max="14080" width="10.875" style="439"/>
    <col min="14081" max="14081" width="1.75" style="439" customWidth="1"/>
    <col min="14082" max="14082" width="3.75" style="439" customWidth="1"/>
    <col min="14083" max="14083" width="37.75" style="439" customWidth="1"/>
    <col min="14084" max="14084" width="17.75" style="439" customWidth="1"/>
    <col min="14085" max="14085" width="23.875" style="439" customWidth="1"/>
    <col min="14086" max="14086" width="18" style="439" bestFit="1" customWidth="1"/>
    <col min="14087" max="14087" width="19.625" style="439" bestFit="1" customWidth="1"/>
    <col min="14088" max="14088" width="22.25" style="439" customWidth="1"/>
    <col min="14089" max="14089" width="2.375" style="439" customWidth="1"/>
    <col min="14090" max="14091" width="10.875" style="439"/>
    <col min="14092" max="14092" width="11.875" style="439" bestFit="1" customWidth="1"/>
    <col min="14093" max="14336" width="10.875" style="439"/>
    <col min="14337" max="14337" width="1.75" style="439" customWidth="1"/>
    <col min="14338" max="14338" width="3.75" style="439" customWidth="1"/>
    <col min="14339" max="14339" width="37.75" style="439" customWidth="1"/>
    <col min="14340" max="14340" width="17.75" style="439" customWidth="1"/>
    <col min="14341" max="14341" width="23.875" style="439" customWidth="1"/>
    <col min="14342" max="14342" width="18" style="439" bestFit="1" customWidth="1"/>
    <col min="14343" max="14343" width="19.625" style="439" bestFit="1" customWidth="1"/>
    <col min="14344" max="14344" width="22.25" style="439" customWidth="1"/>
    <col min="14345" max="14345" width="2.375" style="439" customWidth="1"/>
    <col min="14346" max="14347" width="10.875" style="439"/>
    <col min="14348" max="14348" width="11.875" style="439" bestFit="1" customWidth="1"/>
    <col min="14349" max="14592" width="10.875" style="439"/>
    <col min="14593" max="14593" width="1.75" style="439" customWidth="1"/>
    <col min="14594" max="14594" width="3.75" style="439" customWidth="1"/>
    <col min="14595" max="14595" width="37.75" style="439" customWidth="1"/>
    <col min="14596" max="14596" width="17.75" style="439" customWidth="1"/>
    <col min="14597" max="14597" width="23.875" style="439" customWidth="1"/>
    <col min="14598" max="14598" width="18" style="439" bestFit="1" customWidth="1"/>
    <col min="14599" max="14599" width="19.625" style="439" bestFit="1" customWidth="1"/>
    <col min="14600" max="14600" width="22.25" style="439" customWidth="1"/>
    <col min="14601" max="14601" width="2.375" style="439" customWidth="1"/>
    <col min="14602" max="14603" width="10.875" style="439"/>
    <col min="14604" max="14604" width="11.875" style="439" bestFit="1" customWidth="1"/>
    <col min="14605" max="14848" width="10.875" style="439"/>
    <col min="14849" max="14849" width="1.75" style="439" customWidth="1"/>
    <col min="14850" max="14850" width="3.75" style="439" customWidth="1"/>
    <col min="14851" max="14851" width="37.75" style="439" customWidth="1"/>
    <col min="14852" max="14852" width="17.75" style="439" customWidth="1"/>
    <col min="14853" max="14853" width="23.875" style="439" customWidth="1"/>
    <col min="14854" max="14854" width="18" style="439" bestFit="1" customWidth="1"/>
    <col min="14855" max="14855" width="19.625" style="439" bestFit="1" customWidth="1"/>
    <col min="14856" max="14856" width="22.25" style="439" customWidth="1"/>
    <col min="14857" max="14857" width="2.375" style="439" customWidth="1"/>
    <col min="14858" max="14859" width="10.875" style="439"/>
    <col min="14860" max="14860" width="11.875" style="439" bestFit="1" customWidth="1"/>
    <col min="14861" max="15104" width="10.875" style="439"/>
    <col min="15105" max="15105" width="1.75" style="439" customWidth="1"/>
    <col min="15106" max="15106" width="3.75" style="439" customWidth="1"/>
    <col min="15107" max="15107" width="37.75" style="439" customWidth="1"/>
    <col min="15108" max="15108" width="17.75" style="439" customWidth="1"/>
    <col min="15109" max="15109" width="23.875" style="439" customWidth="1"/>
    <col min="15110" max="15110" width="18" style="439" bestFit="1" customWidth="1"/>
    <col min="15111" max="15111" width="19.625" style="439" bestFit="1" customWidth="1"/>
    <col min="15112" max="15112" width="22.25" style="439" customWidth="1"/>
    <col min="15113" max="15113" width="2.375" style="439" customWidth="1"/>
    <col min="15114" max="15115" width="10.875" style="439"/>
    <col min="15116" max="15116" width="11.875" style="439" bestFit="1" customWidth="1"/>
    <col min="15117" max="15360" width="10.875" style="439"/>
    <col min="15361" max="15361" width="1.75" style="439" customWidth="1"/>
    <col min="15362" max="15362" width="3.75" style="439" customWidth="1"/>
    <col min="15363" max="15363" width="37.75" style="439" customWidth="1"/>
    <col min="15364" max="15364" width="17.75" style="439" customWidth="1"/>
    <col min="15365" max="15365" width="23.875" style="439" customWidth="1"/>
    <col min="15366" max="15366" width="18" style="439" bestFit="1" customWidth="1"/>
    <col min="15367" max="15367" width="19.625" style="439" bestFit="1" customWidth="1"/>
    <col min="15368" max="15368" width="22.25" style="439" customWidth="1"/>
    <col min="15369" max="15369" width="2.375" style="439" customWidth="1"/>
    <col min="15370" max="15371" width="10.875" style="439"/>
    <col min="15372" max="15372" width="11.875" style="439" bestFit="1" customWidth="1"/>
    <col min="15373" max="15616" width="10.875" style="439"/>
    <col min="15617" max="15617" width="1.75" style="439" customWidth="1"/>
    <col min="15618" max="15618" width="3.75" style="439" customWidth="1"/>
    <col min="15619" max="15619" width="37.75" style="439" customWidth="1"/>
    <col min="15620" max="15620" width="17.75" style="439" customWidth="1"/>
    <col min="15621" max="15621" width="23.875" style="439" customWidth="1"/>
    <col min="15622" max="15622" width="18" style="439" bestFit="1" customWidth="1"/>
    <col min="15623" max="15623" width="19.625" style="439" bestFit="1" customWidth="1"/>
    <col min="15624" max="15624" width="22.25" style="439" customWidth="1"/>
    <col min="15625" max="15625" width="2.375" style="439" customWidth="1"/>
    <col min="15626" max="15627" width="10.875" style="439"/>
    <col min="15628" max="15628" width="11.875" style="439" bestFit="1" customWidth="1"/>
    <col min="15629" max="15872" width="10.875" style="439"/>
    <col min="15873" max="15873" width="1.75" style="439" customWidth="1"/>
    <col min="15874" max="15874" width="3.75" style="439" customWidth="1"/>
    <col min="15875" max="15875" width="37.75" style="439" customWidth="1"/>
    <col min="15876" max="15876" width="17.75" style="439" customWidth="1"/>
    <col min="15877" max="15877" width="23.875" style="439" customWidth="1"/>
    <col min="15878" max="15878" width="18" style="439" bestFit="1" customWidth="1"/>
    <col min="15879" max="15879" width="19.625" style="439" bestFit="1" customWidth="1"/>
    <col min="15880" max="15880" width="22.25" style="439" customWidth="1"/>
    <col min="15881" max="15881" width="2.375" style="439" customWidth="1"/>
    <col min="15882" max="15883" width="10.875" style="439"/>
    <col min="15884" max="15884" width="11.875" style="439" bestFit="1" customWidth="1"/>
    <col min="15885" max="16128" width="10.875" style="439"/>
    <col min="16129" max="16129" width="1.75" style="439" customWidth="1"/>
    <col min="16130" max="16130" width="3.75" style="439" customWidth="1"/>
    <col min="16131" max="16131" width="37.75" style="439" customWidth="1"/>
    <col min="16132" max="16132" width="17.75" style="439" customWidth="1"/>
    <col min="16133" max="16133" width="23.875" style="439" customWidth="1"/>
    <col min="16134" max="16134" width="18" style="439" bestFit="1" customWidth="1"/>
    <col min="16135" max="16135" width="19.625" style="439" bestFit="1" customWidth="1"/>
    <col min="16136" max="16136" width="22.25" style="439" customWidth="1"/>
    <col min="16137" max="16137" width="2.375" style="439" customWidth="1"/>
    <col min="16138" max="16139" width="10.875" style="439"/>
    <col min="16140" max="16140" width="11.875" style="439" bestFit="1" customWidth="1"/>
    <col min="16141" max="16384" width="10.875" style="439"/>
  </cols>
  <sheetData>
    <row r="1" spans="1:9" x14ac:dyDescent="0.25">
      <c r="A1" s="566"/>
      <c r="C1" s="566"/>
      <c r="D1" s="566"/>
      <c r="E1" s="566"/>
      <c r="F1" s="566"/>
      <c r="G1" s="566"/>
      <c r="H1" s="566"/>
      <c r="I1" s="567"/>
    </row>
    <row r="2" spans="1:9" x14ac:dyDescent="0.25">
      <c r="A2" s="452"/>
    </row>
    <row r="3" spans="1:9" x14ac:dyDescent="0.25">
      <c r="H3" s="275" t="str">
        <f>'Ex 1'!$K$1</f>
        <v>Revised Exhibit 1</v>
      </c>
      <c r="I3" s="569"/>
    </row>
    <row r="4" spans="1:9" x14ac:dyDescent="0.25">
      <c r="H4" s="30" t="str">
        <f>"Reference Schedule "&amp;Inputs!$A29&amp;""</f>
        <v>Reference Schedule 1.13</v>
      </c>
      <c r="I4" s="571"/>
    </row>
    <row r="5" spans="1:9" x14ac:dyDescent="0.25">
      <c r="H5" s="529" t="str">
        <f>"Sponsoring Witness: "&amp;Inputs!$B29&amp;""</f>
        <v>Sponsoring Witness: Scott</v>
      </c>
      <c r="I5" s="571"/>
    </row>
    <row r="6" spans="1:9" x14ac:dyDescent="0.25">
      <c r="H6" s="570" t="s">
        <v>358</v>
      </c>
    </row>
    <row r="9" spans="1:9" x14ac:dyDescent="0.25">
      <c r="A9" s="818" t="s">
        <v>230</v>
      </c>
      <c r="B9" s="818"/>
      <c r="C9" s="818"/>
      <c r="D9" s="818"/>
      <c r="E9" s="818"/>
      <c r="F9" s="818"/>
      <c r="G9" s="818"/>
      <c r="H9" s="818"/>
      <c r="I9" s="575"/>
    </row>
    <row r="10" spans="1:9" x14ac:dyDescent="0.25">
      <c r="A10" s="574"/>
      <c r="D10" s="574"/>
      <c r="E10" s="574"/>
      <c r="F10" s="574"/>
      <c r="G10" s="574"/>
      <c r="H10" s="574"/>
      <c r="I10" s="575"/>
    </row>
    <row r="11" spans="1:9" x14ac:dyDescent="0.25">
      <c r="A11" s="574"/>
      <c r="D11" s="574"/>
      <c r="E11" s="574"/>
      <c r="F11" s="574"/>
      <c r="G11" s="574"/>
      <c r="H11" s="574"/>
      <c r="I11" s="575"/>
    </row>
    <row r="12" spans="1:9" x14ac:dyDescent="0.25">
      <c r="A12" s="820" t="s">
        <v>359</v>
      </c>
      <c r="B12" s="820"/>
      <c r="C12" s="820"/>
      <c r="D12" s="820"/>
      <c r="E12" s="820"/>
      <c r="F12" s="820"/>
      <c r="G12" s="820"/>
      <c r="H12" s="820"/>
      <c r="I12" s="575"/>
    </row>
    <row r="13" spans="1:9" x14ac:dyDescent="0.25">
      <c r="A13" s="818" t="s">
        <v>733</v>
      </c>
      <c r="B13" s="818"/>
      <c r="C13" s="818"/>
      <c r="D13" s="818"/>
      <c r="E13" s="818"/>
      <c r="F13" s="818"/>
      <c r="G13" s="818"/>
      <c r="H13" s="818"/>
      <c r="I13" s="576"/>
    </row>
    <row r="14" spans="1:9" x14ac:dyDescent="0.25">
      <c r="C14" s="577"/>
    </row>
    <row r="15" spans="1:9" x14ac:dyDescent="0.25">
      <c r="A15" s="818" t="s">
        <v>752</v>
      </c>
      <c r="B15" s="818"/>
      <c r="C15" s="818"/>
      <c r="D15" s="818"/>
      <c r="E15" s="818"/>
      <c r="F15" s="818"/>
      <c r="G15" s="818"/>
      <c r="H15" s="818"/>
      <c r="I15" s="576"/>
    </row>
    <row r="17" spans="2:9" x14ac:dyDescent="0.25">
      <c r="F17" s="578"/>
      <c r="G17" s="578"/>
      <c r="H17" s="579"/>
      <c r="I17" s="578"/>
    </row>
    <row r="18" spans="2:9" ht="18" x14ac:dyDescent="0.4">
      <c r="F18" s="580"/>
      <c r="G18" s="580"/>
      <c r="H18" s="722"/>
      <c r="I18" s="580"/>
    </row>
    <row r="19" spans="2:9" x14ac:dyDescent="0.25">
      <c r="F19" s="582"/>
      <c r="G19" s="582"/>
      <c r="H19" s="577"/>
      <c r="I19" s="582"/>
    </row>
    <row r="20" spans="2:9" x14ac:dyDescent="0.25">
      <c r="F20" s="568"/>
      <c r="G20" s="568"/>
    </row>
    <row r="21" spans="2:9" x14ac:dyDescent="0.25">
      <c r="B21" s="452">
        <v>1</v>
      </c>
      <c r="C21" s="439" t="s">
        <v>364</v>
      </c>
      <c r="F21" s="583"/>
      <c r="G21" s="583"/>
      <c r="H21" s="723">
        <f>H85</f>
        <v>2560142</v>
      </c>
      <c r="I21" s="583"/>
    </row>
    <row r="22" spans="2:9" x14ac:dyDescent="0.25">
      <c r="B22" s="452">
        <v>2</v>
      </c>
      <c r="C22" s="439" t="s">
        <v>365</v>
      </c>
      <c r="F22" s="568"/>
      <c r="G22" s="568"/>
      <c r="H22" s="585">
        <f>H111</f>
        <v>182902</v>
      </c>
      <c r="I22" s="586"/>
    </row>
    <row r="23" spans="2:9" x14ac:dyDescent="0.25">
      <c r="B23" s="452">
        <v>3</v>
      </c>
      <c r="C23" s="439" t="s">
        <v>366</v>
      </c>
      <c r="F23" s="568"/>
      <c r="G23" s="568"/>
      <c r="H23" s="587">
        <f>H142</f>
        <v>97874</v>
      </c>
      <c r="I23" s="586"/>
    </row>
    <row r="24" spans="2:9" ht="21.75" customHeight="1" x14ac:dyDescent="0.25">
      <c r="B24" s="452">
        <v>4</v>
      </c>
      <c r="C24" s="439" t="s">
        <v>151</v>
      </c>
      <c r="F24" s="583"/>
      <c r="G24" s="583"/>
      <c r="H24" s="724">
        <f>ROUND(SUM(H21:H23),0)</f>
        <v>2840918</v>
      </c>
      <c r="I24" s="583"/>
    </row>
    <row r="25" spans="2:9" x14ac:dyDescent="0.25">
      <c r="B25" s="452">
        <v>5</v>
      </c>
      <c r="C25" s="439" t="s">
        <v>392</v>
      </c>
      <c r="F25" s="568"/>
      <c r="H25" s="120">
        <f>Allocators!C27</f>
        <v>0.88937999999999995</v>
      </c>
      <c r="I25" s="588"/>
    </row>
    <row r="26" spans="2:9" ht="23.25" customHeight="1" thickBot="1" x14ac:dyDescent="0.3">
      <c r="B26" s="452">
        <v>6</v>
      </c>
      <c r="C26" s="439" t="s">
        <v>93</v>
      </c>
      <c r="H26" s="726">
        <f>ROUND(+H24*H25,0)</f>
        <v>2526656</v>
      </c>
    </row>
    <row r="27" spans="2:9" ht="16.5" thickTop="1" x14ac:dyDescent="0.25">
      <c r="C27" s="588"/>
      <c r="D27" s="568"/>
      <c r="E27" s="568"/>
      <c r="F27" s="727"/>
      <c r="G27" s="568"/>
      <c r="H27" s="728"/>
    </row>
    <row r="28" spans="2:9" x14ac:dyDescent="0.25">
      <c r="C28" s="588"/>
      <c r="D28" s="568"/>
      <c r="E28" s="568"/>
      <c r="F28" s="727"/>
      <c r="G28" s="568"/>
      <c r="H28" s="729"/>
    </row>
    <row r="29" spans="2:9" x14ac:dyDescent="0.25">
      <c r="C29" s="588"/>
      <c r="D29" s="568"/>
      <c r="E29" s="568"/>
      <c r="F29" s="568"/>
      <c r="G29" s="568"/>
      <c r="H29" s="730"/>
    </row>
    <row r="30" spans="2:9" x14ac:dyDescent="0.25">
      <c r="C30" s="588"/>
      <c r="D30" s="568"/>
      <c r="E30" s="568"/>
      <c r="F30" s="568"/>
      <c r="G30" s="568"/>
      <c r="H30" s="730"/>
    </row>
    <row r="31" spans="2:9" x14ac:dyDescent="0.25">
      <c r="C31" s="588"/>
      <c r="D31" s="568"/>
      <c r="E31" s="568"/>
      <c r="F31" s="568"/>
      <c r="G31" s="568"/>
      <c r="H31" s="730"/>
    </row>
    <row r="32" spans="2:9" x14ac:dyDescent="0.25">
      <c r="C32" s="452"/>
      <c r="H32" s="730"/>
    </row>
    <row r="33" spans="1:9" x14ac:dyDescent="0.25">
      <c r="C33" s="452"/>
      <c r="H33" s="730"/>
    </row>
    <row r="34" spans="1:9" x14ac:dyDescent="0.25">
      <c r="C34" s="452"/>
      <c r="H34" s="730"/>
    </row>
    <row r="35" spans="1:9" x14ac:dyDescent="0.25">
      <c r="C35" s="452"/>
      <c r="H35" s="730"/>
    </row>
    <row r="37" spans="1:9" x14ac:dyDescent="0.25">
      <c r="A37" s="452"/>
    </row>
    <row r="38" spans="1:9" x14ac:dyDescent="0.25">
      <c r="H38" s="570" t="str">
        <f>H3</f>
        <v>Revised Exhibit 1</v>
      </c>
      <c r="I38" s="569"/>
    </row>
    <row r="39" spans="1:9" x14ac:dyDescent="0.25">
      <c r="H39" s="570" t="str">
        <f>H4</f>
        <v>Reference Schedule 1.13</v>
      </c>
      <c r="I39" s="571"/>
    </row>
    <row r="40" spans="1:9" x14ac:dyDescent="0.25">
      <c r="A40" s="452"/>
      <c r="H40" s="570" t="str">
        <f>H5</f>
        <v>Sponsoring Witness: Scott</v>
      </c>
      <c r="I40" s="571"/>
    </row>
    <row r="41" spans="1:9" x14ac:dyDescent="0.25">
      <c r="H41" s="570" t="s">
        <v>196</v>
      </c>
    </row>
    <row r="42" spans="1:9" x14ac:dyDescent="0.25">
      <c r="H42" s="570"/>
    </row>
    <row r="43" spans="1:9" x14ac:dyDescent="0.25">
      <c r="H43" s="572"/>
    </row>
    <row r="44" spans="1:9" x14ac:dyDescent="0.25">
      <c r="A44" s="818" t="str">
        <f>A9</f>
        <v>KENTUCKY UTILITIES</v>
      </c>
      <c r="B44" s="818"/>
      <c r="C44" s="818"/>
      <c r="D44" s="818"/>
      <c r="E44" s="818"/>
      <c r="F44" s="818"/>
      <c r="G44" s="818"/>
      <c r="H44" s="818"/>
      <c r="I44" s="592"/>
    </row>
    <row r="45" spans="1:9" x14ac:dyDescent="0.25">
      <c r="A45" s="591"/>
      <c r="D45" s="591"/>
      <c r="E45" s="591"/>
      <c r="F45" s="591"/>
      <c r="G45" s="591"/>
      <c r="H45" s="591"/>
      <c r="I45" s="592"/>
    </row>
    <row r="46" spans="1:9" x14ac:dyDescent="0.25">
      <c r="A46" s="574"/>
      <c r="D46" s="591"/>
      <c r="E46" s="591"/>
      <c r="F46" s="591"/>
      <c r="G46" s="591"/>
      <c r="H46" s="591"/>
      <c r="I46" s="592"/>
    </row>
    <row r="47" spans="1:9" x14ac:dyDescent="0.25">
      <c r="A47" s="820" t="str">
        <f>A12</f>
        <v>Adjustment to Reflect Increases in Labor and Labor-Related Costs</v>
      </c>
      <c r="B47" s="820"/>
      <c r="C47" s="820"/>
      <c r="D47" s="820"/>
      <c r="E47" s="820"/>
      <c r="F47" s="820"/>
      <c r="G47" s="820"/>
      <c r="H47" s="820"/>
      <c r="I47" s="592"/>
    </row>
    <row r="48" spans="1:9" x14ac:dyDescent="0.25">
      <c r="A48" s="818" t="str">
        <f>A13</f>
        <v>As Applied to the Twelve Months Ended March 31, 2012</v>
      </c>
      <c r="B48" s="818"/>
      <c r="C48" s="818"/>
      <c r="D48" s="818"/>
      <c r="E48" s="818"/>
      <c r="F48" s="818"/>
      <c r="G48" s="818"/>
      <c r="H48" s="818"/>
      <c r="I48" s="592"/>
    </row>
    <row r="49" spans="1:10" x14ac:dyDescent="0.25">
      <c r="A49" s="818" t="str">
        <f>A15</f>
        <v>Revised per PSC 2-52</v>
      </c>
      <c r="B49" s="818"/>
      <c r="C49" s="818"/>
      <c r="D49" s="818"/>
      <c r="E49" s="818"/>
      <c r="F49" s="818"/>
      <c r="G49" s="818"/>
      <c r="H49" s="818"/>
      <c r="I49" s="592"/>
    </row>
    <row r="50" spans="1:10" x14ac:dyDescent="0.25">
      <c r="B50" s="719"/>
      <c r="C50" s="719"/>
      <c r="D50" s="719"/>
      <c r="E50" s="719"/>
      <c r="F50" s="719"/>
      <c r="G50" s="719"/>
      <c r="H50" s="719"/>
      <c r="I50" s="719"/>
      <c r="J50" s="719"/>
    </row>
    <row r="51" spans="1:10" s="732" customFormat="1" ht="23.25" hidden="1" x14ac:dyDescent="0.25">
      <c r="B51" s="731"/>
      <c r="F51" s="733" t="s">
        <v>434</v>
      </c>
      <c r="G51" s="733" t="s">
        <v>435</v>
      </c>
      <c r="I51" s="734"/>
    </row>
    <row r="52" spans="1:10" s="732" customFormat="1" x14ac:dyDescent="0.25">
      <c r="B52" s="731"/>
      <c r="F52" s="733"/>
      <c r="G52" s="735" t="s">
        <v>694</v>
      </c>
      <c r="I52" s="734"/>
    </row>
    <row r="53" spans="1:10" s="732" customFormat="1" x14ac:dyDescent="0.25">
      <c r="B53" s="731">
        <v>1</v>
      </c>
      <c r="C53" s="732" t="s">
        <v>616</v>
      </c>
      <c r="D53" s="736"/>
      <c r="F53" s="737" t="s">
        <v>197</v>
      </c>
      <c r="G53" s="738" t="s">
        <v>261</v>
      </c>
      <c r="H53" s="737" t="s">
        <v>151</v>
      </c>
      <c r="I53" s="734"/>
    </row>
    <row r="54" spans="1:10" s="732" customFormat="1" x14ac:dyDescent="0.25">
      <c r="B54" s="731">
        <v>2</v>
      </c>
      <c r="C54" s="732" t="s">
        <v>436</v>
      </c>
      <c r="F54" s="739">
        <f>89007797-73220</f>
        <v>88934577</v>
      </c>
      <c r="G54" s="739">
        <f>35964453+563775</f>
        <v>36528228</v>
      </c>
      <c r="H54" s="739">
        <f>SUM(F54:G54)</f>
        <v>125462805</v>
      </c>
      <c r="I54" s="740"/>
    </row>
    <row r="55" spans="1:10" s="732" customFormat="1" x14ac:dyDescent="0.25">
      <c r="B55" s="731">
        <v>3</v>
      </c>
      <c r="C55" s="732" t="s">
        <v>198</v>
      </c>
      <c r="F55" s="741">
        <v>11900917</v>
      </c>
      <c r="G55" s="741">
        <v>4332635</v>
      </c>
      <c r="H55" s="742">
        <f>SUM(F55:G55)</f>
        <v>16233552</v>
      </c>
      <c r="I55" s="734"/>
    </row>
    <row r="56" spans="1:10" s="732" customFormat="1" ht="24.75" customHeight="1" thickBot="1" x14ac:dyDescent="0.3">
      <c r="B56" s="743">
        <f>B55+1</f>
        <v>4</v>
      </c>
      <c r="C56" s="744" t="s">
        <v>734</v>
      </c>
      <c r="F56" s="745">
        <f>SUM(F54:F55)</f>
        <v>100835494</v>
      </c>
      <c r="G56" s="745">
        <f>SUM(G54:G55)</f>
        <v>40860863</v>
      </c>
      <c r="H56" s="745">
        <f>SUM(H54:H55)</f>
        <v>141696357</v>
      </c>
      <c r="I56" s="746"/>
      <c r="J56" s="747"/>
    </row>
    <row r="57" spans="1:10" s="732" customFormat="1" ht="16.5" thickTop="1" x14ac:dyDescent="0.25">
      <c r="B57" s="743">
        <f>B56+1</f>
        <v>5</v>
      </c>
      <c r="C57" s="732" t="s">
        <v>199</v>
      </c>
      <c r="F57" s="748">
        <f>ROUND(+F56/H56,5)</f>
        <v>0.71162999999999998</v>
      </c>
      <c r="G57" s="748">
        <f>ROUND(+G56/H56,5)</f>
        <v>0.28837000000000002</v>
      </c>
      <c r="H57" s="749">
        <f>+F57+G57</f>
        <v>1</v>
      </c>
      <c r="I57" s="750"/>
    </row>
    <row r="58" spans="1:10" s="732" customFormat="1" x14ac:dyDescent="0.25">
      <c r="B58" s="731"/>
      <c r="F58" s="751"/>
      <c r="G58" s="752"/>
      <c r="H58" s="753"/>
      <c r="I58" s="750"/>
    </row>
    <row r="59" spans="1:10" s="732" customFormat="1" x14ac:dyDescent="0.25">
      <c r="B59" s="743"/>
      <c r="H59" s="753"/>
      <c r="I59" s="750"/>
    </row>
    <row r="60" spans="1:10" s="732" customFormat="1" x14ac:dyDescent="0.25">
      <c r="B60" s="743">
        <f>B57+1</f>
        <v>6</v>
      </c>
      <c r="C60" s="736" t="s">
        <v>617</v>
      </c>
      <c r="D60" s="736"/>
      <c r="I60" s="734"/>
    </row>
    <row r="61" spans="1:10" s="732" customFormat="1" x14ac:dyDescent="0.25">
      <c r="B61" s="743">
        <f>B60+1</f>
        <v>7</v>
      </c>
      <c r="C61" s="736" t="s">
        <v>437</v>
      </c>
      <c r="F61" s="754">
        <v>1</v>
      </c>
      <c r="G61" s="755" t="s">
        <v>438</v>
      </c>
      <c r="H61" s="756">
        <v>9418593.5999999996</v>
      </c>
      <c r="I61" s="757"/>
      <c r="J61" s="747"/>
    </row>
    <row r="62" spans="1:10" s="732" customFormat="1" x14ac:dyDescent="0.25">
      <c r="B62" s="743">
        <f t="shared" ref="B62:B69" si="0">B61+1</f>
        <v>8</v>
      </c>
      <c r="C62" s="732" t="s">
        <v>439</v>
      </c>
      <c r="F62" s="754">
        <v>1</v>
      </c>
      <c r="G62" s="755" t="s">
        <v>438</v>
      </c>
      <c r="H62" s="758">
        <f>11953350+502380</f>
        <v>12455730</v>
      </c>
      <c r="I62" s="759"/>
      <c r="J62" s="747"/>
    </row>
    <row r="63" spans="1:10" s="732" customFormat="1" x14ac:dyDescent="0.25">
      <c r="B63" s="743">
        <f t="shared" si="0"/>
        <v>9</v>
      </c>
      <c r="C63" s="732" t="s">
        <v>440</v>
      </c>
      <c r="F63" s="754">
        <v>1</v>
      </c>
      <c r="G63" s="755" t="s">
        <v>438</v>
      </c>
      <c r="H63" s="760">
        <v>12012756.4</v>
      </c>
      <c r="I63" s="759"/>
      <c r="J63" s="747"/>
    </row>
    <row r="64" spans="1:10" s="732" customFormat="1" x14ac:dyDescent="0.25">
      <c r="B64" s="743">
        <f t="shared" si="0"/>
        <v>10</v>
      </c>
      <c r="C64" s="732" t="s">
        <v>441</v>
      </c>
      <c r="F64" s="754">
        <v>1</v>
      </c>
      <c r="G64" s="755" t="s">
        <v>438</v>
      </c>
      <c r="H64" s="760">
        <v>31062532.800000001</v>
      </c>
      <c r="I64" s="759"/>
      <c r="J64" s="747"/>
    </row>
    <row r="65" spans="1:16" s="732" customFormat="1" x14ac:dyDescent="0.25">
      <c r="B65" s="743">
        <f>B64+1</f>
        <v>11</v>
      </c>
      <c r="C65" s="732" t="s">
        <v>442</v>
      </c>
      <c r="F65" s="761">
        <v>0.52505999999999997</v>
      </c>
      <c r="G65" s="755" t="s">
        <v>438</v>
      </c>
      <c r="H65" s="760">
        <f>SUM(80569613.8+12875130)*F65</f>
        <v>49064097.179627992</v>
      </c>
      <c r="I65" s="759"/>
    </row>
    <row r="66" spans="1:16" s="732" customFormat="1" x14ac:dyDescent="0.25">
      <c r="B66" s="743">
        <f t="shared" si="0"/>
        <v>12</v>
      </c>
      <c r="C66" s="732" t="s">
        <v>443</v>
      </c>
      <c r="F66" s="761">
        <f>F65</f>
        <v>0.52505999999999997</v>
      </c>
      <c r="G66" s="755" t="s">
        <v>438</v>
      </c>
      <c r="H66" s="760">
        <f>ROUND(17531678.6*F66,0)</f>
        <v>9205183</v>
      </c>
      <c r="I66" s="759"/>
    </row>
    <row r="67" spans="1:16" s="732" customFormat="1" x14ac:dyDescent="0.25">
      <c r="B67" s="743">
        <f>B66+1</f>
        <v>13</v>
      </c>
      <c r="C67" s="732" t="s">
        <v>444</v>
      </c>
      <c r="F67" s="761">
        <v>8.1320000000000003E-2</v>
      </c>
      <c r="G67" s="755" t="s">
        <v>438</v>
      </c>
      <c r="H67" s="760">
        <f>ROUND(46123708.8*F67,0)</f>
        <v>3750780</v>
      </c>
      <c r="I67" s="759"/>
    </row>
    <row r="68" spans="1:16" s="732" customFormat="1" x14ac:dyDescent="0.25">
      <c r="B68" s="743">
        <f t="shared" si="0"/>
        <v>14</v>
      </c>
      <c r="C68" s="732" t="s">
        <v>445</v>
      </c>
      <c r="F68" s="761">
        <f>F67</f>
        <v>8.1320000000000003E-2</v>
      </c>
      <c r="G68" s="755" t="s">
        <v>438</v>
      </c>
      <c r="H68" s="760">
        <f>ROUND(21696059.4+694390,0)*F68</f>
        <v>1820791.31268</v>
      </c>
      <c r="I68" s="759"/>
    </row>
    <row r="69" spans="1:16" s="732" customFormat="1" x14ac:dyDescent="0.25">
      <c r="B69" s="743">
        <f t="shared" si="0"/>
        <v>15</v>
      </c>
      <c r="C69" s="732" t="s">
        <v>446</v>
      </c>
      <c r="E69" s="762"/>
      <c r="F69" s="761">
        <f>F68</f>
        <v>8.1320000000000003E-2</v>
      </c>
      <c r="G69" s="755" t="s">
        <v>438</v>
      </c>
      <c r="H69" s="763">
        <f>ROUND(2636761*F69,0)</f>
        <v>214421</v>
      </c>
      <c r="I69" s="759"/>
    </row>
    <row r="70" spans="1:16" s="732" customFormat="1" ht="21" customHeight="1" x14ac:dyDescent="0.25">
      <c r="B70" s="743">
        <f>B69+1</f>
        <v>16</v>
      </c>
      <c r="C70" s="744" t="s">
        <v>735</v>
      </c>
      <c r="D70" s="736"/>
      <c r="H70" s="756">
        <f>ROUND(SUM(H61:H69),0)</f>
        <v>129004885</v>
      </c>
      <c r="I70" s="746"/>
      <c r="J70" s="764"/>
    </row>
    <row r="71" spans="1:16" s="732" customFormat="1" x14ac:dyDescent="0.25">
      <c r="B71" s="736"/>
      <c r="G71" s="765"/>
      <c r="H71" s="766"/>
      <c r="I71" s="746"/>
    </row>
    <row r="72" spans="1:16" s="732" customFormat="1" x14ac:dyDescent="0.25">
      <c r="A72" s="736"/>
      <c r="B72" s="767">
        <f>B70+1</f>
        <v>17</v>
      </c>
      <c r="C72" s="768" t="s">
        <v>447</v>
      </c>
      <c r="G72" s="765"/>
      <c r="H72" s="769">
        <v>16229581</v>
      </c>
      <c r="I72" s="770"/>
      <c r="J72" s="736"/>
      <c r="K72" s="736"/>
      <c r="L72" s="736"/>
      <c r="M72" s="736"/>
      <c r="N72" s="736"/>
      <c r="O72" s="736"/>
      <c r="P72" s="736"/>
    </row>
    <row r="73" spans="1:16" s="732" customFormat="1" x14ac:dyDescent="0.25">
      <c r="A73" s="736"/>
      <c r="B73" s="767">
        <f t="shared" ref="B73:B78" si="1">B72+1</f>
        <v>18</v>
      </c>
      <c r="C73" s="699" t="s">
        <v>682</v>
      </c>
      <c r="D73" s="736"/>
      <c r="E73" s="736"/>
      <c r="F73" s="736"/>
      <c r="G73" s="771"/>
      <c r="H73" s="614">
        <f>ROUND(153436.25*3%,0)</f>
        <v>4603</v>
      </c>
      <c r="I73" s="770"/>
    </row>
    <row r="74" spans="1:16" s="732" customFormat="1" x14ac:dyDescent="0.25">
      <c r="A74" s="736"/>
      <c r="B74" s="767">
        <f t="shared" si="1"/>
        <v>19</v>
      </c>
      <c r="C74" s="699" t="s">
        <v>683</v>
      </c>
      <c r="D74" s="736"/>
      <c r="E74" s="736"/>
      <c r="F74" s="736"/>
      <c r="G74" s="771"/>
      <c r="H74" s="614">
        <f>ROUND(672232.85*3%,0)</f>
        <v>20167</v>
      </c>
      <c r="I74" s="770"/>
    </row>
    <row r="75" spans="1:16" s="732" customFormat="1" x14ac:dyDescent="0.25">
      <c r="A75" s="736"/>
      <c r="B75" s="767">
        <f t="shared" si="1"/>
        <v>20</v>
      </c>
      <c r="C75" s="699" t="s">
        <v>684</v>
      </c>
      <c r="D75" s="736"/>
      <c r="E75" s="736"/>
      <c r="F75" s="736"/>
      <c r="G75" s="771"/>
      <c r="H75" s="614">
        <f>ROUND(8881958.08*2.5%,0)*F67</f>
        <v>18057.024680000002</v>
      </c>
      <c r="I75" s="770"/>
    </row>
    <row r="76" spans="1:16" s="732" customFormat="1" x14ac:dyDescent="0.25">
      <c r="A76" s="736"/>
      <c r="B76" s="767">
        <f t="shared" si="1"/>
        <v>21</v>
      </c>
      <c r="C76" s="699" t="s">
        <v>685</v>
      </c>
      <c r="D76" s="736"/>
      <c r="E76" s="736"/>
      <c r="F76" s="736"/>
      <c r="G76" s="771"/>
      <c r="H76" s="614">
        <f>ROUND(81077.14*3%,0)*F69</f>
        <v>197.77024</v>
      </c>
      <c r="I76" s="770"/>
    </row>
    <row r="77" spans="1:16" s="732" customFormat="1" x14ac:dyDescent="0.25">
      <c r="A77" s="736"/>
      <c r="B77" s="767">
        <f t="shared" si="1"/>
        <v>22</v>
      </c>
      <c r="C77" s="699" t="s">
        <v>686</v>
      </c>
      <c r="D77" s="736"/>
      <c r="E77" s="736"/>
      <c r="F77" s="736"/>
      <c r="G77" s="771"/>
      <c r="H77" s="688">
        <f>ROUND(1054067.94*3%,0)*F66</f>
        <v>16603.447319999999</v>
      </c>
      <c r="I77" s="770"/>
    </row>
    <row r="78" spans="1:16" s="732" customFormat="1" ht="21.75" customHeight="1" thickBot="1" x14ac:dyDescent="0.3">
      <c r="A78" s="736"/>
      <c r="B78" s="767">
        <f t="shared" si="1"/>
        <v>23</v>
      </c>
      <c r="C78" s="744" t="s">
        <v>736</v>
      </c>
      <c r="D78" s="736"/>
      <c r="E78" s="736"/>
      <c r="F78" s="736"/>
      <c r="G78" s="771"/>
      <c r="H78" s="772">
        <f>SUM(H70:H77)</f>
        <v>145294094.24224001</v>
      </c>
      <c r="I78" s="770"/>
    </row>
    <row r="79" spans="1:16" s="732" customFormat="1" ht="16.5" thickTop="1" x14ac:dyDescent="0.25">
      <c r="A79" s="736"/>
      <c r="B79" s="767"/>
      <c r="G79" s="765"/>
      <c r="H79" s="773"/>
      <c r="I79" s="746"/>
    </row>
    <row r="80" spans="1:16" s="732" customFormat="1" x14ac:dyDescent="0.25">
      <c r="A80" s="736"/>
      <c r="B80" s="767">
        <f>B78+1</f>
        <v>24</v>
      </c>
      <c r="C80" s="732" t="s">
        <v>200</v>
      </c>
      <c r="H80" s="774"/>
      <c r="I80" s="746"/>
    </row>
    <row r="81" spans="1:9" s="732" customFormat="1" x14ac:dyDescent="0.25">
      <c r="A81" s="736"/>
      <c r="B81" s="767"/>
      <c r="D81" s="739">
        <f>H78</f>
        <v>145294094.24224001</v>
      </c>
      <c r="E81" s="775" t="s">
        <v>201</v>
      </c>
      <c r="F81" s="776">
        <f>F57</f>
        <v>0.71162999999999998</v>
      </c>
      <c r="H81" s="739">
        <f>ROUND(D81*F81,0)</f>
        <v>103395636</v>
      </c>
      <c r="I81" s="746"/>
    </row>
    <row r="82" spans="1:9" s="732" customFormat="1" x14ac:dyDescent="0.25">
      <c r="A82" s="736"/>
      <c r="B82" s="767"/>
      <c r="D82" s="739"/>
      <c r="E82" s="775"/>
      <c r="F82" s="777"/>
      <c r="H82" s="724"/>
      <c r="I82" s="746"/>
    </row>
    <row r="83" spans="1:9" s="732" customFormat="1" x14ac:dyDescent="0.25">
      <c r="A83" s="736"/>
      <c r="B83" s="767">
        <f>B80+1</f>
        <v>25</v>
      </c>
      <c r="C83" s="744" t="s">
        <v>737</v>
      </c>
      <c r="E83" s="736"/>
      <c r="G83" s="765"/>
      <c r="H83" s="778">
        <f>F56</f>
        <v>100835494</v>
      </c>
      <c r="I83" s="746"/>
    </row>
    <row r="84" spans="1:9" s="732" customFormat="1" x14ac:dyDescent="0.25">
      <c r="A84" s="736"/>
      <c r="B84" s="767"/>
      <c r="G84" s="765"/>
      <c r="H84" s="779"/>
      <c r="I84" s="746"/>
    </row>
    <row r="85" spans="1:9" s="732" customFormat="1" ht="16.5" thickBot="1" x14ac:dyDescent="0.3">
      <c r="A85" s="736"/>
      <c r="B85" s="767">
        <f>B83+1</f>
        <v>26</v>
      </c>
      <c r="C85" s="744" t="s">
        <v>738</v>
      </c>
      <c r="G85" s="765"/>
      <c r="H85" s="772">
        <f>H81-H83</f>
        <v>2560142</v>
      </c>
      <c r="I85" s="746"/>
    </row>
    <row r="86" spans="1:9" s="736" customFormat="1" ht="16.5" thickTop="1" x14ac:dyDescent="0.25">
      <c r="G86" s="771"/>
      <c r="H86" s="780"/>
      <c r="I86" s="770"/>
    </row>
    <row r="88" spans="1:9" x14ac:dyDescent="0.25">
      <c r="H88" s="570" t="str">
        <f>+H3</f>
        <v>Revised Exhibit 1</v>
      </c>
    </row>
    <row r="89" spans="1:9" x14ac:dyDescent="0.25">
      <c r="A89" s="452"/>
      <c r="H89" s="570" t="str">
        <f>+H4</f>
        <v>Reference Schedule 1.13</v>
      </c>
      <c r="I89" s="569"/>
    </row>
    <row r="90" spans="1:9" x14ac:dyDescent="0.25">
      <c r="H90" s="570" t="str">
        <f>+H5</f>
        <v>Sponsoring Witness: Scott</v>
      </c>
      <c r="I90" s="571"/>
    </row>
    <row r="91" spans="1:9" x14ac:dyDescent="0.25">
      <c r="H91" s="570" t="s">
        <v>202</v>
      </c>
      <c r="I91" s="571"/>
    </row>
    <row r="94" spans="1:9" x14ac:dyDescent="0.25">
      <c r="A94" s="818" t="str">
        <f>A9</f>
        <v>KENTUCKY UTILITIES</v>
      </c>
      <c r="B94" s="818"/>
      <c r="C94" s="818"/>
      <c r="D94" s="818"/>
      <c r="E94" s="818"/>
      <c r="F94" s="818"/>
      <c r="G94" s="818"/>
      <c r="H94" s="818"/>
    </row>
    <row r="95" spans="1:9" x14ac:dyDescent="0.25">
      <c r="A95" s="574"/>
      <c r="B95" s="596"/>
      <c r="D95" s="574"/>
      <c r="E95" s="574"/>
      <c r="F95" s="574"/>
      <c r="G95" s="574"/>
      <c r="H95" s="574"/>
      <c r="I95" s="575"/>
    </row>
    <row r="96" spans="1:9" x14ac:dyDescent="0.25">
      <c r="A96" s="574"/>
      <c r="D96" s="574"/>
      <c r="E96" s="574"/>
      <c r="F96" s="574"/>
      <c r="G96" s="574"/>
      <c r="H96" s="574"/>
      <c r="I96" s="575"/>
    </row>
    <row r="97" spans="1:9" x14ac:dyDescent="0.25">
      <c r="A97" s="821" t="s">
        <v>203</v>
      </c>
      <c r="B97" s="821"/>
      <c r="C97" s="821"/>
      <c r="D97" s="821"/>
      <c r="E97" s="821"/>
      <c r="F97" s="821"/>
      <c r="G97" s="821"/>
      <c r="H97" s="821"/>
      <c r="I97" s="575"/>
    </row>
    <row r="98" spans="1:9" x14ac:dyDescent="0.25">
      <c r="A98" s="818" t="str">
        <f>A13</f>
        <v>As Applied to the Twelve Months Ended March 31, 2012</v>
      </c>
      <c r="B98" s="818"/>
      <c r="C98" s="818"/>
      <c r="D98" s="818"/>
      <c r="E98" s="818"/>
      <c r="F98" s="818"/>
      <c r="G98" s="818"/>
      <c r="H98" s="818"/>
      <c r="I98" s="575"/>
    </row>
    <row r="99" spans="1:9" x14ac:dyDescent="0.25">
      <c r="A99" s="818" t="str">
        <f>A15</f>
        <v>Revised per PSC 2-52</v>
      </c>
      <c r="B99" s="818"/>
      <c r="C99" s="818"/>
      <c r="D99" s="818"/>
      <c r="E99" s="818"/>
      <c r="F99" s="818"/>
      <c r="G99" s="818"/>
      <c r="H99" s="818"/>
      <c r="I99" s="575"/>
    </row>
    <row r="101" spans="1:9" s="732" customFormat="1" x14ac:dyDescent="0.25">
      <c r="B101" s="731">
        <v>1</v>
      </c>
      <c r="C101" s="744" t="s">
        <v>739</v>
      </c>
      <c r="D101" s="736"/>
      <c r="H101" s="739">
        <f>+H85</f>
        <v>2560142</v>
      </c>
    </row>
    <row r="102" spans="1:9" s="732" customFormat="1" x14ac:dyDescent="0.25">
      <c r="B102" s="731"/>
      <c r="H102" s="781"/>
    </row>
    <row r="103" spans="1:9" s="732" customFormat="1" x14ac:dyDescent="0.25">
      <c r="B103" s="731">
        <v>2</v>
      </c>
      <c r="C103" s="732" t="s">
        <v>204</v>
      </c>
      <c r="H103" s="725">
        <v>0.91842000000000001</v>
      </c>
    </row>
    <row r="104" spans="1:9" s="732" customFormat="1" x14ac:dyDescent="0.25">
      <c r="B104" s="731"/>
      <c r="H104" s="781"/>
    </row>
    <row r="105" spans="1:9" s="732" customFormat="1" ht="16.5" thickBot="1" x14ac:dyDescent="0.3">
      <c r="B105" s="731">
        <v>3</v>
      </c>
      <c r="C105" s="732" t="s">
        <v>205</v>
      </c>
      <c r="H105" s="782">
        <f>ROUND(+H101*H103,0)</f>
        <v>2351286</v>
      </c>
    </row>
    <row r="106" spans="1:9" s="732" customFormat="1" ht="16.5" thickTop="1" x14ac:dyDescent="0.25">
      <c r="B106" s="731"/>
      <c r="H106" s="781"/>
    </row>
    <row r="107" spans="1:9" s="732" customFormat="1" x14ac:dyDescent="0.25">
      <c r="B107" s="767">
        <v>4</v>
      </c>
      <c r="C107" s="736" t="s">
        <v>206</v>
      </c>
      <c r="H107" s="739">
        <f>ROUND(+H101*0.0145,0)</f>
        <v>37122</v>
      </c>
    </row>
    <row r="108" spans="1:9" s="732" customFormat="1" x14ac:dyDescent="0.25">
      <c r="B108" s="731"/>
      <c r="H108" s="739"/>
    </row>
    <row r="109" spans="1:9" s="732" customFormat="1" x14ac:dyDescent="0.25">
      <c r="B109" s="767">
        <v>5</v>
      </c>
      <c r="C109" s="736" t="s">
        <v>207</v>
      </c>
      <c r="D109" s="736"/>
      <c r="H109" s="783">
        <f>ROUND(+H105*0.062,0)</f>
        <v>145780</v>
      </c>
    </row>
    <row r="110" spans="1:9" s="732" customFormat="1" x14ac:dyDescent="0.25">
      <c r="B110" s="744"/>
    </row>
    <row r="111" spans="1:9" s="732" customFormat="1" ht="16.5" thickBot="1" x14ac:dyDescent="0.3">
      <c r="B111" s="731">
        <v>6</v>
      </c>
      <c r="C111" s="732" t="s">
        <v>208</v>
      </c>
      <c r="H111" s="782">
        <f>+H107+H109</f>
        <v>182902</v>
      </c>
    </row>
    <row r="112" spans="1:9" ht="16.5" thickTop="1" x14ac:dyDescent="0.25">
      <c r="I112" s="439"/>
    </row>
    <row r="113" spans="1:9" x14ac:dyDescent="0.25">
      <c r="I113" s="784"/>
    </row>
    <row r="115" spans="1:9" x14ac:dyDescent="0.25">
      <c r="H115" s="577"/>
      <c r="I115" s="582"/>
    </row>
    <row r="118" spans="1:9" x14ac:dyDescent="0.25">
      <c r="A118" s="452"/>
      <c r="H118" s="570" t="str">
        <f>+H3</f>
        <v>Revised Exhibit 1</v>
      </c>
      <c r="I118" s="569"/>
    </row>
    <row r="119" spans="1:9" x14ac:dyDescent="0.25">
      <c r="H119" s="570" t="str">
        <f>+H4</f>
        <v>Reference Schedule 1.13</v>
      </c>
      <c r="I119" s="571"/>
    </row>
    <row r="120" spans="1:9" x14ac:dyDescent="0.25">
      <c r="H120" s="570" t="str">
        <f>+H5</f>
        <v>Sponsoring Witness: Scott</v>
      </c>
      <c r="I120" s="571"/>
    </row>
    <row r="121" spans="1:9" x14ac:dyDescent="0.25">
      <c r="H121" s="570" t="s">
        <v>209</v>
      </c>
    </row>
    <row r="122" spans="1:9" x14ac:dyDescent="0.25">
      <c r="H122" s="572"/>
    </row>
    <row r="124" spans="1:9" x14ac:dyDescent="0.25">
      <c r="A124" s="822" t="str">
        <f>A9</f>
        <v>KENTUCKY UTILITIES</v>
      </c>
      <c r="B124" s="822"/>
      <c r="C124" s="822"/>
      <c r="D124" s="822"/>
      <c r="E124" s="822"/>
      <c r="F124" s="822"/>
      <c r="G124" s="822"/>
      <c r="H124" s="822"/>
    </row>
    <row r="125" spans="1:9" x14ac:dyDescent="0.25">
      <c r="A125" s="574"/>
      <c r="D125" s="574"/>
      <c r="E125" s="574"/>
      <c r="F125" s="574"/>
      <c r="G125" s="574"/>
      <c r="H125" s="574"/>
      <c r="I125" s="575"/>
    </row>
    <row r="126" spans="1:9" x14ac:dyDescent="0.25">
      <c r="A126" s="574"/>
      <c r="D126" s="574"/>
      <c r="E126" s="574"/>
      <c r="F126" s="574"/>
      <c r="G126" s="574"/>
      <c r="H126" s="574"/>
      <c r="I126" s="575"/>
    </row>
    <row r="127" spans="1:9" x14ac:dyDescent="0.25">
      <c r="A127" s="821" t="s">
        <v>210</v>
      </c>
      <c r="B127" s="821"/>
      <c r="C127" s="821"/>
      <c r="D127" s="821"/>
      <c r="E127" s="821"/>
      <c r="F127" s="821"/>
      <c r="G127" s="821"/>
      <c r="H127" s="821"/>
      <c r="I127" s="575"/>
    </row>
    <row r="128" spans="1:9" x14ac:dyDescent="0.25">
      <c r="A128" s="818" t="str">
        <f>A13</f>
        <v>As Applied to the Twelve Months Ended March 31, 2012</v>
      </c>
      <c r="B128" s="818"/>
      <c r="C128" s="818"/>
      <c r="D128" s="818"/>
      <c r="E128" s="818"/>
      <c r="F128" s="818"/>
      <c r="G128" s="818"/>
      <c r="H128" s="818"/>
      <c r="I128" s="575"/>
    </row>
    <row r="129" spans="1:9" x14ac:dyDescent="0.25">
      <c r="A129" s="818" t="str">
        <f>A15</f>
        <v>Revised per PSC 2-52</v>
      </c>
      <c r="B129" s="818"/>
      <c r="C129" s="818"/>
      <c r="D129" s="818"/>
      <c r="E129" s="818"/>
      <c r="F129" s="818"/>
      <c r="G129" s="818"/>
      <c r="H129" s="818"/>
      <c r="I129" s="575"/>
    </row>
    <row r="131" spans="1:9" s="732" customFormat="1" x14ac:dyDescent="0.25">
      <c r="B131" s="731">
        <v>1</v>
      </c>
      <c r="C131" s="744" t="s">
        <v>740</v>
      </c>
      <c r="D131" s="736"/>
      <c r="E131" s="736"/>
      <c r="H131" s="739">
        <f>+H56</f>
        <v>141696357</v>
      </c>
      <c r="I131" s="785"/>
    </row>
    <row r="132" spans="1:9" s="732" customFormat="1" ht="18" x14ac:dyDescent="0.4">
      <c r="B132" s="731">
        <f>B131+1</f>
        <v>2</v>
      </c>
      <c r="C132" s="744" t="s">
        <v>741</v>
      </c>
      <c r="D132" s="736"/>
      <c r="E132" s="736"/>
      <c r="H132" s="786">
        <v>11333264</v>
      </c>
      <c r="I132" s="785"/>
    </row>
    <row r="133" spans="1:9" s="732" customFormat="1" ht="18" x14ac:dyDescent="0.4">
      <c r="B133" s="731"/>
      <c r="C133" s="744"/>
      <c r="D133" s="736"/>
      <c r="E133" s="736"/>
      <c r="H133" s="786"/>
      <c r="I133" s="785"/>
    </row>
    <row r="134" spans="1:9" s="732" customFormat="1" ht="18" x14ac:dyDescent="0.4">
      <c r="B134" s="731">
        <f>B132+1</f>
        <v>3</v>
      </c>
      <c r="C134" s="744" t="s">
        <v>742</v>
      </c>
      <c r="D134" s="736"/>
      <c r="E134" s="736"/>
      <c r="H134" s="786">
        <f>SUM(H131:H133)</f>
        <v>153029621</v>
      </c>
      <c r="I134" s="785"/>
    </row>
    <row r="135" spans="1:9" s="732" customFormat="1" x14ac:dyDescent="0.25">
      <c r="I135" s="734"/>
    </row>
    <row r="136" spans="1:9" s="732" customFormat="1" x14ac:dyDescent="0.25">
      <c r="A136" s="823"/>
      <c r="B136" s="731">
        <f>B134+1</f>
        <v>4</v>
      </c>
      <c r="C136" s="732" t="s">
        <v>618</v>
      </c>
      <c r="D136" s="736"/>
      <c r="E136" s="736"/>
      <c r="H136" s="787">
        <v>5850075</v>
      </c>
      <c r="I136" s="785"/>
    </row>
    <row r="137" spans="1:9" s="732" customFormat="1" x14ac:dyDescent="0.25">
      <c r="A137" s="823"/>
      <c r="B137" s="744"/>
      <c r="I137" s="734"/>
    </row>
    <row r="138" spans="1:9" s="732" customFormat="1" x14ac:dyDescent="0.25">
      <c r="B138" s="731">
        <f>B136+1</f>
        <v>5</v>
      </c>
      <c r="C138" s="732" t="s">
        <v>743</v>
      </c>
      <c r="H138" s="748">
        <f>ROUND(+H136/H134,5)</f>
        <v>3.823E-2</v>
      </c>
      <c r="I138" s="788"/>
    </row>
    <row r="139" spans="1:9" s="732" customFormat="1" x14ac:dyDescent="0.25">
      <c r="I139" s="734"/>
    </row>
    <row r="140" spans="1:9" s="732" customFormat="1" x14ac:dyDescent="0.25">
      <c r="B140" s="731">
        <f>B138+1</f>
        <v>6</v>
      </c>
      <c r="C140" s="744" t="s">
        <v>739</v>
      </c>
      <c r="D140" s="736"/>
      <c r="H140" s="787">
        <f>+H85</f>
        <v>2560142</v>
      </c>
      <c r="I140" s="785"/>
    </row>
    <row r="141" spans="1:9" s="732" customFormat="1" x14ac:dyDescent="0.25">
      <c r="I141" s="734"/>
    </row>
    <row r="142" spans="1:9" s="732" customFormat="1" ht="16.5" thickBot="1" x14ac:dyDescent="0.3">
      <c r="B142" s="731">
        <f>B140+1</f>
        <v>7</v>
      </c>
      <c r="C142" s="732" t="s">
        <v>744</v>
      </c>
      <c r="H142" s="782">
        <f>ROUND(+H138*H140,0)</f>
        <v>97874</v>
      </c>
      <c r="I142" s="746"/>
    </row>
    <row r="143" spans="1:9" ht="16.5" thickTop="1" x14ac:dyDescent="0.25">
      <c r="C143" s="452"/>
    </row>
    <row r="146" spans="1:3" x14ac:dyDescent="0.25">
      <c r="A146" s="452"/>
    </row>
    <row r="147" spans="1:3" x14ac:dyDescent="0.25">
      <c r="C147" s="599"/>
    </row>
  </sheetData>
  <mergeCells count="17">
    <mergeCell ref="A136:A137"/>
    <mergeCell ref="A15:H15"/>
    <mergeCell ref="A49:H49"/>
    <mergeCell ref="A99:H99"/>
    <mergeCell ref="A129:H129"/>
    <mergeCell ref="A94:H94"/>
    <mergeCell ref="A97:H97"/>
    <mergeCell ref="A98:H98"/>
    <mergeCell ref="A124:H124"/>
    <mergeCell ref="A127:H127"/>
    <mergeCell ref="A128:H128"/>
    <mergeCell ref="A48:H48"/>
    <mergeCell ref="A9:H9"/>
    <mergeCell ref="A12:H12"/>
    <mergeCell ref="A13:H13"/>
    <mergeCell ref="A44:H44"/>
    <mergeCell ref="A47:H47"/>
  </mergeCells>
  <pageMargins left="0.7" right="0.7" top="0.75" bottom="0.75" header="0.3" footer="0.3"/>
  <pageSetup scale="57" fitToHeight="0" orientation="portrait" r:id="rId1"/>
  <rowBreaks count="3" manualBreakCount="3">
    <brk id="37" max="16383" man="1"/>
    <brk id="87" max="16383" man="1"/>
    <brk id="11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pageSetUpPr fitToPage="1"/>
  </sheetPr>
  <dimension ref="A1:K26"/>
  <sheetViews>
    <sheetView showGridLines="0" zoomScaleNormal="100" zoomScaleSheetLayoutView="70" workbookViewId="0">
      <selection activeCell="I22" sqref="I22"/>
    </sheetView>
  </sheetViews>
  <sheetFormatPr defaultColWidth="8.5" defaultRowHeight="15.75" x14ac:dyDescent="0.25"/>
  <cols>
    <col min="1" max="1" width="65.625" style="403" customWidth="1"/>
    <col min="2" max="2" width="4.5" style="403" customWidth="1"/>
    <col min="3" max="3" width="14.75" style="403" customWidth="1"/>
    <col min="4" max="4" width="4.25" style="403" customWidth="1"/>
    <col min="5" max="5" width="14.75" style="403" customWidth="1"/>
    <col min="6" max="6" width="4.25" style="403" customWidth="1"/>
    <col min="7" max="7" width="16" style="403" customWidth="1"/>
    <col min="8" max="8" width="3.625" style="403" customWidth="1"/>
    <col min="9" max="9" width="13.375" style="403" customWidth="1"/>
    <col min="10" max="16384" width="8.5" style="403"/>
  </cols>
  <sheetData>
    <row r="1" spans="1:9" x14ac:dyDescent="0.25">
      <c r="I1" s="528" t="str">
        <f>'Ex 1'!$K$1</f>
        <v>Revised Exhibit 1</v>
      </c>
    </row>
    <row r="2" spans="1:9" x14ac:dyDescent="0.25">
      <c r="I2" s="30" t="str">
        <f>"Reference Schedule "&amp;Inputs!$A30&amp;""</f>
        <v>Reference Schedule 1.14</v>
      </c>
    </row>
    <row r="3" spans="1:9" x14ac:dyDescent="0.25">
      <c r="I3" s="529" t="str">
        <f>"Sponsoring Witness: "&amp;Inputs!$B30&amp;""</f>
        <v>Sponsoring Witness: Arbough</v>
      </c>
    </row>
    <row r="4" spans="1:9" x14ac:dyDescent="0.25">
      <c r="I4" s="404"/>
    </row>
    <row r="5" spans="1:9" x14ac:dyDescent="0.25">
      <c r="I5" s="404"/>
    </row>
    <row r="6" spans="1:9" x14ac:dyDescent="0.25">
      <c r="A6" s="405" t="s">
        <v>230</v>
      </c>
      <c r="B6" s="406"/>
      <c r="C6" s="406"/>
      <c r="D6" s="406"/>
      <c r="E6" s="406"/>
      <c r="F6" s="406"/>
      <c r="G6" s="406"/>
      <c r="H6" s="406"/>
      <c r="I6" s="406"/>
    </row>
    <row r="7" spans="1:9" x14ac:dyDescent="0.25">
      <c r="A7" s="405"/>
      <c r="B7" s="405"/>
      <c r="C7" s="405"/>
      <c r="D7" s="405"/>
      <c r="E7" s="405"/>
      <c r="F7" s="405"/>
      <c r="G7" s="405"/>
      <c r="H7" s="405"/>
      <c r="I7" s="405"/>
    </row>
    <row r="8" spans="1:9" x14ac:dyDescent="0.25">
      <c r="A8" s="407"/>
      <c r="B8" s="405"/>
      <c r="C8" s="405"/>
      <c r="D8" s="405"/>
      <c r="E8" s="405"/>
      <c r="F8" s="405"/>
      <c r="G8" s="405"/>
      <c r="H8" s="405"/>
      <c r="I8" s="405"/>
    </row>
    <row r="9" spans="1:9" x14ac:dyDescent="0.25">
      <c r="A9" s="407" t="s">
        <v>701</v>
      </c>
      <c r="B9" s="405"/>
      <c r="C9" s="405"/>
      <c r="D9" s="405"/>
      <c r="E9" s="405"/>
      <c r="F9" s="405"/>
      <c r="G9" s="405"/>
      <c r="H9" s="405"/>
      <c r="I9" s="405"/>
    </row>
    <row r="10" spans="1:9" x14ac:dyDescent="0.25">
      <c r="A10" s="405" t="str">
        <f>"For the Twelve Months Ended "&amp;Inputs!B3&amp;""</f>
        <v>For the Twelve Months Ended March 31, 2012</v>
      </c>
      <c r="B10" s="405"/>
      <c r="C10" s="405"/>
      <c r="D10" s="405"/>
      <c r="E10" s="405"/>
      <c r="F10" s="405"/>
      <c r="G10" s="405"/>
      <c r="H10" s="405"/>
      <c r="I10" s="405"/>
    </row>
    <row r="11" spans="1:9" x14ac:dyDescent="0.25">
      <c r="A11" s="405"/>
      <c r="B11" s="405"/>
      <c r="C11" s="405"/>
      <c r="D11" s="405"/>
      <c r="E11" s="405"/>
      <c r="F11" s="405"/>
      <c r="G11" s="405"/>
      <c r="H11" s="405"/>
      <c r="I11" s="405"/>
    </row>
    <row r="12" spans="1:9" x14ac:dyDescent="0.25">
      <c r="B12" s="408"/>
      <c r="C12" s="408"/>
      <c r="I12" s="408"/>
    </row>
    <row r="13" spans="1:9" x14ac:dyDescent="0.25">
      <c r="A13" s="467"/>
      <c r="C13" s="271" t="s">
        <v>72</v>
      </c>
      <c r="E13" s="271" t="s">
        <v>73</v>
      </c>
      <c r="G13" s="271" t="s">
        <v>372</v>
      </c>
      <c r="I13" s="271" t="s">
        <v>151</v>
      </c>
    </row>
    <row r="14" spans="1:9" x14ac:dyDescent="0.25">
      <c r="A14" s="467"/>
      <c r="C14" s="392"/>
      <c r="E14" s="392"/>
      <c r="G14" s="392"/>
      <c r="I14" s="392"/>
    </row>
    <row r="15" spans="1:9" x14ac:dyDescent="0.25">
      <c r="A15" s="467" t="s">
        <v>373</v>
      </c>
      <c r="B15" s="409"/>
      <c r="C15" s="606">
        <v>17858278</v>
      </c>
      <c r="D15" s="607"/>
      <c r="E15" s="606">
        <v>4485762</v>
      </c>
      <c r="F15" s="607"/>
      <c r="G15" s="46">
        <v>966658</v>
      </c>
      <c r="H15" s="49"/>
      <c r="I15" s="40">
        <f>SUM(C15:G15)</f>
        <v>23310698</v>
      </c>
    </row>
    <row r="16" spans="1:9" x14ac:dyDescent="0.25">
      <c r="A16" s="468"/>
      <c r="B16" s="409"/>
      <c r="C16" s="608"/>
      <c r="D16" s="608"/>
      <c r="E16" s="608"/>
      <c r="F16" s="608"/>
      <c r="G16" s="608"/>
      <c r="H16" s="36"/>
      <c r="I16" s="52"/>
    </row>
    <row r="17" spans="1:11" x14ac:dyDescent="0.25">
      <c r="A17" s="469" t="s">
        <v>370</v>
      </c>
      <c r="B17" s="409"/>
      <c r="C17" s="608"/>
      <c r="D17" s="608"/>
      <c r="E17" s="608"/>
      <c r="F17" s="608"/>
      <c r="G17" s="608"/>
      <c r="H17" s="36"/>
      <c r="I17" s="52"/>
    </row>
    <row r="18" spans="1:11" x14ac:dyDescent="0.25">
      <c r="A18" s="413" t="s">
        <v>456</v>
      </c>
      <c r="B18" s="414"/>
      <c r="C18" s="609">
        <v>14294397</v>
      </c>
      <c r="D18" s="607"/>
      <c r="E18" s="609">
        <v>4147547</v>
      </c>
      <c r="F18" s="607"/>
      <c r="G18" s="32">
        <v>294927</v>
      </c>
      <c r="H18" s="410"/>
      <c r="I18" s="415">
        <f>SUM(C18:G18)</f>
        <v>18736871</v>
      </c>
    </row>
    <row r="19" spans="1:11" x14ac:dyDescent="0.25">
      <c r="A19" s="416"/>
      <c r="B19" s="414"/>
      <c r="H19" s="410"/>
      <c r="I19" s="417"/>
    </row>
    <row r="20" spans="1:11" ht="16.5" thickBot="1" x14ac:dyDescent="0.3">
      <c r="A20" s="418" t="s">
        <v>191</v>
      </c>
      <c r="B20" s="414"/>
      <c r="C20" s="395">
        <f>C18-C15</f>
        <v>-3563881</v>
      </c>
      <c r="D20" s="412"/>
      <c r="E20" s="395">
        <f>E18-E15</f>
        <v>-338215</v>
      </c>
      <c r="F20" s="412"/>
      <c r="G20" s="395">
        <f>G18-G15</f>
        <v>-671731</v>
      </c>
      <c r="H20" s="410"/>
      <c r="I20" s="395">
        <f>SUM(C20:G20)</f>
        <v>-4573827</v>
      </c>
    </row>
    <row r="21" spans="1:11" ht="16.5" thickTop="1" x14ac:dyDescent="0.25">
      <c r="A21" s="418"/>
      <c r="B21" s="414"/>
      <c r="C21" s="457"/>
      <c r="D21" s="418"/>
      <c r="E21" s="418"/>
      <c r="F21" s="418"/>
      <c r="G21" s="418"/>
      <c r="H21" s="418"/>
      <c r="I21" s="419"/>
    </row>
    <row r="22" spans="1:11" x14ac:dyDescent="0.25">
      <c r="A22" s="413" t="s">
        <v>394</v>
      </c>
      <c r="H22" s="410"/>
      <c r="I22" s="120">
        <f>Allocators!C29</f>
        <v>0.88937999999999995</v>
      </c>
    </row>
    <row r="23" spans="1:11" x14ac:dyDescent="0.25">
      <c r="A23" s="412"/>
      <c r="I23" s="411"/>
    </row>
    <row r="24" spans="1:11" ht="16.5" thickBot="1" x14ac:dyDescent="0.3">
      <c r="A24" s="412" t="s">
        <v>371</v>
      </c>
      <c r="D24" s="410"/>
      <c r="E24" s="410"/>
      <c r="F24" s="410"/>
      <c r="G24" s="410"/>
      <c r="I24" s="55">
        <f>ROUND(I20*I22,0)</f>
        <v>-4067870</v>
      </c>
      <c r="K24" s="49"/>
    </row>
    <row r="25" spans="1:11" ht="16.5" thickTop="1" x14ac:dyDescent="0.25"/>
    <row r="26" spans="1:11" x14ac:dyDescent="0.25">
      <c r="A26" s="499"/>
    </row>
  </sheetData>
  <phoneticPr fontId="17" type="noConversion"/>
  <printOptions horizontalCentered="1"/>
  <pageMargins left="0.75" right="0.75" top="1.25" bottom="1" header="0.5" footer="0.25"/>
  <pageSetup scale="8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3">
    <pageSetUpPr fitToPage="1"/>
  </sheetPr>
  <dimension ref="A3:I68"/>
  <sheetViews>
    <sheetView showGridLines="0" topLeftCell="A19" zoomScaleNormal="100" zoomScaleSheetLayoutView="70" workbookViewId="0">
      <selection activeCell="B33" sqref="B33"/>
    </sheetView>
  </sheetViews>
  <sheetFormatPr defaultColWidth="9.625" defaultRowHeight="15.75" x14ac:dyDescent="0.25"/>
  <cols>
    <col min="1" max="1" width="15.625" style="440" customWidth="1"/>
    <col min="2" max="2" width="14" style="440" customWidth="1"/>
    <col min="3" max="3" width="3.25" style="440" customWidth="1"/>
    <col min="4" max="5" width="15.625" style="440" customWidth="1"/>
    <col min="6" max="6" width="14.625" style="440" customWidth="1"/>
    <col min="7" max="7" width="15.625" style="440" customWidth="1"/>
    <col min="8" max="8" width="9.625" style="440"/>
    <col min="9" max="9" width="11.75" style="440" customWidth="1"/>
    <col min="10" max="16384" width="9.625" style="440"/>
  </cols>
  <sheetData>
    <row r="3" spans="1:7" x14ac:dyDescent="0.25">
      <c r="F3" s="528" t="str">
        <f>'Ex 1'!$K$1</f>
        <v>Revised Exhibit 1</v>
      </c>
    </row>
    <row r="4" spans="1:7" x14ac:dyDescent="0.25">
      <c r="F4" s="30" t="str">
        <f>"Reference Schedule "&amp;Inputs!$A31&amp;""</f>
        <v>Reference Schedule 1.15</v>
      </c>
    </row>
    <row r="5" spans="1:7" x14ac:dyDescent="0.25">
      <c r="F5" s="529" t="str">
        <f>"Sponsoring Witness: "&amp;Inputs!$B31&amp;""</f>
        <v>Sponsoring Witness: Scott</v>
      </c>
    </row>
    <row r="6" spans="1:7" x14ac:dyDescent="0.25">
      <c r="G6" s="441"/>
    </row>
    <row r="8" spans="1:7" x14ac:dyDescent="0.25">
      <c r="A8" s="442" t="s">
        <v>230</v>
      </c>
      <c r="B8" s="443"/>
      <c r="C8" s="443"/>
      <c r="D8" s="443"/>
      <c r="E8" s="443"/>
      <c r="F8" s="443"/>
    </row>
    <row r="9" spans="1:7" x14ac:dyDescent="0.25">
      <c r="A9" s="443"/>
      <c r="B9" s="443"/>
      <c r="C9" s="443"/>
      <c r="D9" s="443"/>
      <c r="E9" s="443"/>
      <c r="F9" s="443"/>
    </row>
    <row r="10" spans="1:7" x14ac:dyDescent="0.25">
      <c r="A10" s="443"/>
      <c r="B10" s="443"/>
      <c r="C10" s="443"/>
      <c r="D10" s="443"/>
      <c r="E10" s="443"/>
      <c r="F10" s="443"/>
    </row>
    <row r="11" spans="1:7" x14ac:dyDescent="0.25">
      <c r="A11" s="443" t="s">
        <v>222</v>
      </c>
      <c r="B11" s="443"/>
      <c r="C11" s="443"/>
      <c r="D11" s="443"/>
      <c r="E11" s="443"/>
      <c r="F11" s="443"/>
    </row>
    <row r="12" spans="1:7" x14ac:dyDescent="0.25">
      <c r="A12" s="444" t="str">
        <f>"For the Twelve Months Ended "&amp;Inputs!B3&amp;""</f>
        <v>For the Twelve Months Ended March 31, 2012</v>
      </c>
      <c r="B12" s="443"/>
      <c r="C12" s="443"/>
      <c r="D12" s="443"/>
      <c r="E12" s="443"/>
      <c r="F12" s="443"/>
    </row>
    <row r="14" spans="1:7" ht="18" x14ac:dyDescent="0.4">
      <c r="F14" s="53"/>
    </row>
    <row r="16" spans="1:7" x14ac:dyDescent="0.25">
      <c r="A16" s="445" t="s">
        <v>223</v>
      </c>
    </row>
    <row r="17" spans="1:9" x14ac:dyDescent="0.25">
      <c r="A17" s="447" t="s">
        <v>360</v>
      </c>
      <c r="F17" s="46">
        <f>+E41</f>
        <v>4107435</v>
      </c>
    </row>
    <row r="19" spans="1:9" x14ac:dyDescent="0.25">
      <c r="A19" s="445" t="s">
        <v>224</v>
      </c>
    </row>
    <row r="20" spans="1:9" x14ac:dyDescent="0.25">
      <c r="A20" s="632" t="str">
        <f>"     the 12 months ended "&amp;Inputs!B3&amp;""</f>
        <v xml:space="preserve">     the 12 months ended March 31, 2012</v>
      </c>
      <c r="F20" s="525">
        <f>E30</f>
        <v>4994206</v>
      </c>
    </row>
    <row r="21" spans="1:9" x14ac:dyDescent="0.25">
      <c r="F21" s="446"/>
    </row>
    <row r="22" spans="1:9" x14ac:dyDescent="0.25">
      <c r="A22" s="447" t="s">
        <v>0</v>
      </c>
      <c r="F22" s="38">
        <f>ROUND((+F17-F20),0)</f>
        <v>-886771</v>
      </c>
    </row>
    <row r="23" spans="1:9" x14ac:dyDescent="0.25">
      <c r="F23" s="524"/>
    </row>
    <row r="24" spans="1:9" x14ac:dyDescent="0.25">
      <c r="A24" s="445" t="s">
        <v>411</v>
      </c>
      <c r="F24" s="120">
        <f>Allocators!C31</f>
        <v>0.94084999999999996</v>
      </c>
    </row>
    <row r="25" spans="1:9" x14ac:dyDescent="0.25">
      <c r="A25" s="445"/>
      <c r="F25" s="446"/>
    </row>
    <row r="26" spans="1:9" ht="16.5" thickBot="1" x14ac:dyDescent="0.3">
      <c r="A26" s="445" t="s">
        <v>302</v>
      </c>
      <c r="B26" s="448"/>
      <c r="C26" s="448"/>
      <c r="D26" s="448"/>
      <c r="E26" s="448"/>
      <c r="F26" s="55">
        <f>ROUND(+F22*F24,0)</f>
        <v>-834318</v>
      </c>
      <c r="G26" s="448"/>
    </row>
    <row r="27" spans="1:9" ht="16.5" thickTop="1" x14ac:dyDescent="0.25">
      <c r="A27" s="448"/>
      <c r="B27" s="448"/>
      <c r="C27" s="448"/>
      <c r="D27" s="448"/>
      <c r="E27" s="448"/>
      <c r="F27" s="448"/>
      <c r="G27" s="448"/>
    </row>
    <row r="28" spans="1:9" x14ac:dyDescent="0.25">
      <c r="A28" s="448"/>
      <c r="B28" s="448"/>
      <c r="C28" s="448"/>
      <c r="D28" s="458" t="s">
        <v>313</v>
      </c>
      <c r="E28" s="448"/>
      <c r="F28" s="448"/>
      <c r="G28" s="448"/>
    </row>
    <row r="29" spans="1:9" x14ac:dyDescent="0.25">
      <c r="A29" s="523" t="s">
        <v>225</v>
      </c>
      <c r="B29" s="622" t="s">
        <v>506</v>
      </c>
      <c r="C29" s="522"/>
      <c r="D29" s="523" t="s">
        <v>296</v>
      </c>
      <c r="E29" s="523" t="s">
        <v>181</v>
      </c>
      <c r="F29" s="448"/>
      <c r="G29" s="448"/>
    </row>
    <row r="30" spans="1:9" ht="18" customHeight="1" x14ac:dyDescent="0.25">
      <c r="A30" s="521">
        <v>2012</v>
      </c>
      <c r="B30" s="119">
        <v>4994206.32</v>
      </c>
      <c r="C30" s="446"/>
      <c r="D30" s="520">
        <f>ROUND(D67/D67,4)</f>
        <v>1</v>
      </c>
      <c r="E30" s="119">
        <f>ROUND(+B30*D30,0)</f>
        <v>4994206</v>
      </c>
      <c r="F30" s="448"/>
      <c r="G30" s="519"/>
      <c r="I30" s="40"/>
    </row>
    <row r="31" spans="1:9" ht="18" customHeight="1" x14ac:dyDescent="0.25">
      <c r="A31" s="521">
        <v>2011</v>
      </c>
      <c r="B31" s="446">
        <v>3998403.3</v>
      </c>
      <c r="C31" s="446"/>
      <c r="D31" s="520">
        <f>ROUND(D67/224.939,4)</f>
        <v>1.0068999999999999</v>
      </c>
      <c r="E31" s="446">
        <f>ROUND(+B31*D31,0)</f>
        <v>4025992</v>
      </c>
      <c r="F31" s="448"/>
      <c r="G31" s="519"/>
      <c r="I31" s="40"/>
    </row>
    <row r="32" spans="1:9" ht="18" customHeight="1" x14ac:dyDescent="0.25">
      <c r="A32" s="521">
        <v>2010</v>
      </c>
      <c r="B32" s="446">
        <v>2626597</v>
      </c>
      <c r="C32" s="446"/>
      <c r="D32" s="520">
        <f>ROUND(D67/218.056,4)</f>
        <v>1.0387</v>
      </c>
      <c r="E32" s="446">
        <f>ROUND(+B32*D32,0)</f>
        <v>2728246</v>
      </c>
      <c r="F32" s="448"/>
      <c r="G32" s="519"/>
      <c r="I32" s="40"/>
    </row>
    <row r="33" spans="1:9" ht="18" customHeight="1" x14ac:dyDescent="0.25">
      <c r="A33" s="521">
        <v>2009</v>
      </c>
      <c r="B33" s="446">
        <v>5225248</v>
      </c>
      <c r="C33" s="623" t="s">
        <v>337</v>
      </c>
      <c r="D33" s="520">
        <f>ROUND(D67/214.537,4)</f>
        <v>1.0558000000000001</v>
      </c>
      <c r="E33" s="446">
        <f>ROUND(+B33*D33,0)</f>
        <v>5516817</v>
      </c>
      <c r="F33" s="448"/>
      <c r="G33" s="519"/>
      <c r="I33" s="40"/>
    </row>
    <row r="34" spans="1:9" ht="15.75" customHeight="1" x14ac:dyDescent="0.25">
      <c r="A34" s="521">
        <v>2008</v>
      </c>
      <c r="B34" s="446">
        <v>6951799</v>
      </c>
      <c r="C34" s="623" t="s">
        <v>337</v>
      </c>
      <c r="D34" s="520">
        <f>ROUND(D67/215.303,4)</f>
        <v>1.052</v>
      </c>
      <c r="E34" s="446">
        <f t="shared" ref="E34:E39" si="0">ROUND(+B34*D34,0)</f>
        <v>7313293</v>
      </c>
      <c r="F34" s="448"/>
      <c r="G34" s="519"/>
    </row>
    <row r="35" spans="1:9" ht="15.75" customHeight="1" x14ac:dyDescent="0.25">
      <c r="A35" s="521">
        <v>2007</v>
      </c>
      <c r="B35" s="446">
        <v>2035291</v>
      </c>
      <c r="C35" s="446"/>
      <c r="D35" s="520">
        <f>ROUND(D67/207.342,4)</f>
        <v>1.0924</v>
      </c>
      <c r="E35" s="446">
        <f>ROUND(+B35*D35,0)</f>
        <v>2223352</v>
      </c>
      <c r="F35" s="448"/>
      <c r="G35" s="519"/>
    </row>
    <row r="36" spans="1:9" ht="15.75" customHeight="1" x14ac:dyDescent="0.25">
      <c r="A36" s="521">
        <v>2006</v>
      </c>
      <c r="B36" s="446">
        <v>4113534</v>
      </c>
      <c r="C36" s="446"/>
      <c r="D36" s="520">
        <f>ROUND(D67/201.6,4)</f>
        <v>1.1234999999999999</v>
      </c>
      <c r="E36" s="446">
        <f t="shared" si="0"/>
        <v>4621555</v>
      </c>
      <c r="F36" s="448"/>
      <c r="G36" s="519"/>
    </row>
    <row r="37" spans="1:9" ht="15.75" customHeight="1" x14ac:dyDescent="0.25">
      <c r="A37" s="521">
        <v>2005</v>
      </c>
      <c r="B37" s="446">
        <v>2539379</v>
      </c>
      <c r="C37" s="446"/>
      <c r="D37" s="520">
        <f>ROUND(D67/195.3,4)</f>
        <v>1.1597999999999999</v>
      </c>
      <c r="E37" s="446">
        <f t="shared" si="0"/>
        <v>2945172</v>
      </c>
      <c r="F37" s="448"/>
      <c r="G37" s="519"/>
    </row>
    <row r="38" spans="1:9" x14ac:dyDescent="0.25">
      <c r="A38" s="521">
        <v>2004</v>
      </c>
      <c r="B38" s="446">
        <v>4120482</v>
      </c>
      <c r="C38" s="446"/>
      <c r="D38" s="520">
        <f>ROUND(D67/188.9,4)</f>
        <v>1.1990000000000001</v>
      </c>
      <c r="E38" s="446">
        <f t="shared" si="0"/>
        <v>4940458</v>
      </c>
      <c r="F38" s="448"/>
      <c r="G38" s="519"/>
    </row>
    <row r="39" spans="1:9" x14ac:dyDescent="0.25">
      <c r="A39" s="521">
        <v>2003</v>
      </c>
      <c r="B39" s="446">
        <f>8034000-6600000</f>
        <v>1434000</v>
      </c>
      <c r="C39" s="446"/>
      <c r="D39" s="520">
        <f>ROUND(D67/184,4)</f>
        <v>1.2310000000000001</v>
      </c>
      <c r="E39" s="446">
        <f t="shared" si="0"/>
        <v>1765254</v>
      </c>
      <c r="F39" s="448"/>
      <c r="G39" s="519"/>
    </row>
    <row r="40" spans="1:9" ht="21.75" customHeight="1" thickBot="1" x14ac:dyDescent="0.3">
      <c r="A40" s="458" t="s">
        <v>151</v>
      </c>
      <c r="B40" s="446"/>
      <c r="C40" s="446"/>
      <c r="D40" s="520"/>
      <c r="E40" s="125">
        <f>SUM(E30:E39)</f>
        <v>41074345</v>
      </c>
      <c r="F40" s="518"/>
      <c r="G40" s="448"/>
    </row>
    <row r="41" spans="1:9" ht="24" customHeight="1" thickTop="1" thickBot="1" x14ac:dyDescent="0.3">
      <c r="A41" s="447" t="s">
        <v>71</v>
      </c>
      <c r="B41" s="446"/>
      <c r="C41" s="446"/>
      <c r="D41" s="520"/>
      <c r="E41" s="92">
        <f>ROUND(AVERAGE(E30:E39),0)</f>
        <v>4107435</v>
      </c>
      <c r="F41" s="38"/>
      <c r="G41" s="448"/>
    </row>
    <row r="42" spans="1:9" ht="16.5" thickTop="1" x14ac:dyDescent="0.25">
      <c r="A42" s="448"/>
      <c r="B42" s="517"/>
      <c r="C42" s="517"/>
      <c r="D42" s="520"/>
      <c r="E42" s="518"/>
      <c r="F42" s="518"/>
      <c r="G42" s="448"/>
    </row>
    <row r="43" spans="1:9" x14ac:dyDescent="0.25">
      <c r="A43" s="447" t="s">
        <v>504</v>
      </c>
      <c r="D43" s="516"/>
      <c r="E43" s="518"/>
      <c r="F43" s="518"/>
      <c r="G43" s="448"/>
    </row>
    <row r="44" spans="1:9" x14ac:dyDescent="0.25">
      <c r="A44" s="447" t="s">
        <v>390</v>
      </c>
      <c r="D44" s="448"/>
      <c r="E44" s="448"/>
      <c r="F44" s="518"/>
      <c r="G44" s="448"/>
    </row>
    <row r="45" spans="1:9" x14ac:dyDescent="0.25">
      <c r="A45" s="515"/>
      <c r="D45" s="448"/>
      <c r="E45" s="448"/>
      <c r="F45" s="502"/>
      <c r="G45" s="448"/>
    </row>
    <row r="46" spans="1:9" x14ac:dyDescent="0.25">
      <c r="A46" s="447" t="s">
        <v>505</v>
      </c>
      <c r="D46" s="448"/>
      <c r="E46" s="448"/>
      <c r="F46" s="502"/>
      <c r="G46" s="448"/>
    </row>
    <row r="47" spans="1:9" x14ac:dyDescent="0.25">
      <c r="A47" s="507" t="s">
        <v>398</v>
      </c>
      <c r="D47" s="448"/>
      <c r="E47" s="448"/>
      <c r="F47" s="502"/>
      <c r="G47" s="448"/>
    </row>
    <row r="49" spans="2:4" x14ac:dyDescent="0.25">
      <c r="B49" s="503"/>
    </row>
    <row r="50" spans="2:4" x14ac:dyDescent="0.25">
      <c r="B50" s="503"/>
      <c r="D50" s="504"/>
    </row>
    <row r="51" spans="2:4" x14ac:dyDescent="0.25">
      <c r="B51" s="503"/>
      <c r="D51" s="504"/>
    </row>
    <row r="52" spans="2:4" x14ac:dyDescent="0.25">
      <c r="B52" s="503"/>
      <c r="D52" s="504"/>
    </row>
    <row r="53" spans="2:4" x14ac:dyDescent="0.25">
      <c r="B53" s="503"/>
      <c r="D53" s="504"/>
    </row>
    <row r="54" spans="2:4" x14ac:dyDescent="0.25">
      <c r="B54" s="503"/>
      <c r="D54" s="504" t="s">
        <v>103</v>
      </c>
    </row>
    <row r="55" spans="2:4" x14ac:dyDescent="0.25">
      <c r="B55" s="505" t="s">
        <v>346</v>
      </c>
      <c r="C55" s="505"/>
      <c r="D55" s="506">
        <v>224.90600000000001</v>
      </c>
    </row>
    <row r="56" spans="2:4" x14ac:dyDescent="0.25">
      <c r="B56" s="505" t="s">
        <v>342</v>
      </c>
      <c r="C56" s="505"/>
      <c r="D56" s="506">
        <v>225.964</v>
      </c>
    </row>
    <row r="57" spans="2:4" x14ac:dyDescent="0.25">
      <c r="B57" s="505" t="s">
        <v>347</v>
      </c>
      <c r="C57" s="505"/>
      <c r="D57" s="506">
        <v>225.72200000000001</v>
      </c>
    </row>
    <row r="58" spans="2:4" x14ac:dyDescent="0.25">
      <c r="B58" s="505" t="s">
        <v>420</v>
      </c>
      <c r="C58" s="505"/>
      <c r="D58" s="506">
        <v>225.922</v>
      </c>
    </row>
    <row r="59" spans="2:4" x14ac:dyDescent="0.25">
      <c r="B59" s="505" t="s">
        <v>348</v>
      </c>
      <c r="C59" s="505"/>
      <c r="D59" s="506">
        <v>226.54499999999999</v>
      </c>
    </row>
    <row r="60" spans="2:4" x14ac:dyDescent="0.25">
      <c r="B60" s="505" t="s">
        <v>349</v>
      </c>
      <c r="C60" s="505"/>
      <c r="D60" s="506">
        <v>226.88900000000001</v>
      </c>
    </row>
    <row r="61" spans="2:4" x14ac:dyDescent="0.25">
      <c r="B61" s="505" t="s">
        <v>451</v>
      </c>
      <c r="C61" s="505"/>
      <c r="D61" s="506">
        <v>226.42099999999999</v>
      </c>
    </row>
    <row r="62" spans="2:4" x14ac:dyDescent="0.25">
      <c r="B62" s="505" t="s">
        <v>350</v>
      </c>
      <c r="C62" s="505"/>
      <c r="D62" s="506">
        <v>226.23</v>
      </c>
    </row>
    <row r="63" spans="2:4" x14ac:dyDescent="0.25">
      <c r="B63" s="505" t="s">
        <v>418</v>
      </c>
      <c r="C63" s="505"/>
      <c r="D63" s="506">
        <v>225.672</v>
      </c>
    </row>
    <row r="64" spans="2:4" x14ac:dyDescent="0.25">
      <c r="B64" s="505" t="s">
        <v>503</v>
      </c>
      <c r="D64" s="506">
        <v>226.66499999999999</v>
      </c>
    </row>
    <row r="65" spans="2:4" x14ac:dyDescent="0.25">
      <c r="B65" s="505" t="s">
        <v>344</v>
      </c>
      <c r="D65" s="506">
        <v>227.66300000000001</v>
      </c>
    </row>
    <row r="66" spans="2:4" x14ac:dyDescent="0.25">
      <c r="B66" s="505" t="s">
        <v>345</v>
      </c>
      <c r="D66" s="506">
        <v>229.392</v>
      </c>
    </row>
    <row r="67" spans="2:4" x14ac:dyDescent="0.25">
      <c r="B67" s="550" t="s">
        <v>507</v>
      </c>
      <c r="C67" s="505"/>
      <c r="D67" s="506">
        <f>AVERAGE(D55:D66)</f>
        <v>226.49924999999999</v>
      </c>
    </row>
    <row r="68" spans="2:4" x14ac:dyDescent="0.25">
      <c r="B68" s="505"/>
      <c r="C68" s="505"/>
    </row>
  </sheetData>
  <printOptions horizontalCentered="1" gridLinesSet="0"/>
  <pageMargins left="0.75" right="0.5" top="1" bottom="0.75" header="0.5" footer="0.5"/>
  <pageSetup scale="82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I68"/>
  <sheetViews>
    <sheetView showGridLines="0" zoomScaleNormal="100" zoomScaleSheetLayoutView="70" workbookViewId="0">
      <selection activeCell="F36" sqref="F36"/>
    </sheetView>
  </sheetViews>
  <sheetFormatPr defaultColWidth="9.625" defaultRowHeight="15.75" x14ac:dyDescent="0.25"/>
  <cols>
    <col min="1" max="1" width="15.625" style="440" customWidth="1"/>
    <col min="2" max="2" width="14" style="440" customWidth="1"/>
    <col min="3" max="3" width="3.25" style="440" customWidth="1"/>
    <col min="4" max="5" width="15.625" style="440" customWidth="1"/>
    <col min="6" max="6" width="14.625" style="440" customWidth="1"/>
    <col min="7" max="7" width="15.625" style="440" customWidth="1"/>
    <col min="8" max="8" width="9.625" style="440"/>
    <col min="9" max="9" width="11.75" style="440" customWidth="1"/>
    <col min="10" max="16384" width="9.625" style="440"/>
  </cols>
  <sheetData>
    <row r="3" spans="1:7" x14ac:dyDescent="0.25">
      <c r="F3" s="528" t="str">
        <f>'Ex 1'!$K$1</f>
        <v>Revised Exhibit 1</v>
      </c>
    </row>
    <row r="4" spans="1:7" x14ac:dyDescent="0.25">
      <c r="F4" s="30" t="str">
        <f>"Reference Schedule "&amp;Inputs!$A31&amp;""</f>
        <v>Reference Schedule 1.15</v>
      </c>
    </row>
    <row r="5" spans="1:7" x14ac:dyDescent="0.25">
      <c r="F5" s="529" t="str">
        <f>"Sponsoring Witness: "&amp;Inputs!$B31&amp;""</f>
        <v>Sponsoring Witness: Scott</v>
      </c>
    </row>
    <row r="6" spans="1:7" x14ac:dyDescent="0.25">
      <c r="G6" s="441"/>
    </row>
    <row r="8" spans="1:7" x14ac:dyDescent="0.25">
      <c r="A8" s="442" t="s">
        <v>230</v>
      </c>
      <c r="B8" s="443"/>
      <c r="C8" s="443"/>
      <c r="D8" s="443"/>
      <c r="E8" s="443"/>
      <c r="F8" s="443"/>
    </row>
    <row r="9" spans="1:7" x14ac:dyDescent="0.25">
      <c r="A9" s="443"/>
      <c r="B9" s="443"/>
      <c r="C9" s="443"/>
      <c r="D9" s="443"/>
      <c r="E9" s="443"/>
      <c r="F9" s="443"/>
    </row>
    <row r="10" spans="1:7" x14ac:dyDescent="0.25">
      <c r="A10" s="443"/>
      <c r="B10" s="443"/>
      <c r="C10" s="443"/>
      <c r="D10" s="443"/>
      <c r="E10" s="443"/>
      <c r="F10" s="443"/>
    </row>
    <row r="11" spans="1:7" x14ac:dyDescent="0.25">
      <c r="A11" s="443" t="s">
        <v>222</v>
      </c>
      <c r="B11" s="443"/>
      <c r="C11" s="443"/>
      <c r="D11" s="443"/>
      <c r="E11" s="443"/>
      <c r="F11" s="443"/>
    </row>
    <row r="12" spans="1:7" x14ac:dyDescent="0.25">
      <c r="A12" s="444" t="str">
        <f>"For the Twelve Months Ended "&amp;Inputs!B3&amp;""</f>
        <v>For the Twelve Months Ended March 31, 2012</v>
      </c>
      <c r="B12" s="443"/>
      <c r="C12" s="443"/>
      <c r="D12" s="443"/>
      <c r="E12" s="443"/>
      <c r="F12" s="443"/>
    </row>
    <row r="14" spans="1:7" ht="18" x14ac:dyDescent="0.4">
      <c r="F14" s="53"/>
    </row>
    <row r="16" spans="1:7" x14ac:dyDescent="0.25">
      <c r="A16" s="445" t="s">
        <v>223</v>
      </c>
    </row>
    <row r="17" spans="1:9" x14ac:dyDescent="0.25">
      <c r="A17" s="447" t="s">
        <v>360</v>
      </c>
      <c r="F17" s="46">
        <f>+E41</f>
        <v>4470769</v>
      </c>
    </row>
    <row r="19" spans="1:9" x14ac:dyDescent="0.25">
      <c r="A19" s="445" t="s">
        <v>224</v>
      </c>
    </row>
    <row r="20" spans="1:9" x14ac:dyDescent="0.25">
      <c r="A20" s="632" t="str">
        <f>"     the 12 months ended "&amp;Inputs!B3&amp;""</f>
        <v xml:space="preserve">     the 12 months ended March 31, 2012</v>
      </c>
      <c r="F20" s="525">
        <f>E30</f>
        <v>4994206</v>
      </c>
    </row>
    <row r="21" spans="1:9" x14ac:dyDescent="0.25">
      <c r="F21" s="446"/>
    </row>
    <row r="22" spans="1:9" x14ac:dyDescent="0.25">
      <c r="A22" s="447" t="s">
        <v>0</v>
      </c>
      <c r="F22" s="38">
        <f>ROUND((+F17-F20),0)</f>
        <v>-523437</v>
      </c>
    </row>
    <row r="23" spans="1:9" x14ac:dyDescent="0.25">
      <c r="F23" s="524"/>
    </row>
    <row r="24" spans="1:9" x14ac:dyDescent="0.25">
      <c r="A24" s="445" t="s">
        <v>411</v>
      </c>
      <c r="F24" s="120">
        <f>Allocators!C31</f>
        <v>0.94084999999999996</v>
      </c>
    </row>
    <row r="25" spans="1:9" x14ac:dyDescent="0.25">
      <c r="A25" s="445"/>
      <c r="F25" s="446"/>
    </row>
    <row r="26" spans="1:9" ht="16.5" thickBot="1" x14ac:dyDescent="0.3">
      <c r="A26" s="445" t="s">
        <v>302</v>
      </c>
      <c r="B26" s="448"/>
      <c r="C26" s="448"/>
      <c r="D26" s="448"/>
      <c r="E26" s="448"/>
      <c r="F26" s="55">
        <f>ROUND(+F22*F24,0)</f>
        <v>-492476</v>
      </c>
      <c r="G26" s="448"/>
    </row>
    <row r="27" spans="1:9" ht="16.5" thickTop="1" x14ac:dyDescent="0.25">
      <c r="A27" s="448"/>
      <c r="B27" s="448"/>
      <c r="C27" s="448"/>
      <c r="D27" s="448"/>
      <c r="E27" s="448"/>
      <c r="F27" s="448"/>
      <c r="G27" s="448"/>
    </row>
    <row r="28" spans="1:9" x14ac:dyDescent="0.25">
      <c r="A28" s="448"/>
      <c r="B28" s="448"/>
      <c r="C28" s="448"/>
      <c r="D28" s="796" t="s">
        <v>313</v>
      </c>
      <c r="E28" s="448"/>
      <c r="F28" s="448"/>
      <c r="G28" s="448"/>
    </row>
    <row r="29" spans="1:9" x14ac:dyDescent="0.25">
      <c r="A29" s="523" t="s">
        <v>225</v>
      </c>
      <c r="B29" s="622" t="s">
        <v>506</v>
      </c>
      <c r="C29" s="522"/>
      <c r="D29" s="523" t="s">
        <v>296</v>
      </c>
      <c r="E29" s="523" t="s">
        <v>181</v>
      </c>
      <c r="F29" s="448"/>
      <c r="G29" s="448"/>
    </row>
    <row r="30" spans="1:9" ht="18" customHeight="1" x14ac:dyDescent="0.25">
      <c r="A30" s="521">
        <v>2012</v>
      </c>
      <c r="B30" s="119">
        <v>4994206.32</v>
      </c>
      <c r="C30" s="446"/>
      <c r="D30" s="520">
        <f>ROUND(D67/D67,4)</f>
        <v>1</v>
      </c>
      <c r="E30" s="119">
        <f>ROUND(+B30*D30,0)</f>
        <v>4994206</v>
      </c>
      <c r="F30" s="448"/>
      <c r="G30" s="519"/>
      <c r="I30" s="40"/>
    </row>
    <row r="31" spans="1:9" ht="18" customHeight="1" x14ac:dyDescent="0.25">
      <c r="A31" s="521">
        <v>2011</v>
      </c>
      <c r="B31" s="446">
        <v>3998403.3</v>
      </c>
      <c r="C31" s="446"/>
      <c r="D31" s="520">
        <f>ROUND(D67/224.939,4)</f>
        <v>1.0068999999999999</v>
      </c>
      <c r="E31" s="446">
        <f>ROUND(+B31*D31,0)</f>
        <v>4025992</v>
      </c>
      <c r="F31" s="448"/>
      <c r="G31" s="519"/>
      <c r="I31" s="40"/>
    </row>
    <row r="32" spans="1:9" ht="18" customHeight="1" x14ac:dyDescent="0.25">
      <c r="A32" s="521">
        <v>2010</v>
      </c>
      <c r="B32" s="446">
        <v>2626597</v>
      </c>
      <c r="C32" s="446"/>
      <c r="D32" s="520">
        <f>ROUND(D67/218.056,4)</f>
        <v>1.0387</v>
      </c>
      <c r="E32" s="446">
        <f>ROUND(+B32*D32,0)</f>
        <v>2728246</v>
      </c>
      <c r="F32" s="448"/>
      <c r="G32" s="519"/>
      <c r="I32" s="40"/>
    </row>
    <row r="33" spans="1:9" ht="18" customHeight="1" x14ac:dyDescent="0.25">
      <c r="A33" s="521">
        <v>2009</v>
      </c>
      <c r="B33" s="446">
        <v>8666568</v>
      </c>
      <c r="C33" s="623" t="s">
        <v>337</v>
      </c>
      <c r="D33" s="520">
        <f>ROUND(D67/214.537,4)</f>
        <v>1.0558000000000001</v>
      </c>
      <c r="E33" s="446">
        <f>ROUND(+B33*D33,0)</f>
        <v>9150162</v>
      </c>
      <c r="F33" s="448"/>
      <c r="G33" s="519"/>
      <c r="I33" s="40"/>
    </row>
    <row r="34" spans="1:9" ht="15.75" customHeight="1" x14ac:dyDescent="0.25">
      <c r="A34" s="521">
        <v>2008</v>
      </c>
      <c r="B34" s="446">
        <v>6951799</v>
      </c>
      <c r="C34" s="623" t="s">
        <v>337</v>
      </c>
      <c r="D34" s="520">
        <f>ROUND(D67/215.303,4)</f>
        <v>1.052</v>
      </c>
      <c r="E34" s="446">
        <f t="shared" ref="E34:E39" si="0">ROUND(+B34*D34,0)</f>
        <v>7313293</v>
      </c>
      <c r="F34" s="448"/>
      <c r="G34" s="519"/>
    </row>
    <row r="35" spans="1:9" ht="15.75" customHeight="1" x14ac:dyDescent="0.25">
      <c r="A35" s="521">
        <v>2007</v>
      </c>
      <c r="B35" s="446">
        <v>2035291</v>
      </c>
      <c r="C35" s="446"/>
      <c r="D35" s="520">
        <f>ROUND(D67/207.342,4)</f>
        <v>1.0924</v>
      </c>
      <c r="E35" s="446">
        <f>ROUND(+B35*D35,0)</f>
        <v>2223352</v>
      </c>
      <c r="F35" s="448"/>
      <c r="G35" s="519"/>
    </row>
    <row r="36" spans="1:9" ht="15.75" customHeight="1" x14ac:dyDescent="0.25">
      <c r="A36" s="521">
        <v>2006</v>
      </c>
      <c r="B36" s="446">
        <v>4113534</v>
      </c>
      <c r="C36" s="446"/>
      <c r="D36" s="520">
        <f>ROUND(D67/201.6,4)</f>
        <v>1.1234999999999999</v>
      </c>
      <c r="E36" s="446">
        <f t="shared" si="0"/>
        <v>4621555</v>
      </c>
      <c r="F36" s="448"/>
      <c r="G36" s="519"/>
    </row>
    <row r="37" spans="1:9" ht="15.75" customHeight="1" x14ac:dyDescent="0.25">
      <c r="A37" s="521">
        <v>2005</v>
      </c>
      <c r="B37" s="446">
        <v>2539379</v>
      </c>
      <c r="C37" s="446"/>
      <c r="D37" s="520">
        <f>ROUND(D67/195.3,4)</f>
        <v>1.1597999999999999</v>
      </c>
      <c r="E37" s="446">
        <f t="shared" si="0"/>
        <v>2945172</v>
      </c>
      <c r="F37" s="448"/>
      <c r="G37" s="519"/>
    </row>
    <row r="38" spans="1:9" x14ac:dyDescent="0.25">
      <c r="A38" s="521">
        <v>2004</v>
      </c>
      <c r="B38" s="446">
        <v>4120482</v>
      </c>
      <c r="C38" s="446"/>
      <c r="D38" s="520">
        <f>ROUND(D67/188.9,4)</f>
        <v>1.1990000000000001</v>
      </c>
      <c r="E38" s="446">
        <f t="shared" si="0"/>
        <v>4940458</v>
      </c>
      <c r="F38" s="448"/>
      <c r="G38" s="519"/>
    </row>
    <row r="39" spans="1:9" x14ac:dyDescent="0.25">
      <c r="A39" s="521">
        <v>2003</v>
      </c>
      <c r="B39" s="446">
        <f>8034000-6600000</f>
        <v>1434000</v>
      </c>
      <c r="C39" s="446"/>
      <c r="D39" s="520">
        <f>ROUND(D67/184,4)</f>
        <v>1.2310000000000001</v>
      </c>
      <c r="E39" s="446">
        <f t="shared" si="0"/>
        <v>1765254</v>
      </c>
      <c r="F39" s="448"/>
      <c r="G39" s="519"/>
    </row>
    <row r="40" spans="1:9" ht="21.75" customHeight="1" thickBot="1" x14ac:dyDescent="0.3">
      <c r="A40" s="796" t="s">
        <v>151</v>
      </c>
      <c r="B40" s="446"/>
      <c r="C40" s="446"/>
      <c r="D40" s="520"/>
      <c r="E40" s="125">
        <f>SUM(E30:E39)</f>
        <v>44707690</v>
      </c>
      <c r="F40" s="518"/>
      <c r="G40" s="448"/>
    </row>
    <row r="41" spans="1:9" ht="24" customHeight="1" thickTop="1" thickBot="1" x14ac:dyDescent="0.3">
      <c r="A41" s="447" t="s">
        <v>71</v>
      </c>
      <c r="B41" s="446"/>
      <c r="C41" s="446"/>
      <c r="D41" s="520"/>
      <c r="E41" s="92">
        <f>ROUND(AVERAGE(E30:E39),0)</f>
        <v>4470769</v>
      </c>
      <c r="F41" s="38"/>
      <c r="G41" s="448"/>
    </row>
    <row r="42" spans="1:9" ht="16.5" thickTop="1" x14ac:dyDescent="0.25">
      <c r="A42" s="448"/>
      <c r="B42" s="517"/>
      <c r="C42" s="517"/>
      <c r="D42" s="520"/>
      <c r="E42" s="518"/>
      <c r="F42" s="518"/>
      <c r="G42" s="448"/>
    </row>
    <row r="43" spans="1:9" x14ac:dyDescent="0.25">
      <c r="A43" s="447" t="s">
        <v>504</v>
      </c>
      <c r="D43" s="516"/>
      <c r="E43" s="518"/>
      <c r="F43" s="518"/>
      <c r="G43" s="448"/>
    </row>
    <row r="44" spans="1:9" x14ac:dyDescent="0.25">
      <c r="A44" s="447" t="s">
        <v>390</v>
      </c>
      <c r="D44" s="448"/>
      <c r="E44" s="448"/>
      <c r="F44" s="518"/>
      <c r="G44" s="448"/>
    </row>
    <row r="45" spans="1:9" x14ac:dyDescent="0.25">
      <c r="A45" s="515"/>
      <c r="D45" s="448"/>
      <c r="E45" s="448"/>
      <c r="F45" s="502"/>
      <c r="G45" s="448"/>
    </row>
    <row r="46" spans="1:9" x14ac:dyDescent="0.25">
      <c r="A46" s="447" t="s">
        <v>505</v>
      </c>
      <c r="D46" s="448"/>
      <c r="E46" s="448"/>
      <c r="F46" s="502"/>
      <c r="G46" s="448"/>
    </row>
    <row r="47" spans="1:9" x14ac:dyDescent="0.25">
      <c r="A47" s="507" t="s">
        <v>754</v>
      </c>
      <c r="D47" s="448"/>
      <c r="E47" s="448"/>
      <c r="F47" s="502"/>
      <c r="G47" s="448"/>
    </row>
    <row r="48" spans="1:9" x14ac:dyDescent="0.25">
      <c r="A48" s="507" t="s">
        <v>753</v>
      </c>
    </row>
    <row r="49" spans="2:4" x14ac:dyDescent="0.25">
      <c r="B49" s="503"/>
    </row>
    <row r="50" spans="2:4" x14ac:dyDescent="0.25">
      <c r="B50" s="503"/>
      <c r="D50" s="504"/>
    </row>
    <row r="51" spans="2:4" x14ac:dyDescent="0.25">
      <c r="B51" s="503"/>
      <c r="D51" s="504"/>
    </row>
    <row r="52" spans="2:4" x14ac:dyDescent="0.25">
      <c r="B52" s="503"/>
      <c r="D52" s="504"/>
    </row>
    <row r="53" spans="2:4" x14ac:dyDescent="0.25">
      <c r="B53" s="503"/>
      <c r="D53" s="504"/>
    </row>
    <row r="54" spans="2:4" x14ac:dyDescent="0.25">
      <c r="B54" s="503"/>
      <c r="D54" s="504" t="s">
        <v>103</v>
      </c>
    </row>
    <row r="55" spans="2:4" x14ac:dyDescent="0.25">
      <c r="B55" s="505" t="s">
        <v>346</v>
      </c>
      <c r="C55" s="505"/>
      <c r="D55" s="506">
        <v>224.90600000000001</v>
      </c>
    </row>
    <row r="56" spans="2:4" x14ac:dyDescent="0.25">
      <c r="B56" s="505" t="s">
        <v>342</v>
      </c>
      <c r="C56" s="505"/>
      <c r="D56" s="506">
        <v>225.964</v>
      </c>
    </row>
    <row r="57" spans="2:4" x14ac:dyDescent="0.25">
      <c r="B57" s="505" t="s">
        <v>347</v>
      </c>
      <c r="C57" s="505"/>
      <c r="D57" s="506">
        <v>225.72200000000001</v>
      </c>
    </row>
    <row r="58" spans="2:4" x14ac:dyDescent="0.25">
      <c r="B58" s="505" t="s">
        <v>420</v>
      </c>
      <c r="C58" s="505"/>
      <c r="D58" s="506">
        <v>225.922</v>
      </c>
    </row>
    <row r="59" spans="2:4" x14ac:dyDescent="0.25">
      <c r="B59" s="505" t="s">
        <v>348</v>
      </c>
      <c r="C59" s="505"/>
      <c r="D59" s="506">
        <v>226.54499999999999</v>
      </c>
    </row>
    <row r="60" spans="2:4" x14ac:dyDescent="0.25">
      <c r="B60" s="505" t="s">
        <v>349</v>
      </c>
      <c r="C60" s="505"/>
      <c r="D60" s="506">
        <v>226.88900000000001</v>
      </c>
    </row>
    <row r="61" spans="2:4" x14ac:dyDescent="0.25">
      <c r="B61" s="505" t="s">
        <v>451</v>
      </c>
      <c r="C61" s="505"/>
      <c r="D61" s="506">
        <v>226.42099999999999</v>
      </c>
    </row>
    <row r="62" spans="2:4" x14ac:dyDescent="0.25">
      <c r="B62" s="505" t="s">
        <v>350</v>
      </c>
      <c r="C62" s="505"/>
      <c r="D62" s="506">
        <v>226.23</v>
      </c>
    </row>
    <row r="63" spans="2:4" x14ac:dyDescent="0.25">
      <c r="B63" s="505" t="s">
        <v>418</v>
      </c>
      <c r="C63" s="505"/>
      <c r="D63" s="506">
        <v>225.672</v>
      </c>
    </row>
    <row r="64" spans="2:4" x14ac:dyDescent="0.25">
      <c r="B64" s="505" t="s">
        <v>503</v>
      </c>
      <c r="D64" s="506">
        <v>226.66499999999999</v>
      </c>
    </row>
    <row r="65" spans="2:4" x14ac:dyDescent="0.25">
      <c r="B65" s="505" t="s">
        <v>344</v>
      </c>
      <c r="D65" s="506">
        <v>227.66300000000001</v>
      </c>
    </row>
    <row r="66" spans="2:4" x14ac:dyDescent="0.25">
      <c r="B66" s="505" t="s">
        <v>345</v>
      </c>
      <c r="D66" s="506">
        <v>229.392</v>
      </c>
    </row>
    <row r="67" spans="2:4" x14ac:dyDescent="0.25">
      <c r="B67" s="550" t="s">
        <v>507</v>
      </c>
      <c r="C67" s="505"/>
      <c r="D67" s="506">
        <f>AVERAGE(D55:D66)</f>
        <v>226.49924999999999</v>
      </c>
    </row>
    <row r="68" spans="2:4" x14ac:dyDescent="0.25">
      <c r="B68" s="505"/>
      <c r="C68" s="505"/>
    </row>
  </sheetData>
  <printOptions horizontalCentered="1" gridLinesSet="0"/>
  <pageMargins left="0.75" right="0.5" top="1" bottom="0.75" header="0.5" footer="0.5"/>
  <pageSetup scale="82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13">
    <pageSetUpPr fitToPage="1"/>
  </sheetPr>
  <dimension ref="A3:H44"/>
  <sheetViews>
    <sheetView showGridLines="0" zoomScaleNormal="100" zoomScaleSheetLayoutView="70" workbookViewId="0">
      <selection activeCell="A3" sqref="A3"/>
    </sheetView>
  </sheetViews>
  <sheetFormatPr defaultColWidth="10.875" defaultRowHeight="15.75" x14ac:dyDescent="0.25"/>
  <cols>
    <col min="1" max="1" width="10.875" style="2"/>
    <col min="2" max="2" width="10.375" style="2" customWidth="1"/>
    <col min="3" max="3" width="5.125" style="2" customWidth="1"/>
    <col min="4" max="4" width="13.125" style="2" customWidth="1"/>
    <col min="5" max="5" width="13.625" style="2" bestFit="1" customWidth="1"/>
    <col min="6" max="6" width="13.5" style="2" customWidth="1"/>
    <col min="7" max="7" width="1.75" style="2" customWidth="1"/>
    <col min="8" max="8" width="14.25" style="2" customWidth="1"/>
    <col min="9" max="16384" width="10.875" style="2"/>
  </cols>
  <sheetData>
    <row r="3" spans="1:8" x14ac:dyDescent="0.25">
      <c r="H3" s="7" t="str">
        <f>'Ex 1'!$K$1</f>
        <v>Revised Exhibit 1</v>
      </c>
    </row>
    <row r="4" spans="1:8" x14ac:dyDescent="0.25">
      <c r="H4" s="30" t="str">
        <f>"Reference Schedule "&amp;Inputs!$A32&amp;""</f>
        <v>Reference Schedule 1.16</v>
      </c>
    </row>
    <row r="5" spans="1:8" x14ac:dyDescent="0.25">
      <c r="H5" s="529" t="str">
        <f>"Sponsoring Witness: "&amp;Inputs!$B32&amp;""</f>
        <v>Sponsoring Witness: Scott</v>
      </c>
    </row>
    <row r="8" spans="1:8" x14ac:dyDescent="0.25">
      <c r="A8" s="17" t="s">
        <v>230</v>
      </c>
      <c r="B8" s="6"/>
      <c r="C8" s="6"/>
      <c r="D8" s="6"/>
      <c r="E8" s="6"/>
      <c r="F8" s="6"/>
      <c r="G8" s="6"/>
      <c r="H8" s="6"/>
    </row>
    <row r="9" spans="1:8" x14ac:dyDescent="0.25">
      <c r="A9" s="5"/>
      <c r="B9" s="6"/>
      <c r="C9" s="6"/>
      <c r="D9" s="6"/>
      <c r="E9" s="6"/>
      <c r="F9" s="6"/>
      <c r="G9" s="6"/>
      <c r="H9" s="6"/>
    </row>
    <row r="10" spans="1:8" x14ac:dyDescent="0.25">
      <c r="A10" s="5"/>
      <c r="B10" s="6"/>
      <c r="C10" s="6"/>
      <c r="D10" s="6"/>
      <c r="E10" s="6"/>
      <c r="F10" s="6"/>
      <c r="G10" s="6"/>
      <c r="H10" s="6"/>
    </row>
    <row r="11" spans="1:8" x14ac:dyDescent="0.25">
      <c r="A11" s="152" t="s">
        <v>260</v>
      </c>
      <c r="B11" s="6"/>
      <c r="C11" s="6"/>
      <c r="D11" s="6"/>
      <c r="E11" s="6"/>
      <c r="F11" s="6"/>
      <c r="G11" s="6"/>
      <c r="H11" s="6"/>
    </row>
    <row r="12" spans="1:8" x14ac:dyDescent="0.25">
      <c r="A12" s="4" t="str">
        <f>"For the Twelve Months Ended "&amp;Inputs!B3&amp;""</f>
        <v>For the Twelve Months Ended March 31, 2012</v>
      </c>
      <c r="B12" s="6"/>
      <c r="C12" s="6"/>
      <c r="D12" s="6"/>
      <c r="E12" s="6"/>
      <c r="F12" s="6"/>
      <c r="G12" s="6"/>
      <c r="H12" s="6"/>
    </row>
    <row r="13" spans="1:8" x14ac:dyDescent="0.25">
      <c r="A13" s="80"/>
      <c r="B13" s="1"/>
    </row>
    <row r="14" spans="1:8" ht="18" x14ac:dyDescent="0.4">
      <c r="E14" s="24"/>
      <c r="F14" s="25"/>
      <c r="G14" s="54"/>
      <c r="H14" s="95"/>
    </row>
    <row r="16" spans="1:8" x14ac:dyDescent="0.25">
      <c r="A16" s="1" t="s">
        <v>44</v>
      </c>
      <c r="H16" s="46">
        <f>+F40</f>
        <v>2174114</v>
      </c>
    </row>
    <row r="18" spans="1:8" x14ac:dyDescent="0.25">
      <c r="A18" s="1" t="s">
        <v>303</v>
      </c>
    </row>
    <row r="19" spans="1:8" x14ac:dyDescent="0.25">
      <c r="A19" s="1" t="str">
        <f>"    "&amp;Inputs!B3&amp;""</f>
        <v xml:space="preserve">    March 31, 2012</v>
      </c>
      <c r="H19" s="142">
        <f>F29</f>
        <v>3560504</v>
      </c>
    </row>
    <row r="21" spans="1:8" x14ac:dyDescent="0.25">
      <c r="A21" s="1" t="s">
        <v>245</v>
      </c>
      <c r="H21" s="38">
        <f>ROUND((+H16-H19),0)</f>
        <v>-1386390</v>
      </c>
    </row>
    <row r="22" spans="1:8" x14ac:dyDescent="0.25">
      <c r="A22" s="1"/>
      <c r="H22" s="28"/>
    </row>
    <row r="23" spans="1:8" x14ac:dyDescent="0.25">
      <c r="A23" s="1" t="s">
        <v>395</v>
      </c>
      <c r="H23" s="126">
        <f>+Allocators!C33</f>
        <v>0.88937999999999995</v>
      </c>
    </row>
    <row r="24" spans="1:8" x14ac:dyDescent="0.25">
      <c r="A24" s="1"/>
      <c r="H24" s="28"/>
    </row>
    <row r="25" spans="1:8" ht="16.5" thickBot="1" x14ac:dyDescent="0.3">
      <c r="A25" s="1" t="s">
        <v>302</v>
      </c>
      <c r="H25" s="47">
        <f>ROUND(+H21*H23,0)</f>
        <v>-1233028</v>
      </c>
    </row>
    <row r="26" spans="1:8" ht="16.5" thickTop="1" x14ac:dyDescent="0.25">
      <c r="A26" s="1"/>
      <c r="H26" s="28"/>
    </row>
    <row r="27" spans="1:8" x14ac:dyDescent="0.25">
      <c r="B27" s="8"/>
      <c r="C27" s="8"/>
      <c r="D27" s="8"/>
      <c r="E27" s="8" t="s">
        <v>313</v>
      </c>
      <c r="F27" s="8" t="s">
        <v>167</v>
      </c>
    </row>
    <row r="28" spans="1:8" x14ac:dyDescent="0.25">
      <c r="A28" s="71"/>
      <c r="B28" s="18" t="s">
        <v>225</v>
      </c>
      <c r="C28" s="18"/>
      <c r="D28" s="512" t="s">
        <v>508</v>
      </c>
      <c r="E28" s="18" t="s">
        <v>296</v>
      </c>
      <c r="F28" s="18" t="s">
        <v>181</v>
      </c>
    </row>
    <row r="29" spans="1:8" s="526" customFormat="1" x14ac:dyDescent="0.25">
      <c r="A29" s="71"/>
      <c r="B29" s="138">
        <v>2012</v>
      </c>
      <c r="D29" s="119">
        <v>3560504.2</v>
      </c>
      <c r="E29" s="136">
        <f>'1.15'!D30</f>
        <v>1</v>
      </c>
      <c r="F29" s="111">
        <f t="shared" ref="F29" si="0">ROUND(+D29*E29,0)</f>
        <v>3560504</v>
      </c>
    </row>
    <row r="30" spans="1:8" s="526" customFormat="1" x14ac:dyDescent="0.25">
      <c r="A30" s="71"/>
      <c r="B30" s="138">
        <v>2011</v>
      </c>
      <c r="D30" s="89">
        <v>3080346.27</v>
      </c>
      <c r="E30" s="136">
        <f>'1.15'!D31</f>
        <v>1.0068999999999999</v>
      </c>
      <c r="F30" s="39">
        <f t="shared" ref="F30" si="1">ROUND(+D30*E30,0)</f>
        <v>3101601</v>
      </c>
    </row>
    <row r="31" spans="1:8" s="526" customFormat="1" x14ac:dyDescent="0.25">
      <c r="A31" s="71"/>
      <c r="B31" s="138">
        <v>2010</v>
      </c>
      <c r="D31" s="89">
        <v>2451761</v>
      </c>
      <c r="E31" s="136">
        <f>'1.15'!D32</f>
        <v>1.0387</v>
      </c>
      <c r="F31" s="39">
        <f t="shared" ref="F31" si="2">ROUND(+D31*E31,0)</f>
        <v>2546644</v>
      </c>
    </row>
    <row r="32" spans="1:8" x14ac:dyDescent="0.25">
      <c r="A32" s="71"/>
      <c r="B32" s="138">
        <v>2009</v>
      </c>
      <c r="D32" s="89">
        <v>1840625</v>
      </c>
      <c r="E32" s="136">
        <f>'1.15'!D33</f>
        <v>1.0558000000000001</v>
      </c>
      <c r="F32" s="39">
        <f t="shared" ref="F32:F38" si="3">ROUND(+D32*E32,0)</f>
        <v>1943332</v>
      </c>
    </row>
    <row r="33" spans="1:7" x14ac:dyDescent="0.25">
      <c r="A33" s="71"/>
      <c r="B33" s="138">
        <v>2008</v>
      </c>
      <c r="D33" s="89">
        <v>1226235</v>
      </c>
      <c r="E33" s="136">
        <f>'1.15'!D34</f>
        <v>1.052</v>
      </c>
      <c r="F33" s="39">
        <f t="shared" si="3"/>
        <v>1289999</v>
      </c>
    </row>
    <row r="34" spans="1:7" x14ac:dyDescent="0.25">
      <c r="A34" s="71"/>
      <c r="B34" s="138">
        <v>2007</v>
      </c>
      <c r="D34" s="89">
        <v>1178212</v>
      </c>
      <c r="E34" s="136">
        <f>'1.15'!D35</f>
        <v>1.0924</v>
      </c>
      <c r="F34" s="39">
        <f t="shared" si="3"/>
        <v>1287079</v>
      </c>
    </row>
    <row r="35" spans="1:7" x14ac:dyDescent="0.25">
      <c r="A35" s="71"/>
      <c r="B35" s="138">
        <v>2006</v>
      </c>
      <c r="D35" s="89">
        <v>1690654</v>
      </c>
      <c r="E35" s="136">
        <f>'1.15'!D36</f>
        <v>1.1234999999999999</v>
      </c>
      <c r="F35" s="39">
        <f t="shared" si="3"/>
        <v>1899450</v>
      </c>
    </row>
    <row r="36" spans="1:7" x14ac:dyDescent="0.25">
      <c r="A36" s="71"/>
      <c r="B36" s="138">
        <v>2005</v>
      </c>
      <c r="D36" s="89">
        <v>2268036</v>
      </c>
      <c r="E36" s="136">
        <f>'1.15'!D37</f>
        <v>1.1597999999999999</v>
      </c>
      <c r="F36" s="39">
        <f t="shared" si="3"/>
        <v>2630468</v>
      </c>
    </row>
    <row r="37" spans="1:7" x14ac:dyDescent="0.25">
      <c r="A37" s="93"/>
      <c r="B37" s="138">
        <v>2004</v>
      </c>
      <c r="D37" s="89">
        <v>1080732</v>
      </c>
      <c r="E37" s="136">
        <f>'1.15'!D38</f>
        <v>1.1990000000000001</v>
      </c>
      <c r="F37" s="39">
        <f t="shared" si="3"/>
        <v>1295798</v>
      </c>
      <c r="G37" s="52"/>
    </row>
    <row r="38" spans="1:7" x14ac:dyDescent="0.25">
      <c r="A38" s="93"/>
      <c r="B38" s="138">
        <v>2003</v>
      </c>
      <c r="D38" s="89">
        <v>1776006</v>
      </c>
      <c r="E38" s="136">
        <f>'1.15'!D39</f>
        <v>1.2310000000000001</v>
      </c>
      <c r="F38" s="24">
        <f t="shared" si="3"/>
        <v>2186263</v>
      </c>
    </row>
    <row r="39" spans="1:7" ht="22.5" customHeight="1" thickBot="1" x14ac:dyDescent="0.3">
      <c r="A39" s="3"/>
      <c r="B39" s="8" t="s">
        <v>151</v>
      </c>
      <c r="D39" s="111"/>
      <c r="E39" s="136"/>
      <c r="F39" s="125">
        <f>SUM(F29:F38)</f>
        <v>21741138</v>
      </c>
    </row>
    <row r="40" spans="1:7" ht="24.75" customHeight="1" thickTop="1" thickBot="1" x14ac:dyDescent="0.3">
      <c r="A40" s="1"/>
      <c r="B40" s="14" t="s">
        <v>71</v>
      </c>
      <c r="D40" s="111"/>
      <c r="F40" s="92">
        <f>ROUND(F39/10,0)</f>
        <v>2174114</v>
      </c>
    </row>
    <row r="41" spans="1:7" ht="16.5" thickTop="1" x14ac:dyDescent="0.25"/>
    <row r="42" spans="1:7" x14ac:dyDescent="0.25">
      <c r="B42" s="447" t="s">
        <v>504</v>
      </c>
    </row>
    <row r="43" spans="1:7" ht="21.75" customHeight="1" x14ac:dyDescent="0.25">
      <c r="B43" s="14" t="s">
        <v>390</v>
      </c>
    </row>
    <row r="44" spans="1:7" ht="24" customHeight="1" x14ac:dyDescent="0.25"/>
  </sheetData>
  <phoneticPr fontId="0" type="noConversion"/>
  <printOptions horizontalCentered="1" gridLinesSet="0"/>
  <pageMargins left="1.25" right="0.75" top="1" bottom="1" header="0.5" footer="0.5"/>
  <pageSetup scale="88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9">
    <pageSetUpPr fitToPage="1"/>
  </sheetPr>
  <dimension ref="A3:B32"/>
  <sheetViews>
    <sheetView showGridLines="0" zoomScaleNormal="100" zoomScaleSheetLayoutView="70" workbookViewId="0">
      <selection activeCell="B27" sqref="B27"/>
    </sheetView>
  </sheetViews>
  <sheetFormatPr defaultColWidth="9.625" defaultRowHeight="15.75" x14ac:dyDescent="0.25"/>
  <cols>
    <col min="1" max="1" width="51.125" style="2" customWidth="1"/>
    <col min="2" max="2" width="14.375" style="2" customWidth="1"/>
    <col min="3" max="16384" width="9.625" style="2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"&amp;Inputs!$A33&amp;""</f>
        <v>Reference Schedule 1.17</v>
      </c>
    </row>
    <row r="5" spans="1:2" x14ac:dyDescent="0.25">
      <c r="B5" s="529" t="str">
        <f>"Sponsoring Witness: "&amp;Inputs!$B33&amp;""</f>
        <v>Sponsoring Witness: Scott</v>
      </c>
    </row>
    <row r="8" spans="1:2" x14ac:dyDescent="0.25">
      <c r="A8" s="17" t="s">
        <v>230</v>
      </c>
      <c r="B8" s="5"/>
    </row>
    <row r="9" spans="1:2" x14ac:dyDescent="0.25">
      <c r="A9" s="5"/>
      <c r="B9" s="5"/>
    </row>
    <row r="10" spans="1:2" x14ac:dyDescent="0.25">
      <c r="A10" s="5"/>
      <c r="B10" s="5"/>
    </row>
    <row r="11" spans="1:2" x14ac:dyDescent="0.25">
      <c r="A11" s="152" t="s">
        <v>227</v>
      </c>
      <c r="B11" s="5"/>
    </row>
    <row r="12" spans="1:2" x14ac:dyDescent="0.25">
      <c r="A12" s="152" t="s">
        <v>176</v>
      </c>
      <c r="B12" s="5"/>
    </row>
    <row r="13" spans="1:2" x14ac:dyDescent="0.25">
      <c r="A13" s="4" t="str">
        <f>"For the Twelve Months Ended "&amp;Inputs!B3&amp;""</f>
        <v>For the Twelve Months Ended March 31, 2012</v>
      </c>
      <c r="B13" s="5"/>
    </row>
    <row r="16" spans="1:2" x14ac:dyDescent="0.25">
      <c r="B16" s="8"/>
    </row>
    <row r="17" spans="1:2" x14ac:dyDescent="0.25">
      <c r="B17" s="88"/>
    </row>
    <row r="18" spans="1:2" x14ac:dyDescent="0.25">
      <c r="B18" s="3"/>
    </row>
    <row r="19" spans="1:2" x14ac:dyDescent="0.25">
      <c r="A19" s="1" t="s">
        <v>177</v>
      </c>
    </row>
    <row r="20" spans="1:2" x14ac:dyDescent="0.25">
      <c r="A20" s="1" t="s">
        <v>182</v>
      </c>
    </row>
    <row r="21" spans="1:2" x14ac:dyDescent="0.25">
      <c r="A21" s="1" t="s">
        <v>183</v>
      </c>
      <c r="B21" s="46">
        <v>827233.97</v>
      </c>
    </row>
    <row r="23" spans="1:2" x14ac:dyDescent="0.25">
      <c r="A23" s="1" t="s">
        <v>297</v>
      </c>
      <c r="B23" s="32">
        <v>23966.44</v>
      </c>
    </row>
    <row r="24" spans="1:2" x14ac:dyDescent="0.25">
      <c r="B24" s="3"/>
    </row>
    <row r="25" spans="1:2" x14ac:dyDescent="0.25">
      <c r="A25" s="1" t="s">
        <v>178</v>
      </c>
      <c r="B25" s="38">
        <f>SUM(B20:B24)</f>
        <v>851200.40999999992</v>
      </c>
    </row>
    <row r="26" spans="1:2" x14ac:dyDescent="0.25">
      <c r="B26" s="3"/>
    </row>
    <row r="27" spans="1:2" x14ac:dyDescent="0.25">
      <c r="A27" s="1" t="s">
        <v>394</v>
      </c>
      <c r="B27" s="109">
        <f>Allocators!C35</f>
        <v>0.94977999999999996</v>
      </c>
    </row>
    <row r="28" spans="1:2" x14ac:dyDescent="0.25">
      <c r="A28" s="1"/>
    </row>
    <row r="29" spans="1:2" ht="16.5" thickBot="1" x14ac:dyDescent="0.3">
      <c r="A29" s="1" t="s">
        <v>332</v>
      </c>
      <c r="B29" s="55">
        <f>ROUND(+B25*B27,0)</f>
        <v>808453</v>
      </c>
    </row>
    <row r="30" spans="1:2" ht="16.5" thickTop="1" x14ac:dyDescent="0.25"/>
    <row r="31" spans="1:2" ht="16.5" thickBot="1" x14ac:dyDescent="0.3">
      <c r="A31" s="1" t="s">
        <v>331</v>
      </c>
      <c r="B31" s="55">
        <f>-B29</f>
        <v>-808453</v>
      </c>
    </row>
    <row r="32" spans="1:2" ht="16.5" thickTop="1" x14ac:dyDescent="0.25"/>
  </sheetData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B32"/>
  <sheetViews>
    <sheetView showGridLines="0" zoomScaleNormal="100" zoomScaleSheetLayoutView="70" workbookViewId="0">
      <selection activeCell="D31" sqref="D31"/>
    </sheetView>
  </sheetViews>
  <sheetFormatPr defaultColWidth="9.625" defaultRowHeight="15.75" x14ac:dyDescent="0.25"/>
  <cols>
    <col min="1" max="1" width="51.125" style="526" customWidth="1"/>
    <col min="2" max="2" width="14.375" style="526" customWidth="1"/>
    <col min="3" max="16384" width="9.625" style="526"/>
  </cols>
  <sheetData>
    <row r="3" spans="1:2" x14ac:dyDescent="0.25">
      <c r="B3" s="528" t="str">
        <f>'Ex 1'!$K$1</f>
        <v>Revised Exhibit 1</v>
      </c>
    </row>
    <row r="4" spans="1:2" x14ac:dyDescent="0.25">
      <c r="B4" s="30" t="str">
        <f>"Reference Schedule "&amp;Inputs!$A33&amp;""</f>
        <v>Reference Schedule 1.17</v>
      </c>
    </row>
    <row r="5" spans="1:2" x14ac:dyDescent="0.25">
      <c r="B5" s="529" t="str">
        <f>"Sponsoring Witness: "&amp;Inputs!$B33&amp;""</f>
        <v>Sponsoring Witness: Scott</v>
      </c>
    </row>
    <row r="8" spans="1:2" x14ac:dyDescent="0.25">
      <c r="A8" s="17" t="s">
        <v>230</v>
      </c>
      <c r="B8" s="527"/>
    </row>
    <row r="9" spans="1:2" x14ac:dyDescent="0.25">
      <c r="A9" s="527"/>
      <c r="B9" s="527"/>
    </row>
    <row r="10" spans="1:2" x14ac:dyDescent="0.25">
      <c r="A10" s="527"/>
      <c r="B10" s="527"/>
    </row>
    <row r="11" spans="1:2" x14ac:dyDescent="0.25">
      <c r="A11" s="152" t="s">
        <v>227</v>
      </c>
      <c r="B11" s="527"/>
    </row>
    <row r="12" spans="1:2" x14ac:dyDescent="0.25">
      <c r="A12" s="152" t="s">
        <v>176</v>
      </c>
      <c r="B12" s="527"/>
    </row>
    <row r="13" spans="1:2" x14ac:dyDescent="0.25">
      <c r="A13" s="4" t="str">
        <f>"For the Twelve Months Ended "&amp;Inputs!B3&amp;""</f>
        <v>For the Twelve Months Ended March 31, 2012</v>
      </c>
      <c r="B13" s="527"/>
    </row>
    <row r="16" spans="1:2" x14ac:dyDescent="0.25">
      <c r="B16" s="8"/>
    </row>
    <row r="17" spans="1:2" x14ac:dyDescent="0.25">
      <c r="B17" s="88"/>
    </row>
    <row r="18" spans="1:2" x14ac:dyDescent="0.25">
      <c r="B18" s="3"/>
    </row>
    <row r="19" spans="1:2" x14ac:dyDescent="0.25">
      <c r="A19" s="1" t="s">
        <v>177</v>
      </c>
    </row>
    <row r="20" spans="1:2" x14ac:dyDescent="0.25">
      <c r="A20" s="1" t="s">
        <v>182</v>
      </c>
    </row>
    <row r="21" spans="1:2" x14ac:dyDescent="0.25">
      <c r="A21" s="1" t="s">
        <v>183</v>
      </c>
      <c r="B21" s="46">
        <f>827234-148402</f>
        <v>678832</v>
      </c>
    </row>
    <row r="23" spans="1:2" x14ac:dyDescent="0.25">
      <c r="A23" s="1" t="s">
        <v>297</v>
      </c>
      <c r="B23" s="32">
        <v>23966</v>
      </c>
    </row>
    <row r="24" spans="1:2" x14ac:dyDescent="0.25">
      <c r="B24" s="3"/>
    </row>
    <row r="25" spans="1:2" x14ac:dyDescent="0.25">
      <c r="A25" s="1" t="s">
        <v>178</v>
      </c>
      <c r="B25" s="38">
        <f>SUM(B20:B24)</f>
        <v>702798</v>
      </c>
    </row>
    <row r="26" spans="1:2" x14ac:dyDescent="0.25">
      <c r="B26" s="3"/>
    </row>
    <row r="27" spans="1:2" x14ac:dyDescent="0.25">
      <c r="A27" s="1" t="s">
        <v>394</v>
      </c>
      <c r="B27" s="109">
        <f>Allocators!C35</f>
        <v>0.94977999999999996</v>
      </c>
    </row>
    <row r="28" spans="1:2" x14ac:dyDescent="0.25">
      <c r="A28" s="1"/>
    </row>
    <row r="29" spans="1:2" ht="16.5" thickBot="1" x14ac:dyDescent="0.3">
      <c r="A29" s="1" t="s">
        <v>332</v>
      </c>
      <c r="B29" s="55">
        <f>ROUND(+B25*B27,0)</f>
        <v>667503</v>
      </c>
    </row>
    <row r="30" spans="1:2" ht="16.5" thickTop="1" x14ac:dyDescent="0.25"/>
    <row r="31" spans="1:2" ht="16.5" thickBot="1" x14ac:dyDescent="0.3">
      <c r="A31" s="1" t="s">
        <v>331</v>
      </c>
      <c r="B31" s="55">
        <f>-B29</f>
        <v>-667503</v>
      </c>
    </row>
    <row r="32" spans="1:2" ht="16.5" thickTop="1" x14ac:dyDescent="0.25"/>
  </sheetData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4">
    <pageSetUpPr fitToPage="1"/>
  </sheetPr>
  <dimension ref="A3:D2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50.875" style="526" customWidth="1"/>
    <col min="2" max="2" width="12.625" style="526" customWidth="1"/>
    <col min="3" max="3" width="1.75" style="526" customWidth="1"/>
    <col min="4" max="4" width="12.625" style="526" customWidth="1"/>
    <col min="5" max="16384" width="9.625" style="526"/>
  </cols>
  <sheetData>
    <row r="3" spans="1:4" x14ac:dyDescent="0.25">
      <c r="B3" s="528"/>
      <c r="C3" s="528"/>
      <c r="D3" s="528" t="str">
        <f>'Ex 1'!$K$1</f>
        <v>Revised Exhibit 1</v>
      </c>
    </row>
    <row r="4" spans="1:4" x14ac:dyDescent="0.25">
      <c r="B4" s="529"/>
      <c r="C4" s="529"/>
      <c r="D4" s="30" t="str">
        <f>"Reference Schedule "&amp;Inputs!$A34&amp;""</f>
        <v>Reference Schedule 1.18</v>
      </c>
    </row>
    <row r="5" spans="1:4" x14ac:dyDescent="0.25">
      <c r="B5" s="528"/>
      <c r="C5" s="528"/>
      <c r="D5" s="529" t="str">
        <f>"Sponsoring Witness: "&amp;Inputs!$B34&amp;""</f>
        <v>Sponsoring Witness: Scott</v>
      </c>
    </row>
    <row r="8" spans="1:4" x14ac:dyDescent="0.25">
      <c r="A8" s="4" t="s">
        <v>230</v>
      </c>
      <c r="B8" s="15"/>
      <c r="C8" s="15"/>
      <c r="D8" s="15"/>
    </row>
    <row r="9" spans="1:4" x14ac:dyDescent="0.25">
      <c r="A9" s="15"/>
      <c r="B9" s="15"/>
      <c r="C9" s="15"/>
      <c r="D9" s="15"/>
    </row>
    <row r="10" spans="1:4" x14ac:dyDescent="0.25">
      <c r="A10" s="16"/>
      <c r="B10" s="15"/>
      <c r="C10" s="15"/>
      <c r="D10" s="15"/>
    </row>
    <row r="11" spans="1:4" x14ac:dyDescent="0.25">
      <c r="A11" s="527" t="s">
        <v>465</v>
      </c>
      <c r="B11" s="527"/>
      <c r="C11" s="527"/>
      <c r="D11" s="527"/>
    </row>
    <row r="12" spans="1:4" x14ac:dyDescent="0.25">
      <c r="A12" s="4" t="str">
        <f>"For the Twelve Months Ended "&amp;Inputs!B3&amp;""</f>
        <v>For the Twelve Months Ended March 31, 2012</v>
      </c>
      <c r="B12" s="4"/>
      <c r="C12" s="4"/>
      <c r="D12" s="4"/>
    </row>
    <row r="14" spans="1:4" ht="18" x14ac:dyDescent="0.4">
      <c r="B14" s="57"/>
      <c r="C14" s="57"/>
      <c r="D14" s="57"/>
    </row>
    <row r="15" spans="1:4" ht="22.5" customHeight="1" x14ac:dyDescent="0.4">
      <c r="B15" s="621" t="s">
        <v>243</v>
      </c>
      <c r="C15" s="57"/>
      <c r="D15" s="621" t="s">
        <v>226</v>
      </c>
    </row>
    <row r="16" spans="1:4" x14ac:dyDescent="0.25">
      <c r="B16" s="3"/>
      <c r="C16" s="3"/>
      <c r="D16" s="3"/>
    </row>
    <row r="17" spans="1:4" x14ac:dyDescent="0.25">
      <c r="A17" s="530" t="s">
        <v>678</v>
      </c>
      <c r="B17" s="40"/>
      <c r="C17" s="40"/>
      <c r="D17" s="40"/>
    </row>
    <row r="18" spans="1:4" x14ac:dyDescent="0.25">
      <c r="A18" s="530"/>
      <c r="B18" s="40"/>
      <c r="C18" s="40"/>
      <c r="D18" s="40"/>
    </row>
    <row r="19" spans="1:4" x14ac:dyDescent="0.25">
      <c r="A19" s="530" t="s">
        <v>679</v>
      </c>
      <c r="B19" s="40">
        <v>0</v>
      </c>
      <c r="C19" s="40"/>
      <c r="D19" s="40">
        <v>-251390</v>
      </c>
    </row>
    <row r="20" spans="1:4" x14ac:dyDescent="0.25">
      <c r="A20" s="530" t="s">
        <v>680</v>
      </c>
      <c r="B20" s="38"/>
      <c r="C20" s="40"/>
      <c r="D20" s="38">
        <v>-156554</v>
      </c>
    </row>
    <row r="21" spans="1:4" x14ac:dyDescent="0.25">
      <c r="A21" s="530" t="s">
        <v>681</v>
      </c>
      <c r="B21" s="38"/>
      <c r="C21" s="40"/>
      <c r="D21" s="38">
        <v>-104151</v>
      </c>
    </row>
    <row r="22" spans="1:4" x14ac:dyDescent="0.25">
      <c r="A22" s="530" t="s">
        <v>687</v>
      </c>
      <c r="B22" s="38"/>
      <c r="C22" s="40"/>
      <c r="D22" s="38">
        <v>-63388.36</v>
      </c>
    </row>
    <row r="23" spans="1:4" x14ac:dyDescent="0.25">
      <c r="A23" s="530" t="s">
        <v>688</v>
      </c>
      <c r="B23" s="32">
        <v>24655</v>
      </c>
      <c r="C23" s="40"/>
      <c r="D23" s="32">
        <v>31965</v>
      </c>
    </row>
    <row r="24" spans="1:4" x14ac:dyDescent="0.25">
      <c r="A24" s="530" t="s">
        <v>689</v>
      </c>
      <c r="B24" s="40">
        <f>SUM(B19:B23)</f>
        <v>24655</v>
      </c>
      <c r="C24" s="40"/>
      <c r="D24" s="40">
        <f>SUM(D19:D23)</f>
        <v>-543518.36</v>
      </c>
    </row>
    <row r="25" spans="1:4" x14ac:dyDescent="0.25">
      <c r="A25" s="1"/>
      <c r="B25" s="52"/>
      <c r="C25" s="52"/>
      <c r="D25" s="52"/>
    </row>
    <row r="26" spans="1:4" x14ac:dyDescent="0.25">
      <c r="A26" s="530" t="s">
        <v>690</v>
      </c>
      <c r="B26" s="109">
        <f>Allocators!C37</f>
        <v>0.94452000000000003</v>
      </c>
      <c r="C26" s="151"/>
      <c r="D26" s="109">
        <f>Allocators!C39</f>
        <v>0.87554469227863552</v>
      </c>
    </row>
    <row r="27" spans="1:4" x14ac:dyDescent="0.25">
      <c r="B27" s="39"/>
      <c r="C27" s="39"/>
      <c r="D27" s="39"/>
    </row>
    <row r="28" spans="1:4" ht="16.5" thickBot="1" x14ac:dyDescent="0.3">
      <c r="A28" s="530" t="s">
        <v>691</v>
      </c>
      <c r="B28" s="47">
        <f>ROUND(+B24*B26,0)</f>
        <v>23287</v>
      </c>
      <c r="C28" s="56"/>
      <c r="D28" s="47">
        <f>ROUND(+D24*D26,0)</f>
        <v>-475875</v>
      </c>
    </row>
    <row r="29" spans="1:4" ht="16.5" thickTop="1" x14ac:dyDescent="0.25"/>
  </sheetData>
  <printOptions horizontalCentered="1" gridLinesSet="0"/>
  <pageMargins left="1.25" right="0.75" top="1" bottom="1" header="0.5" footer="0.5"/>
  <pageSetup scale="9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D29"/>
  <sheetViews>
    <sheetView showGridLines="0" zoomScaleNormal="100" zoomScaleSheetLayoutView="70" workbookViewId="0">
      <selection activeCell="B23" sqref="B23"/>
    </sheetView>
  </sheetViews>
  <sheetFormatPr defaultColWidth="9.625" defaultRowHeight="15.75" x14ac:dyDescent="0.25"/>
  <cols>
    <col min="1" max="1" width="50.875" style="526" customWidth="1"/>
    <col min="2" max="2" width="12.625" style="526" customWidth="1"/>
    <col min="3" max="3" width="1.75" style="526" customWidth="1"/>
    <col min="4" max="4" width="12.625" style="526" customWidth="1"/>
    <col min="5" max="16384" width="9.625" style="526"/>
  </cols>
  <sheetData>
    <row r="3" spans="1:4" x14ac:dyDescent="0.25">
      <c r="B3" s="528"/>
      <c r="C3" s="528"/>
      <c r="D3" s="528" t="str">
        <f>'Ex 1'!$K$1</f>
        <v>Revised Exhibit 1</v>
      </c>
    </row>
    <row r="4" spans="1:4" x14ac:dyDescent="0.25">
      <c r="B4" s="529"/>
      <c r="C4" s="529"/>
      <c r="D4" s="30" t="str">
        <f>"Reference Schedule "&amp;Inputs!$A34&amp;""</f>
        <v>Reference Schedule 1.18</v>
      </c>
    </row>
    <row r="5" spans="1:4" x14ac:dyDescent="0.25">
      <c r="B5" s="528"/>
      <c r="C5" s="528"/>
      <c r="D5" s="529" t="str">
        <f>"Sponsoring Witness: "&amp;Inputs!$B34&amp;""</f>
        <v>Sponsoring Witness: Scott</v>
      </c>
    </row>
    <row r="8" spans="1:4" x14ac:dyDescent="0.25">
      <c r="A8" s="4" t="s">
        <v>230</v>
      </c>
      <c r="B8" s="15"/>
      <c r="C8" s="15"/>
      <c r="D8" s="15"/>
    </row>
    <row r="9" spans="1:4" x14ac:dyDescent="0.25">
      <c r="A9" s="15"/>
      <c r="B9" s="15"/>
      <c r="C9" s="15"/>
      <c r="D9" s="15"/>
    </row>
    <row r="10" spans="1:4" x14ac:dyDescent="0.25">
      <c r="A10" s="16"/>
      <c r="B10" s="15"/>
      <c r="C10" s="15"/>
      <c r="D10" s="15"/>
    </row>
    <row r="11" spans="1:4" x14ac:dyDescent="0.25">
      <c r="A11" s="527" t="s">
        <v>465</v>
      </c>
      <c r="B11" s="527"/>
      <c r="C11" s="527"/>
      <c r="D11" s="527"/>
    </row>
    <row r="12" spans="1:4" x14ac:dyDescent="0.25">
      <c r="A12" s="4" t="str">
        <f>"For the Twelve Months Ended "&amp;Inputs!B3&amp;""</f>
        <v>For the Twelve Months Ended March 31, 2012</v>
      </c>
      <c r="B12" s="4"/>
      <c r="C12" s="4"/>
      <c r="D12" s="4"/>
    </row>
    <row r="14" spans="1:4" ht="18" x14ac:dyDescent="0.4">
      <c r="B14" s="57"/>
      <c r="C14" s="57"/>
      <c r="D14" s="57"/>
    </row>
    <row r="15" spans="1:4" ht="22.5" customHeight="1" x14ac:dyDescent="0.4">
      <c r="B15" s="621" t="s">
        <v>243</v>
      </c>
      <c r="C15" s="57"/>
      <c r="D15" s="621" t="s">
        <v>226</v>
      </c>
    </row>
    <row r="16" spans="1:4" x14ac:dyDescent="0.25">
      <c r="B16" s="3"/>
      <c r="C16" s="3"/>
      <c r="D16" s="3"/>
    </row>
    <row r="17" spans="1:4" x14ac:dyDescent="0.25">
      <c r="A17" s="530" t="s">
        <v>678</v>
      </c>
      <c r="B17" s="40"/>
      <c r="C17" s="40"/>
      <c r="D17" s="40"/>
    </row>
    <row r="18" spans="1:4" x14ac:dyDescent="0.25">
      <c r="A18" s="530"/>
      <c r="B18" s="40"/>
      <c r="C18" s="40"/>
      <c r="D18" s="40"/>
    </row>
    <row r="19" spans="1:4" x14ac:dyDescent="0.25">
      <c r="A19" s="530" t="s">
        <v>679</v>
      </c>
      <c r="B19" s="40">
        <v>0</v>
      </c>
      <c r="C19" s="40"/>
      <c r="D19" s="40">
        <f>-251390-220305.33</f>
        <v>-471695.32999999996</v>
      </c>
    </row>
    <row r="20" spans="1:4" x14ac:dyDescent="0.25">
      <c r="A20" s="530" t="s">
        <v>680</v>
      </c>
      <c r="B20" s="38"/>
      <c r="C20" s="40"/>
      <c r="D20" s="38">
        <v>-156554</v>
      </c>
    </row>
    <row r="21" spans="1:4" x14ac:dyDescent="0.25">
      <c r="A21" s="530" t="s">
        <v>681</v>
      </c>
      <c r="B21" s="38"/>
      <c r="C21" s="40"/>
      <c r="D21" s="38">
        <v>-104151</v>
      </c>
    </row>
    <row r="22" spans="1:4" x14ac:dyDescent="0.25">
      <c r="A22" s="530" t="s">
        <v>687</v>
      </c>
      <c r="B22" s="38"/>
      <c r="C22" s="40"/>
      <c r="D22" s="38">
        <f>-63388.36</f>
        <v>-63388.36</v>
      </c>
    </row>
    <row r="23" spans="1:4" x14ac:dyDescent="0.25">
      <c r="A23" s="530" t="s">
        <v>688</v>
      </c>
      <c r="B23" s="32">
        <v>24655</v>
      </c>
      <c r="C23" s="40"/>
      <c r="D23" s="32">
        <v>31965</v>
      </c>
    </row>
    <row r="24" spans="1:4" x14ac:dyDescent="0.25">
      <c r="A24" s="530" t="s">
        <v>689</v>
      </c>
      <c r="B24" s="40">
        <f>SUM(B19:B23)</f>
        <v>24655</v>
      </c>
      <c r="C24" s="40"/>
      <c r="D24" s="40">
        <f>SUM(D19:D23)</f>
        <v>-763823.69</v>
      </c>
    </row>
    <row r="25" spans="1:4" x14ac:dyDescent="0.25">
      <c r="A25" s="1"/>
      <c r="B25" s="52"/>
      <c r="C25" s="52"/>
      <c r="D25" s="52"/>
    </row>
    <row r="26" spans="1:4" x14ac:dyDescent="0.25">
      <c r="A26" s="530" t="s">
        <v>690</v>
      </c>
      <c r="B26" s="109">
        <f>Allocators!C37</f>
        <v>0.94452000000000003</v>
      </c>
      <c r="C26" s="151"/>
      <c r="D26" s="109">
        <f>Allocators!C39</f>
        <v>0.87554469227863552</v>
      </c>
    </row>
    <row r="27" spans="1:4" x14ac:dyDescent="0.25">
      <c r="B27" s="39"/>
      <c r="C27" s="39"/>
      <c r="D27" s="39"/>
    </row>
    <row r="28" spans="1:4" ht="16.5" thickBot="1" x14ac:dyDescent="0.3">
      <c r="A28" s="530" t="s">
        <v>691</v>
      </c>
      <c r="B28" s="47">
        <f>ROUND(+B24*B26,0)</f>
        <v>23287</v>
      </c>
      <c r="C28" s="56"/>
      <c r="D28" s="47">
        <f>ROUND(+D24*D26,0)</f>
        <v>-668762</v>
      </c>
    </row>
    <row r="29" spans="1:4" ht="16.5" thickTop="1" x14ac:dyDescent="0.25"/>
  </sheetData>
  <printOptions horizontalCentered="1" gridLinesSet="0"/>
  <pageMargins left="1.25" right="0.75" top="1" bottom="1" header="0.5" footer="0.5"/>
  <pageSetup scale="9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113">
    <pageSetUpPr fitToPage="1"/>
  </sheetPr>
  <dimension ref="A3:G27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2" width="9.625" style="2"/>
    <col min="3" max="3" width="10.625" style="2" customWidth="1"/>
    <col min="4" max="4" width="9.625" style="2"/>
    <col min="5" max="5" width="10.75" style="2" customWidth="1"/>
    <col min="6" max="6" width="13.875" style="2" customWidth="1"/>
    <col min="7" max="7" width="14.875" style="2" customWidth="1"/>
    <col min="8" max="9" width="9.625" style="2"/>
    <col min="10" max="10" width="11.125" style="2" customWidth="1"/>
    <col min="11" max="16384" width="9.625" style="2"/>
  </cols>
  <sheetData>
    <row r="3" spans="1:7" x14ac:dyDescent="0.25">
      <c r="G3" s="528" t="str">
        <f>'Ex 1'!$K$1</f>
        <v>Revised Exhibit 1</v>
      </c>
    </row>
    <row r="4" spans="1:7" x14ac:dyDescent="0.25">
      <c r="G4" s="30" t="str">
        <f>"Reference Schedule "&amp;Inputs!$A35&amp;""</f>
        <v>Reference Schedule 1.19</v>
      </c>
    </row>
    <row r="5" spans="1:7" x14ac:dyDescent="0.25">
      <c r="G5" s="529" t="str">
        <f>"Sponsoring Witness: "&amp;Inputs!$B35&amp;""</f>
        <v>Sponsoring Witness: Arbough</v>
      </c>
    </row>
    <row r="8" spans="1:7" x14ac:dyDescent="0.25">
      <c r="A8" s="17" t="s">
        <v>230</v>
      </c>
      <c r="B8" s="15"/>
      <c r="C8" s="15"/>
      <c r="D8" s="15"/>
      <c r="E8" s="15"/>
      <c r="F8" s="15"/>
      <c r="G8" s="15"/>
    </row>
    <row r="9" spans="1:7" x14ac:dyDescent="0.25">
      <c r="A9" s="15"/>
      <c r="B9" s="15"/>
      <c r="C9" s="15"/>
      <c r="D9" s="15"/>
      <c r="E9" s="15"/>
      <c r="F9" s="15"/>
      <c r="G9" s="15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x14ac:dyDescent="0.25">
      <c r="A11" s="527" t="s">
        <v>702</v>
      </c>
      <c r="B11" s="15"/>
      <c r="C11" s="15"/>
      <c r="D11" s="15"/>
      <c r="E11" s="15"/>
      <c r="F11" s="15"/>
      <c r="G11" s="15"/>
    </row>
    <row r="12" spans="1:7" x14ac:dyDescent="0.25">
      <c r="A12" s="4" t="str">
        <f>"For the Twelve Months Ended "&amp;Inputs!B3&amp;""</f>
        <v>For the Twelve Months Ended March 31, 2012</v>
      </c>
      <c r="B12" s="15"/>
      <c r="C12" s="15"/>
      <c r="D12" s="15"/>
      <c r="E12" s="15"/>
      <c r="F12" s="15"/>
      <c r="G12" s="15"/>
    </row>
    <row r="13" spans="1:7" x14ac:dyDescent="0.25">
      <c r="B13" s="1"/>
    </row>
    <row r="15" spans="1:7" x14ac:dyDescent="0.25">
      <c r="E15" s="8"/>
      <c r="F15" s="8"/>
    </row>
    <row r="16" spans="1:7" x14ac:dyDescent="0.25">
      <c r="E16" s="88"/>
      <c r="F16" s="88"/>
      <c r="G16" s="88"/>
    </row>
    <row r="17" spans="1:7" x14ac:dyDescent="0.25">
      <c r="E17" s="24"/>
      <c r="F17" s="24"/>
      <c r="G17" s="3"/>
    </row>
    <row r="18" spans="1:7" x14ac:dyDescent="0.25">
      <c r="A18" s="14" t="s">
        <v>99</v>
      </c>
      <c r="E18" s="8"/>
      <c r="G18" s="112">
        <v>3297759.15</v>
      </c>
    </row>
    <row r="19" spans="1:7" x14ac:dyDescent="0.25">
      <c r="E19" s="8"/>
      <c r="G19" s="88"/>
    </row>
    <row r="20" spans="1:7" x14ac:dyDescent="0.25">
      <c r="A20" s="530" t="s">
        <v>546</v>
      </c>
      <c r="E20" s="8"/>
      <c r="G20" s="432">
        <v>4537049.45</v>
      </c>
    </row>
    <row r="21" spans="1:7" x14ac:dyDescent="0.25">
      <c r="E21" s="8"/>
      <c r="G21" s="88"/>
    </row>
    <row r="22" spans="1:7" x14ac:dyDescent="0.25">
      <c r="A22" s="530" t="s">
        <v>549</v>
      </c>
      <c r="E22" s="25"/>
      <c r="F22" s="84"/>
      <c r="G22" s="56">
        <f>+G20-G18</f>
        <v>1239290.3000000003</v>
      </c>
    </row>
    <row r="23" spans="1:7" x14ac:dyDescent="0.25">
      <c r="E23" s="24"/>
      <c r="F23" s="25"/>
      <c r="G23" s="3"/>
    </row>
    <row r="24" spans="1:7" x14ac:dyDescent="0.25">
      <c r="A24" s="14" t="s">
        <v>395</v>
      </c>
      <c r="B24" s="9"/>
      <c r="C24" s="9"/>
      <c r="D24" s="9"/>
      <c r="E24" s="144"/>
      <c r="F24" s="23"/>
      <c r="G24" s="436">
        <f>Allocators!C41</f>
        <v>0.87070000000000003</v>
      </c>
    </row>
    <row r="25" spans="1:7" x14ac:dyDescent="0.25">
      <c r="A25" s="1"/>
      <c r="E25" s="144"/>
      <c r="F25" s="24"/>
      <c r="G25" s="3"/>
    </row>
    <row r="26" spans="1:7" ht="16.5" thickBot="1" x14ac:dyDescent="0.3">
      <c r="A26" s="530" t="s">
        <v>302</v>
      </c>
      <c r="B26" s="9"/>
      <c r="C26" s="9"/>
      <c r="D26" s="9"/>
      <c r="E26" s="144"/>
      <c r="F26" s="56"/>
      <c r="G26" s="47">
        <f>ROUND(G22*G24,0)</f>
        <v>1079050</v>
      </c>
    </row>
    <row r="27" spans="1:7" ht="16.5" thickTop="1" x14ac:dyDescent="0.25"/>
  </sheetData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78"/>
  <sheetViews>
    <sheetView showGridLines="0" zoomScale="70" zoomScaleNormal="70" workbookViewId="0">
      <selection activeCell="J21" sqref="J21"/>
    </sheetView>
  </sheetViews>
  <sheetFormatPr defaultRowHeight="15.75" x14ac:dyDescent="0.25"/>
  <cols>
    <col min="1" max="1" width="3.875" style="272" bestFit="1" customWidth="1"/>
    <col min="2" max="2" width="51.875" style="273" customWidth="1"/>
    <col min="3" max="3" width="1.625" style="274" customWidth="1"/>
    <col min="4" max="4" width="16.625" style="273" customWidth="1"/>
    <col min="5" max="5" width="1.625" style="274" customWidth="1"/>
    <col min="6" max="6" width="16.625" style="273" customWidth="1"/>
    <col min="7" max="7" width="1.625" style="274" customWidth="1"/>
    <col min="8" max="8" width="16.625" style="273" customWidth="1"/>
    <col min="9" max="16384" width="9" style="273"/>
  </cols>
  <sheetData>
    <row r="1" spans="1:15" x14ac:dyDescent="0.25">
      <c r="H1" s="529" t="s">
        <v>62</v>
      </c>
    </row>
    <row r="2" spans="1:15" x14ac:dyDescent="0.25">
      <c r="H2" s="529" t="str">
        <f>"Sponsoring Witness: "&amp;Inputs!$B9&amp;""</f>
        <v>Sponsoring Witness: Blake</v>
      </c>
      <c r="J2" s="529"/>
    </row>
    <row r="3" spans="1:15" x14ac:dyDescent="0.25">
      <c r="H3" s="275" t="s">
        <v>22</v>
      </c>
    </row>
    <row r="4" spans="1:15" x14ac:dyDescent="0.25">
      <c r="A4" s="803" t="s">
        <v>230</v>
      </c>
      <c r="B4" s="803"/>
      <c r="C4" s="803"/>
      <c r="D4" s="803"/>
      <c r="E4" s="803"/>
      <c r="F4" s="803"/>
      <c r="G4" s="803"/>
      <c r="H4" s="803"/>
    </row>
    <row r="6" spans="1:15" x14ac:dyDescent="0.25">
      <c r="A6" s="804" t="s">
        <v>329</v>
      </c>
      <c r="B6" s="804"/>
      <c r="C6" s="804"/>
      <c r="D6" s="804"/>
      <c r="E6" s="804"/>
      <c r="F6" s="804"/>
      <c r="G6" s="804"/>
      <c r="H6" s="804"/>
    </row>
    <row r="7" spans="1:15" x14ac:dyDescent="0.25">
      <c r="A7" s="805" t="str">
        <f>"At "&amp;Inputs!B3&amp;""</f>
        <v>At March 31, 2012</v>
      </c>
      <c r="B7" s="805"/>
      <c r="C7" s="805"/>
      <c r="D7" s="805"/>
      <c r="E7" s="805"/>
      <c r="F7" s="805"/>
      <c r="G7" s="805"/>
      <c r="H7" s="805"/>
      <c r="I7" s="339"/>
      <c r="J7" s="339"/>
    </row>
    <row r="8" spans="1:15" x14ac:dyDescent="0.25">
      <c r="A8" s="806"/>
      <c r="B8" s="802"/>
      <c r="C8" s="802"/>
      <c r="D8" s="802"/>
      <c r="E8" s="802"/>
      <c r="F8" s="802"/>
      <c r="G8" s="802"/>
      <c r="H8" s="802"/>
      <c r="I8" s="321"/>
      <c r="J8" s="321"/>
      <c r="K8" s="321"/>
      <c r="L8" s="321"/>
      <c r="M8" s="321"/>
      <c r="N8" s="321"/>
      <c r="O8" s="321"/>
    </row>
    <row r="9" spans="1:15" x14ac:dyDescent="0.25">
      <c r="A9" s="266"/>
    </row>
    <row r="10" spans="1:15" x14ac:dyDescent="0.25">
      <c r="A10" s="266"/>
      <c r="B10" s="267"/>
      <c r="C10" s="268"/>
      <c r="D10" s="267"/>
      <c r="E10" s="268"/>
      <c r="F10" s="267"/>
      <c r="G10" s="268"/>
      <c r="H10" s="267"/>
    </row>
    <row r="11" spans="1:15" x14ac:dyDescent="0.25">
      <c r="A11" s="266"/>
      <c r="D11" s="603"/>
      <c r="E11" s="268"/>
      <c r="F11" s="603"/>
      <c r="G11" s="268"/>
      <c r="H11" s="603"/>
    </row>
    <row r="12" spans="1:15" x14ac:dyDescent="0.25">
      <c r="A12" s="266"/>
      <c r="B12" s="267"/>
      <c r="C12" s="268"/>
      <c r="D12" s="269" t="s">
        <v>239</v>
      </c>
      <c r="E12" s="268"/>
      <c r="F12" s="269" t="s">
        <v>261</v>
      </c>
      <c r="G12" s="268"/>
      <c r="H12" s="269" t="s">
        <v>151</v>
      </c>
    </row>
    <row r="13" spans="1:15" x14ac:dyDescent="0.25">
      <c r="A13" s="266"/>
      <c r="B13" s="267"/>
      <c r="C13" s="268"/>
      <c r="D13" s="269" t="s">
        <v>238</v>
      </c>
      <c r="E13" s="268"/>
      <c r="F13" s="269" t="s">
        <v>238</v>
      </c>
      <c r="G13" s="268"/>
      <c r="H13" s="269" t="s">
        <v>237</v>
      </c>
    </row>
    <row r="14" spans="1:15" x14ac:dyDescent="0.25">
      <c r="A14" s="266"/>
      <c r="B14" s="267" t="s">
        <v>291</v>
      </c>
      <c r="C14" s="268"/>
      <c r="D14" s="269" t="s">
        <v>213</v>
      </c>
      <c r="E14" s="268"/>
      <c r="F14" s="269" t="s">
        <v>213</v>
      </c>
      <c r="G14" s="268"/>
      <c r="H14" s="269" t="s">
        <v>213</v>
      </c>
    </row>
    <row r="15" spans="1:15" x14ac:dyDescent="0.25">
      <c r="A15" s="266"/>
      <c r="B15" s="270">
        <v>-1</v>
      </c>
      <c r="C15" s="268"/>
      <c r="D15" s="271">
        <v>-2</v>
      </c>
      <c r="E15" s="268"/>
      <c r="F15" s="270">
        <v>-3</v>
      </c>
      <c r="G15" s="268"/>
      <c r="H15" s="270">
        <v>-4</v>
      </c>
    </row>
    <row r="16" spans="1:15" x14ac:dyDescent="0.25">
      <c r="A16" s="266"/>
      <c r="B16" s="267"/>
      <c r="C16" s="268"/>
      <c r="D16" s="267"/>
      <c r="E16" s="268"/>
      <c r="F16" s="267"/>
      <c r="G16" s="268"/>
      <c r="H16" s="267"/>
    </row>
    <row r="17" spans="1:10" ht="21" customHeight="1" x14ac:dyDescent="0.25">
      <c r="A17" s="276">
        <f>1</f>
        <v>1</v>
      </c>
      <c r="B17" s="277" t="s">
        <v>319</v>
      </c>
      <c r="C17" s="278"/>
      <c r="D17" s="279">
        <f>+'SuppSch-Ex 3(Page1,2)'!D18</f>
        <v>5952611566</v>
      </c>
      <c r="E17" s="265"/>
      <c r="F17" s="279">
        <f>+'SuppSch-Ex 3(Page1,2)'!N18</f>
        <v>885196895</v>
      </c>
      <c r="G17" s="265"/>
      <c r="H17" s="279">
        <f>D17+F17</f>
        <v>6837808461</v>
      </c>
    </row>
    <row r="18" spans="1:10" ht="21" customHeight="1" x14ac:dyDescent="0.25">
      <c r="A18" s="266"/>
      <c r="B18" s="277"/>
      <c r="C18" s="278"/>
      <c r="D18" s="280"/>
      <c r="E18" s="265"/>
      <c r="F18" s="280"/>
      <c r="G18" s="265"/>
      <c r="H18" s="280"/>
    </row>
    <row r="19" spans="1:10" ht="21" customHeight="1" x14ac:dyDescent="0.25">
      <c r="A19" s="276">
        <f>1+A17</f>
        <v>2</v>
      </c>
      <c r="B19" s="277" t="s">
        <v>293</v>
      </c>
      <c r="C19" s="278"/>
      <c r="D19" s="280"/>
      <c r="E19" s="265"/>
      <c r="F19" s="280"/>
      <c r="G19" s="265"/>
      <c r="H19" s="280"/>
    </row>
    <row r="20" spans="1:10" ht="21" customHeight="1" x14ac:dyDescent="0.25">
      <c r="A20" s="276">
        <f>1+A19</f>
        <v>3</v>
      </c>
      <c r="B20" s="277" t="s">
        <v>320</v>
      </c>
      <c r="C20" s="278"/>
      <c r="D20" s="280">
        <f>+'SuppSch-Ex 3(Page1,2)'!D21</f>
        <v>2091528460</v>
      </c>
      <c r="E20" s="265"/>
      <c r="F20" s="280">
        <f>+'SuppSch-Ex 3(Page1,2)'!N21</f>
        <v>327757743</v>
      </c>
      <c r="G20" s="265"/>
      <c r="H20" s="280">
        <f>D20+F20</f>
        <v>2419286203</v>
      </c>
    </row>
    <row r="21" spans="1:10" ht="21" customHeight="1" x14ac:dyDescent="0.25">
      <c r="A21" s="276"/>
      <c r="B21" s="277"/>
      <c r="C21" s="278"/>
      <c r="D21" s="280"/>
      <c r="E21" s="265"/>
      <c r="F21" s="280"/>
      <c r="G21" s="265"/>
      <c r="H21" s="280"/>
    </row>
    <row r="22" spans="1:10" ht="21" customHeight="1" x14ac:dyDescent="0.25">
      <c r="A22" s="276">
        <f>1+A20</f>
        <v>4</v>
      </c>
      <c r="B22" s="277" t="s">
        <v>321</v>
      </c>
      <c r="C22" s="278"/>
      <c r="D22" s="281">
        <f>+D17-D20</f>
        <v>3861083106</v>
      </c>
      <c r="E22" s="265"/>
      <c r="F22" s="281">
        <f>+F17-F20</f>
        <v>557439152</v>
      </c>
      <c r="G22" s="265"/>
      <c r="H22" s="281">
        <f>+H17-H20</f>
        <v>4418522258</v>
      </c>
    </row>
    <row r="23" spans="1:10" ht="21" customHeight="1" x14ac:dyDescent="0.25">
      <c r="A23" s="276"/>
      <c r="B23" s="277"/>
      <c r="C23" s="278"/>
      <c r="D23" s="280"/>
      <c r="E23" s="265"/>
      <c r="F23" s="280"/>
      <c r="G23" s="265"/>
      <c r="H23" s="280"/>
    </row>
    <row r="24" spans="1:10" ht="21" customHeight="1" x14ac:dyDescent="0.25">
      <c r="A24" s="276">
        <f>1+A22</f>
        <v>5</v>
      </c>
      <c r="B24" s="277" t="s">
        <v>293</v>
      </c>
      <c r="C24" s="278"/>
      <c r="D24" s="280"/>
      <c r="E24" s="265"/>
      <c r="F24" s="280"/>
      <c r="G24" s="265"/>
      <c r="H24" s="280"/>
    </row>
    <row r="25" spans="1:10" ht="21" customHeight="1" x14ac:dyDescent="0.25">
      <c r="A25" s="276">
        <f>1+A24</f>
        <v>6</v>
      </c>
      <c r="B25" s="277" t="s">
        <v>322</v>
      </c>
      <c r="C25" s="278"/>
      <c r="D25" s="280">
        <f>+'SuppSch-Ex 3(Page1,2)'!D26</f>
        <v>2936189</v>
      </c>
      <c r="E25" s="265"/>
      <c r="F25" s="280">
        <f>+'SuppSch-Ex 3(Page1,2)'!N26</f>
        <v>211698</v>
      </c>
      <c r="G25" s="265"/>
      <c r="H25" s="280">
        <f>D25+F25</f>
        <v>3147887</v>
      </c>
    </row>
    <row r="26" spans="1:10" ht="21" customHeight="1" x14ac:dyDescent="0.25">
      <c r="A26" s="276">
        <f>1+A25</f>
        <v>7</v>
      </c>
      <c r="B26" s="277" t="s">
        <v>323</v>
      </c>
      <c r="C26" s="278"/>
      <c r="D26" s="280">
        <f>+'SuppSch-Ex 3(Page1,2)'!D27</f>
        <v>439643557</v>
      </c>
      <c r="E26" s="265"/>
      <c r="F26" s="280">
        <f>+'SuppSch-Ex 3(Page1,2)'!N27</f>
        <v>62552930</v>
      </c>
      <c r="G26" s="265"/>
      <c r="H26" s="280">
        <f>D26+F26</f>
        <v>502196487</v>
      </c>
    </row>
    <row r="27" spans="1:10" ht="21" customHeight="1" x14ac:dyDescent="0.25">
      <c r="A27" s="276">
        <f>1+A26</f>
        <v>8</v>
      </c>
      <c r="B27" s="282" t="s">
        <v>28</v>
      </c>
      <c r="C27" s="278"/>
      <c r="D27" s="280">
        <f>+'SuppSch-Ex 3(Page1,2)'!D28</f>
        <v>46378395</v>
      </c>
      <c r="E27" s="265"/>
      <c r="F27" s="280">
        <f>+'SuppSch-Ex 3(Page1,2)'!N28</f>
        <v>7207891</v>
      </c>
      <c r="G27" s="265"/>
      <c r="H27" s="280">
        <f>D27+F27</f>
        <v>53586286</v>
      </c>
      <c r="J27" s="283"/>
    </row>
    <row r="28" spans="1:10" ht="21" customHeight="1" x14ac:dyDescent="0.25">
      <c r="A28" s="276">
        <f>1+A27</f>
        <v>9</v>
      </c>
      <c r="B28" s="282" t="s">
        <v>27</v>
      </c>
      <c r="C28" s="278"/>
      <c r="D28" s="280">
        <f>+'SuppSch-Ex 3(Page1,2)'!D29</f>
        <v>3062358</v>
      </c>
      <c r="E28" s="265"/>
      <c r="F28" s="280">
        <f>+'SuppSch-Ex 3(Page1,2)'!N29</f>
        <v>475936</v>
      </c>
      <c r="G28" s="265"/>
      <c r="H28" s="280">
        <f>D28+F28</f>
        <v>3538294</v>
      </c>
      <c r="J28" s="283"/>
    </row>
    <row r="29" spans="1:10" ht="21" customHeight="1" x14ac:dyDescent="0.25">
      <c r="A29" s="276">
        <f>1+A28</f>
        <v>10</v>
      </c>
      <c r="B29" s="14" t="s">
        <v>49</v>
      </c>
      <c r="C29" s="278"/>
      <c r="D29" s="280">
        <f>+'SuppSch-Ex 3(Page1,2)'!D30</f>
        <v>86299724</v>
      </c>
      <c r="E29" s="265"/>
      <c r="F29" s="280">
        <f>+'SuppSch-Ex 3(Page1,2)'!N30</f>
        <v>14408015</v>
      </c>
      <c r="G29" s="265"/>
      <c r="H29" s="280">
        <f>D29+F29</f>
        <v>100707739</v>
      </c>
    </row>
    <row r="30" spans="1:10" ht="21" customHeight="1" x14ac:dyDescent="0.25">
      <c r="A30" s="276"/>
      <c r="B30" s="277"/>
      <c r="C30" s="278"/>
      <c r="D30" s="265"/>
      <c r="E30" s="265"/>
      <c r="F30" s="265"/>
      <c r="G30" s="265"/>
      <c r="H30" s="265"/>
    </row>
    <row r="31" spans="1:10" ht="21" customHeight="1" x14ac:dyDescent="0.25">
      <c r="A31" s="276">
        <f>1+A29</f>
        <v>11</v>
      </c>
      <c r="B31" s="277" t="s">
        <v>324</v>
      </c>
      <c r="C31" s="278"/>
      <c r="D31" s="281">
        <f>SUM(D25:D30)</f>
        <v>578320223</v>
      </c>
      <c r="E31" s="265"/>
      <c r="F31" s="281">
        <f>SUM(F25:F30)</f>
        <v>84856470</v>
      </c>
      <c r="G31" s="265"/>
      <c r="H31" s="281">
        <f>SUM(H25:H30)</f>
        <v>663176693</v>
      </c>
    </row>
    <row r="32" spans="1:10" ht="21" customHeight="1" x14ac:dyDescent="0.25">
      <c r="A32" s="266"/>
      <c r="B32" s="277"/>
      <c r="C32" s="278"/>
      <c r="D32" s="280"/>
      <c r="E32" s="265"/>
      <c r="F32" s="280"/>
      <c r="G32" s="265"/>
      <c r="H32" s="280"/>
    </row>
    <row r="33" spans="1:8" ht="21" customHeight="1" x14ac:dyDescent="0.25">
      <c r="A33" s="266">
        <f>1+A31</f>
        <v>12</v>
      </c>
      <c r="B33" s="277" t="s">
        <v>292</v>
      </c>
      <c r="C33" s="278"/>
      <c r="D33" s="280"/>
      <c r="E33" s="265"/>
      <c r="F33" s="280"/>
      <c r="G33" s="265"/>
      <c r="H33" s="280"/>
    </row>
    <row r="34" spans="1:8" ht="21" customHeight="1" x14ac:dyDescent="0.25">
      <c r="A34" s="276">
        <f>1+A33</f>
        <v>13</v>
      </c>
      <c r="B34" s="14" t="s">
        <v>50</v>
      </c>
      <c r="C34" s="278"/>
      <c r="D34" s="280">
        <f>+'SuppSch-Ex 3(Page1,2)'!D37</f>
        <v>115098215</v>
      </c>
      <c r="E34" s="265"/>
      <c r="F34" s="280">
        <f>+'SuppSch-Ex 3(Page1,2)'!N37</f>
        <v>17615722</v>
      </c>
      <c r="G34" s="265"/>
      <c r="H34" s="280">
        <f>D34+F34</f>
        <v>132713937</v>
      </c>
    </row>
    <row r="35" spans="1:8" ht="21" customHeight="1" x14ac:dyDescent="0.25">
      <c r="A35" s="276">
        <f>1+A34</f>
        <v>14</v>
      </c>
      <c r="B35" s="14" t="s">
        <v>51</v>
      </c>
      <c r="C35" s="278"/>
      <c r="D35" s="280">
        <f>+'SuppSch-Ex 3(Page1,2)'!D38</f>
        <v>6567467</v>
      </c>
      <c r="E35" s="265"/>
      <c r="F35" s="280">
        <f>+'SuppSch-Ex 3(Page1,2)'!N38</f>
        <v>759209</v>
      </c>
      <c r="G35" s="265"/>
      <c r="H35" s="280">
        <f>D35+F35</f>
        <v>7326676</v>
      </c>
    </row>
    <row r="36" spans="1:8" ht="21" customHeight="1" x14ac:dyDescent="0.25">
      <c r="A36" s="276">
        <f>1+A35</f>
        <v>15</v>
      </c>
      <c r="B36" s="277" t="s">
        <v>264</v>
      </c>
      <c r="C36" s="278"/>
      <c r="D36" s="280">
        <f>+'SuppSch-Ex 3(Page1,2)'!D39</f>
        <v>415671</v>
      </c>
      <c r="E36" s="265"/>
      <c r="F36" s="280">
        <f>+'SuppSch-Ex 3(Page1,2)'!N39</f>
        <v>64601</v>
      </c>
      <c r="G36" s="265"/>
      <c r="H36" s="280">
        <f>D36+F36</f>
        <v>480272</v>
      </c>
    </row>
    <row r="37" spans="1:8" ht="21" customHeight="1" x14ac:dyDescent="0.25">
      <c r="A37" s="276">
        <f>1+A36</f>
        <v>16</v>
      </c>
      <c r="B37" s="205" t="s">
        <v>52</v>
      </c>
      <c r="C37" s="278"/>
      <c r="D37" s="280">
        <f>+'SuppSch-Ex 3(Page1,2)'!D40</f>
        <v>96090910</v>
      </c>
      <c r="E37" s="265"/>
      <c r="F37" s="280">
        <f>+'SuppSch-Ex 3(Page1,2)'!N40</f>
        <v>7976529</v>
      </c>
      <c r="G37" s="265"/>
      <c r="H37" s="280">
        <f>D37+F37</f>
        <v>104067439</v>
      </c>
    </row>
    <row r="38" spans="1:8" ht="21" customHeight="1" x14ac:dyDescent="0.25">
      <c r="A38" s="276"/>
      <c r="B38" s="277"/>
      <c r="C38" s="278"/>
      <c r="D38" s="265"/>
      <c r="E38" s="265"/>
      <c r="F38" s="265"/>
      <c r="G38" s="265"/>
      <c r="H38" s="265"/>
    </row>
    <row r="39" spans="1:8" ht="21" customHeight="1" x14ac:dyDescent="0.25">
      <c r="A39" s="276">
        <f>1+A37</f>
        <v>17</v>
      </c>
      <c r="B39" s="282" t="s">
        <v>327</v>
      </c>
      <c r="C39" s="278"/>
      <c r="D39" s="281">
        <f>SUM(D34:D37)</f>
        <v>218172263</v>
      </c>
      <c r="E39" s="265"/>
      <c r="F39" s="281">
        <f>SUM(F34:F37)</f>
        <v>26416061</v>
      </c>
      <c r="G39" s="265"/>
      <c r="H39" s="281">
        <f>SUM(H34:H37)</f>
        <v>244588324</v>
      </c>
    </row>
    <row r="40" spans="1:8" ht="21" customHeight="1" x14ac:dyDescent="0.25">
      <c r="A40" s="276"/>
      <c r="B40" s="277"/>
      <c r="C40" s="278"/>
      <c r="D40" s="280"/>
      <c r="E40" s="265"/>
      <c r="F40" s="280"/>
      <c r="G40" s="265"/>
      <c r="H40" s="280"/>
    </row>
    <row r="41" spans="1:8" ht="21" customHeight="1" thickBot="1" x14ac:dyDescent="0.3">
      <c r="A41" s="276">
        <f>1+A39</f>
        <v>18</v>
      </c>
      <c r="B41" s="205" t="s">
        <v>328</v>
      </c>
      <c r="C41" s="278"/>
      <c r="D41" s="284">
        <f>D22-D31+D39</f>
        <v>3500935146</v>
      </c>
      <c r="E41" s="285"/>
      <c r="F41" s="284">
        <f>F22-F31+F39</f>
        <v>498998743</v>
      </c>
      <c r="G41" s="285"/>
      <c r="H41" s="284">
        <f>H22-H31+H39</f>
        <v>3999933889</v>
      </c>
    </row>
    <row r="42" spans="1:8" ht="21" customHeight="1" thickTop="1" x14ac:dyDescent="0.25">
      <c r="A42" s="276"/>
      <c r="B42" s="277"/>
      <c r="C42" s="278"/>
      <c r="D42" s="280"/>
      <c r="E42" s="265"/>
      <c r="F42" s="280"/>
      <c r="G42" s="265"/>
      <c r="H42" s="280"/>
    </row>
    <row r="43" spans="1:8" ht="21" customHeight="1" x14ac:dyDescent="0.25">
      <c r="A43" s="276"/>
      <c r="C43" s="278"/>
      <c r="D43" s="280"/>
      <c r="E43" s="265"/>
      <c r="F43" s="280"/>
      <c r="G43" s="265"/>
      <c r="H43" s="280"/>
    </row>
    <row r="44" spans="1:8" ht="21" customHeight="1" thickBot="1" x14ac:dyDescent="0.3">
      <c r="A44" s="286">
        <f>1+A41</f>
        <v>19</v>
      </c>
      <c r="B44" s="14" t="s">
        <v>43</v>
      </c>
      <c r="C44" s="273"/>
      <c r="D44" s="287">
        <f>ROUND(D41/$H41,4)</f>
        <v>0.87519999999999998</v>
      </c>
      <c r="E44" s="273"/>
      <c r="F44" s="287">
        <f>ROUND(F41/$H41,4)</f>
        <v>0.12479999999999999</v>
      </c>
      <c r="G44" s="273"/>
      <c r="H44" s="287">
        <f>ROUND(H41/$H41,4)</f>
        <v>1</v>
      </c>
    </row>
    <row r="45" spans="1:8" ht="21" customHeight="1" thickTop="1" x14ac:dyDescent="0.25">
      <c r="A45" s="273"/>
      <c r="C45" s="273"/>
      <c r="E45" s="273"/>
      <c r="G45" s="273"/>
    </row>
    <row r="46" spans="1:8" ht="21" customHeight="1" x14ac:dyDescent="0.25">
      <c r="A46" s="310" t="s">
        <v>290</v>
      </c>
      <c r="B46" s="14" t="s">
        <v>92</v>
      </c>
      <c r="C46" s="273"/>
      <c r="E46" s="273"/>
      <c r="G46" s="273"/>
    </row>
    <row r="47" spans="1:8" ht="21" customHeight="1" x14ac:dyDescent="0.25">
      <c r="A47" s="311" t="s">
        <v>337</v>
      </c>
      <c r="B47" s="2" t="s">
        <v>326</v>
      </c>
      <c r="C47" s="273"/>
      <c r="E47" s="273"/>
      <c r="G47" s="273"/>
    </row>
    <row r="48" spans="1:8" ht="21" customHeight="1" x14ac:dyDescent="0.25">
      <c r="A48" s="311" t="s">
        <v>354</v>
      </c>
      <c r="B48" s="424" t="s">
        <v>367</v>
      </c>
      <c r="C48" s="273"/>
      <c r="E48" s="273"/>
      <c r="G48" s="273"/>
    </row>
    <row r="50" spans="1:8" x14ac:dyDescent="0.25">
      <c r="H50" s="398" t="str">
        <f>H1</f>
        <v>Exhibit 3</v>
      </c>
    </row>
    <row r="51" spans="1:8" x14ac:dyDescent="0.25">
      <c r="H51" s="275" t="str">
        <f>+H2</f>
        <v>Sponsoring Witness: Blake</v>
      </c>
    </row>
    <row r="52" spans="1:8" x14ac:dyDescent="0.25">
      <c r="H52" s="275" t="s">
        <v>21</v>
      </c>
    </row>
    <row r="53" spans="1:8" x14ac:dyDescent="0.25">
      <c r="A53" s="803" t="s">
        <v>230</v>
      </c>
      <c r="B53" s="803"/>
      <c r="C53" s="803"/>
      <c r="D53" s="803"/>
      <c r="E53" s="803"/>
      <c r="F53" s="803"/>
      <c r="G53" s="803"/>
      <c r="H53" s="803"/>
    </row>
    <row r="55" spans="1:8" x14ac:dyDescent="0.25">
      <c r="A55" s="804" t="s">
        <v>17</v>
      </c>
      <c r="B55" s="804"/>
      <c r="C55" s="804"/>
      <c r="D55" s="804"/>
      <c r="E55" s="804"/>
      <c r="F55" s="804"/>
      <c r="G55" s="804"/>
      <c r="H55" s="804"/>
    </row>
    <row r="56" spans="1:8" x14ac:dyDescent="0.25">
      <c r="A56" s="802" t="str">
        <f>+A7</f>
        <v>At March 31, 2012</v>
      </c>
      <c r="B56" s="802"/>
      <c r="C56" s="802"/>
      <c r="D56" s="802"/>
      <c r="E56" s="802"/>
      <c r="F56" s="802"/>
      <c r="G56" s="802"/>
      <c r="H56" s="802"/>
    </row>
    <row r="57" spans="1:8" x14ac:dyDescent="0.25">
      <c r="A57" s="802"/>
      <c r="B57" s="802"/>
      <c r="C57" s="802"/>
      <c r="D57" s="802"/>
      <c r="E57" s="802"/>
      <c r="F57" s="802"/>
      <c r="G57" s="802"/>
      <c r="H57" s="802"/>
    </row>
    <row r="58" spans="1:8" x14ac:dyDescent="0.25">
      <c r="A58" s="266"/>
    </row>
    <row r="59" spans="1:8" x14ac:dyDescent="0.25">
      <c r="A59" s="266"/>
      <c r="B59" s="267"/>
      <c r="C59" s="268"/>
      <c r="D59" s="267"/>
      <c r="E59" s="268"/>
      <c r="F59" s="267"/>
      <c r="G59" s="268"/>
      <c r="H59" s="267"/>
    </row>
    <row r="60" spans="1:8" x14ac:dyDescent="0.25">
      <c r="A60" s="266"/>
      <c r="E60" s="268"/>
      <c r="G60" s="268"/>
    </row>
    <row r="61" spans="1:8" x14ac:dyDescent="0.25">
      <c r="A61" s="266"/>
      <c r="B61" s="267"/>
      <c r="C61" s="268"/>
      <c r="D61" s="269" t="s">
        <v>239</v>
      </c>
      <c r="E61" s="268"/>
      <c r="F61" s="269" t="s">
        <v>261</v>
      </c>
      <c r="G61" s="268"/>
      <c r="H61" s="269" t="s">
        <v>151</v>
      </c>
    </row>
    <row r="62" spans="1:8" x14ac:dyDescent="0.25">
      <c r="A62" s="266"/>
      <c r="B62" s="267"/>
      <c r="C62" s="268"/>
      <c r="D62" s="269" t="s">
        <v>238</v>
      </c>
      <c r="E62" s="268"/>
      <c r="F62" s="269" t="s">
        <v>238</v>
      </c>
      <c r="G62" s="268"/>
      <c r="H62" s="269" t="s">
        <v>237</v>
      </c>
    </row>
    <row r="63" spans="1:8" x14ac:dyDescent="0.25">
      <c r="A63" s="266"/>
      <c r="B63" s="267" t="s">
        <v>291</v>
      </c>
      <c r="C63" s="268"/>
      <c r="D63" s="269" t="s">
        <v>213</v>
      </c>
      <c r="E63" s="268"/>
      <c r="F63" s="269" t="s">
        <v>213</v>
      </c>
      <c r="G63" s="268"/>
      <c r="H63" s="269" t="s">
        <v>213</v>
      </c>
    </row>
    <row r="64" spans="1:8" x14ac:dyDescent="0.25">
      <c r="A64" s="266"/>
      <c r="B64" s="270">
        <v>-1</v>
      </c>
      <c r="C64" s="268"/>
      <c r="D64" s="271">
        <v>-2</v>
      </c>
      <c r="E64" s="268"/>
      <c r="F64" s="270">
        <v>-3</v>
      </c>
      <c r="G64" s="268"/>
      <c r="H64" s="270">
        <v>-4</v>
      </c>
    </row>
    <row r="65" spans="1:8" x14ac:dyDescent="0.25">
      <c r="A65" s="266"/>
      <c r="B65" s="267"/>
      <c r="C65" s="268"/>
      <c r="D65" s="267"/>
      <c r="E65" s="268"/>
      <c r="F65" s="267"/>
      <c r="G65" s="268"/>
      <c r="H65" s="267"/>
    </row>
    <row r="66" spans="1:8" ht="21" customHeight="1" x14ac:dyDescent="0.25">
      <c r="A66" s="288" t="s">
        <v>170</v>
      </c>
      <c r="B66" s="100" t="s">
        <v>20</v>
      </c>
    </row>
    <row r="67" spans="1:8" ht="21" customHeight="1" x14ac:dyDescent="0.25">
      <c r="A67" s="288"/>
      <c r="B67" s="533" t="str">
        <f>"12 months ended "&amp;Inputs!B3&amp;""</f>
        <v>12 months ended March 31, 2012</v>
      </c>
      <c r="D67" s="279">
        <f>+'SuppSch-Ex 3(Page1,2)'!D70</f>
        <v>858787982.80655313</v>
      </c>
      <c r="E67" s="285"/>
      <c r="F67" s="279">
        <f>+'SuppSch-Ex 3(Page1,2)'!N70</f>
        <v>122073406.59344685</v>
      </c>
      <c r="H67" s="279">
        <f>+D67+F67</f>
        <v>980861389.39999998</v>
      </c>
    </row>
    <row r="68" spans="1:8" ht="21" customHeight="1" x14ac:dyDescent="0.25">
      <c r="A68" s="288"/>
      <c r="B68" s="100"/>
    </row>
    <row r="69" spans="1:8" ht="21" customHeight="1" x14ac:dyDescent="0.25">
      <c r="A69" s="289" t="s">
        <v>171</v>
      </c>
      <c r="B69" s="100" t="s">
        <v>293</v>
      </c>
    </row>
    <row r="70" spans="1:8" ht="21" customHeight="1" x14ac:dyDescent="0.25">
      <c r="A70" s="289" t="s">
        <v>172</v>
      </c>
      <c r="B70" s="290" t="s">
        <v>18</v>
      </c>
      <c r="D70" s="291">
        <f>+'SuppSch-Ex 3(Page1,2)'!D73</f>
        <v>90060700.788345426</v>
      </c>
      <c r="E70" s="265"/>
      <c r="F70" s="291">
        <f>+'SuppSch-Ex 3(Page1,2)'!N73</f>
        <v>13768569.021654591</v>
      </c>
      <c r="G70" s="280"/>
      <c r="H70" s="291">
        <f>+D70+F70</f>
        <v>103829269.81000002</v>
      </c>
    </row>
    <row r="71" spans="1:8" ht="21" customHeight="1" x14ac:dyDescent="0.25">
      <c r="A71" s="289" t="s">
        <v>173</v>
      </c>
      <c r="B71" s="292" t="s">
        <v>19</v>
      </c>
      <c r="D71" s="279">
        <f>SUM(D70)</f>
        <v>90060700.788345426</v>
      </c>
      <c r="F71" s="279">
        <f>SUM(F70)</f>
        <v>13768569.021654591</v>
      </c>
      <c r="H71" s="279">
        <f>SUM(H70)</f>
        <v>103829269.81000002</v>
      </c>
    </row>
    <row r="72" spans="1:8" ht="21" customHeight="1" x14ac:dyDescent="0.25">
      <c r="A72" s="289"/>
      <c r="B72" s="293"/>
      <c r="D72" s="294"/>
      <c r="F72" s="294"/>
      <c r="H72" s="294"/>
    </row>
    <row r="73" spans="1:8" ht="21" customHeight="1" thickBot="1" x14ac:dyDescent="0.3">
      <c r="A73" s="289" t="s">
        <v>174</v>
      </c>
      <c r="B73" s="402" t="s">
        <v>193</v>
      </c>
      <c r="D73" s="284">
        <f>D67-D71</f>
        <v>768727282.01820767</v>
      </c>
      <c r="F73" s="284">
        <f>F67-F71</f>
        <v>108304837.57179226</v>
      </c>
      <c r="H73" s="284">
        <f>H67-H71</f>
        <v>877032119.58999991</v>
      </c>
    </row>
    <row r="74" spans="1:8" ht="21" customHeight="1" thickTop="1" x14ac:dyDescent="0.25">
      <c r="A74" s="289"/>
      <c r="B74" s="293"/>
    </row>
    <row r="75" spans="1:8" ht="21" customHeight="1" thickBot="1" x14ac:dyDescent="0.3">
      <c r="A75" s="289" t="s">
        <v>14</v>
      </c>
      <c r="B75" s="293" t="s">
        <v>24</v>
      </c>
      <c r="D75" s="295">
        <f>ROUND(+D73*0.125,0)</f>
        <v>96090910</v>
      </c>
      <c r="E75" s="293"/>
      <c r="F75" s="399">
        <f>+'SuppSch-Ex 3(Page1,2)'!N78</f>
        <v>7976529</v>
      </c>
      <c r="G75" s="293"/>
      <c r="H75" s="295">
        <f>+D75+F75</f>
        <v>104067439</v>
      </c>
    </row>
    <row r="76" spans="1:8" ht="21" customHeight="1" thickTop="1" x14ac:dyDescent="0.25">
      <c r="B76" s="293" t="s">
        <v>23</v>
      </c>
    </row>
    <row r="77" spans="1:8" ht="21" customHeight="1" x14ac:dyDescent="0.25">
      <c r="B77" s="293" t="s">
        <v>25</v>
      </c>
    </row>
    <row r="78" spans="1:8" ht="21" customHeight="1" x14ac:dyDescent="0.25">
      <c r="B78" s="273" t="s">
        <v>26</v>
      </c>
    </row>
  </sheetData>
  <mergeCells count="8">
    <mergeCell ref="A57:H57"/>
    <mergeCell ref="A53:H53"/>
    <mergeCell ref="A55:H55"/>
    <mergeCell ref="A56:H56"/>
    <mergeCell ref="A4:H4"/>
    <mergeCell ref="A6:H6"/>
    <mergeCell ref="A7:H7"/>
    <mergeCell ref="A8:H8"/>
  </mergeCells>
  <phoneticPr fontId="5" type="noConversion"/>
  <printOptions horizontalCentered="1"/>
  <pageMargins left="1.25" right="0.75" top="0.75" bottom="1" header="0.25" footer="0.5"/>
  <pageSetup scale="62" orientation="portrait" r:id="rId1"/>
  <headerFooter alignWithMargins="0"/>
  <rowBreaks count="1" manualBreakCount="1">
    <brk id="49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pageSetUpPr fitToPage="1"/>
  </sheetPr>
  <dimension ref="A1:G27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13.125" style="144" customWidth="1"/>
    <col min="4" max="4" width="16.75" style="144" customWidth="1"/>
    <col min="5" max="16384" width="9.625" style="144"/>
  </cols>
  <sheetData>
    <row r="1" spans="1:4" ht="15.75" x14ac:dyDescent="0.25">
      <c r="A1" s="1"/>
      <c r="B1" s="526"/>
      <c r="C1" s="526"/>
      <c r="D1" s="526"/>
    </row>
    <row r="2" spans="1:4" ht="15.75" x14ac:dyDescent="0.25">
      <c r="A2" s="526"/>
      <c r="B2" s="526"/>
      <c r="C2" s="526"/>
      <c r="D2" s="526"/>
    </row>
    <row r="3" spans="1:4" ht="15.75" x14ac:dyDescent="0.25">
      <c r="A3" s="526"/>
      <c r="B3" s="526"/>
      <c r="C3" s="1"/>
      <c r="D3" s="528" t="str">
        <f>'Ex 1'!$K$1</f>
        <v>Revised Exhibit 1</v>
      </c>
    </row>
    <row r="4" spans="1:4" ht="15.75" x14ac:dyDescent="0.25">
      <c r="A4" s="526"/>
      <c r="B4" s="526"/>
      <c r="C4" s="1"/>
      <c r="D4" s="30" t="str">
        <f>"Reference Schedule "&amp;Inputs!$A36&amp;""</f>
        <v>Reference Schedule 1.20</v>
      </c>
    </row>
    <row r="5" spans="1:4" ht="15.75" x14ac:dyDescent="0.25">
      <c r="A5" s="526"/>
      <c r="B5" s="526"/>
      <c r="C5" s="526"/>
      <c r="D5" s="529" t="str">
        <f>"Sponsoring Witness: "&amp;Inputs!$B36&amp;""</f>
        <v>Sponsoring Witness: Bellar</v>
      </c>
    </row>
    <row r="6" spans="1:4" ht="15.75" x14ac:dyDescent="0.25">
      <c r="A6" s="526"/>
      <c r="B6" s="526"/>
      <c r="C6" s="526"/>
      <c r="D6" s="526"/>
    </row>
    <row r="7" spans="1:4" ht="15.75" x14ac:dyDescent="0.25">
      <c r="A7" s="526"/>
      <c r="B7" s="526"/>
      <c r="C7" s="526"/>
      <c r="D7" s="526"/>
    </row>
    <row r="8" spans="1:4" ht="15.75" x14ac:dyDescent="0.25">
      <c r="A8" s="17" t="s">
        <v>230</v>
      </c>
      <c r="B8" s="4"/>
      <c r="C8" s="6"/>
      <c r="D8" s="6"/>
    </row>
    <row r="9" spans="1:4" ht="15.75" x14ac:dyDescent="0.25">
      <c r="A9" s="4"/>
      <c r="B9" s="4"/>
      <c r="C9" s="526"/>
      <c r="D9" s="526"/>
    </row>
    <row r="10" spans="1:4" ht="15.75" x14ac:dyDescent="0.25">
      <c r="A10" s="4"/>
      <c r="B10" s="4"/>
      <c r="C10" s="526"/>
      <c r="D10" s="526"/>
    </row>
    <row r="11" spans="1:4" ht="15.75" x14ac:dyDescent="0.25">
      <c r="A11" s="808" t="s">
        <v>551</v>
      </c>
      <c r="B11" s="824"/>
      <c r="C11" s="824"/>
      <c r="D11" s="824"/>
    </row>
    <row r="12" spans="1:4" ht="15.75" x14ac:dyDescent="0.25">
      <c r="A12" s="825" t="str">
        <f>"For the Twelve Months Ended "&amp;Inputs!B3&amp;""</f>
        <v>For the Twelve Months Ended March 31, 2012</v>
      </c>
      <c r="B12" s="825"/>
      <c r="C12" s="825"/>
      <c r="D12" s="825"/>
    </row>
    <row r="13" spans="1:4" ht="15.75" x14ac:dyDescent="0.25">
      <c r="A13" s="1"/>
      <c r="B13" s="526"/>
      <c r="C13" s="526"/>
      <c r="D13" s="526"/>
    </row>
    <row r="14" spans="1:4" ht="15.75" x14ac:dyDescent="0.25">
      <c r="A14" s="1"/>
      <c r="B14" s="526"/>
      <c r="C14" s="526"/>
      <c r="D14" s="526"/>
    </row>
    <row r="15" spans="1:4" ht="15.75" x14ac:dyDescent="0.25">
      <c r="A15" s="1"/>
      <c r="B15" s="526"/>
      <c r="C15" s="526"/>
      <c r="D15" s="526"/>
    </row>
    <row r="16" spans="1:4" ht="15.75" x14ac:dyDescent="0.25">
      <c r="A16" s="526"/>
      <c r="B16" s="511"/>
      <c r="C16" s="511"/>
      <c r="D16" s="88"/>
    </row>
    <row r="17" spans="1:7" ht="15.75" x14ac:dyDescent="0.25">
      <c r="A17" s="531"/>
      <c r="B17" s="34"/>
      <c r="C17" s="36"/>
      <c r="D17" s="36"/>
    </row>
    <row r="18" spans="1:7" ht="15.75" x14ac:dyDescent="0.25">
      <c r="A18" s="33" t="s">
        <v>552</v>
      </c>
      <c r="B18" s="146"/>
      <c r="C18" s="49"/>
      <c r="D18" s="117">
        <v>5659872</v>
      </c>
    </row>
    <row r="19" spans="1:7" ht="15.75" x14ac:dyDescent="0.25">
      <c r="A19" s="29"/>
      <c r="B19" s="36"/>
      <c r="C19" s="36"/>
      <c r="D19" s="252"/>
    </row>
    <row r="20" spans="1:7" ht="15.75" x14ac:dyDescent="0.25">
      <c r="A20" s="33" t="s">
        <v>553</v>
      </c>
      <c r="B20" s="146"/>
      <c r="C20" s="49"/>
      <c r="D20" s="640">
        <v>1814150</v>
      </c>
    </row>
    <row r="21" spans="1:7" ht="15.75" x14ac:dyDescent="0.25">
      <c r="A21" s="33"/>
      <c r="B21" s="146"/>
      <c r="C21" s="49"/>
      <c r="D21" s="40"/>
    </row>
    <row r="22" spans="1:7" ht="15.75" x14ac:dyDescent="0.25">
      <c r="A22" s="33" t="s">
        <v>549</v>
      </c>
      <c r="B22" s="56"/>
      <c r="C22" s="56"/>
      <c r="D22" s="374">
        <f>D20-D18</f>
        <v>-3845722</v>
      </c>
    </row>
    <row r="23" spans="1:7" ht="15.75" x14ac:dyDescent="0.25">
      <c r="D23" s="526"/>
    </row>
    <row r="24" spans="1:7" s="526" customFormat="1" ht="15.75" x14ac:dyDescent="0.25">
      <c r="A24" s="1" t="s">
        <v>395</v>
      </c>
      <c r="D24" s="351">
        <f>Allocators!C43</f>
        <v>0.86548999999999998</v>
      </c>
      <c r="E24" s="3"/>
      <c r="G24" s="3"/>
    </row>
    <row r="25" spans="1:7" s="526" customFormat="1" ht="15.75" x14ac:dyDescent="0.25">
      <c r="A25" s="1"/>
    </row>
    <row r="26" spans="1:7" s="526" customFormat="1" ht="16.5" thickBot="1" x14ac:dyDescent="0.3">
      <c r="A26" s="530" t="s">
        <v>557</v>
      </c>
      <c r="D26" s="55">
        <f>ROUND(D22*D24,0)</f>
        <v>-3328434</v>
      </c>
    </row>
    <row r="27" spans="1:7" ht="12.75" thickTop="1" x14ac:dyDescent="0.15"/>
  </sheetData>
  <mergeCells count="2">
    <mergeCell ref="A11:D11"/>
    <mergeCell ref="A12:D12"/>
  </mergeCells>
  <printOptions horizontalCentered="1" gridLinesSet="0"/>
  <pageMargins left="1.25" right="0.75" top="1" bottom="1" header="0.5" footer="0.5"/>
  <pageSetup orientation="portrait" cellComments="asDisplaye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2">
    <pageSetUpPr fitToPage="1"/>
  </sheetPr>
  <dimension ref="A1:K50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15.75" style="421" customWidth="1"/>
    <col min="2" max="2" width="9.625" style="421"/>
    <col min="3" max="3" width="9.75" style="421" bestFit="1" customWidth="1"/>
    <col min="4" max="4" width="19.25" style="421" customWidth="1"/>
    <col min="5" max="5" width="25.125" style="421" customWidth="1"/>
    <col min="6" max="6" width="16.125" style="421" customWidth="1"/>
    <col min="7" max="7" width="9.625" style="421"/>
    <col min="8" max="8" width="11.625" style="421" bestFit="1" customWidth="1"/>
    <col min="9" max="16384" width="9.625" style="421"/>
  </cols>
  <sheetData>
    <row r="1" spans="1:6" ht="15.75" x14ac:dyDescent="0.25">
      <c r="A1" s="636"/>
      <c r="B1" s="636"/>
      <c r="C1" s="636"/>
      <c r="D1" s="636"/>
    </row>
    <row r="2" spans="1:6" ht="15.75" x14ac:dyDescent="0.25">
      <c r="A2" s="100"/>
      <c r="B2" s="100"/>
      <c r="C2" s="100"/>
      <c r="D2" s="100"/>
    </row>
    <row r="3" spans="1:6" ht="15.75" x14ac:dyDescent="0.25">
      <c r="A3" s="100"/>
      <c r="B3" s="100"/>
      <c r="C3" s="100"/>
      <c r="D3" s="100"/>
      <c r="F3" s="528" t="str">
        <f>'Ex 1'!$K$1</f>
        <v>Revised Exhibit 1</v>
      </c>
    </row>
    <row r="4" spans="1:6" ht="15.75" x14ac:dyDescent="0.25">
      <c r="A4" s="100"/>
      <c r="B4" s="100"/>
      <c r="C4" s="100"/>
      <c r="D4" s="100"/>
      <c r="F4" s="30" t="str">
        <f>"Reference Schedule "&amp;Inputs!$A37&amp;""</f>
        <v>Reference Schedule 1.21</v>
      </c>
    </row>
    <row r="5" spans="1:6" ht="15.75" x14ac:dyDescent="0.25">
      <c r="A5" s="100"/>
      <c r="B5" s="100"/>
      <c r="C5" s="100"/>
      <c r="D5" s="100"/>
      <c r="F5" s="529" t="str">
        <f>"Sponsoring Witness: "&amp;Inputs!$B37&amp;""</f>
        <v>Sponsoring Witness: Scott</v>
      </c>
    </row>
    <row r="6" spans="1:6" ht="15.75" x14ac:dyDescent="0.25">
      <c r="A6" s="100"/>
      <c r="B6" s="100"/>
      <c r="C6" s="100"/>
      <c r="D6" s="100"/>
      <c r="F6" s="275"/>
    </row>
    <row r="7" spans="1:6" ht="15.75" x14ac:dyDescent="0.25">
      <c r="A7" s="100"/>
      <c r="B7" s="100"/>
      <c r="C7" s="100"/>
      <c r="D7" s="100"/>
      <c r="F7" s="275"/>
    </row>
    <row r="8" spans="1:6" ht="15.75" x14ac:dyDescent="0.25">
      <c r="A8" s="825" t="s">
        <v>230</v>
      </c>
      <c r="B8" s="825"/>
      <c r="C8" s="825"/>
      <c r="D8" s="825"/>
      <c r="E8" s="825"/>
      <c r="F8" s="825"/>
    </row>
    <row r="9" spans="1:6" ht="15.75" x14ac:dyDescent="0.25">
      <c r="A9" s="541"/>
      <c r="B9" s="541"/>
      <c r="C9" s="541"/>
      <c r="D9" s="541"/>
    </row>
    <row r="10" spans="1:6" ht="15.75" x14ac:dyDescent="0.25">
      <c r="A10" s="541"/>
      <c r="B10" s="541"/>
      <c r="C10" s="541"/>
      <c r="D10" s="541"/>
    </row>
    <row r="11" spans="1:6" ht="15.75" x14ac:dyDescent="0.25">
      <c r="A11" s="527" t="s">
        <v>705</v>
      </c>
      <c r="B11" s="338"/>
      <c r="C11" s="338"/>
      <c r="D11" s="338"/>
      <c r="E11" s="338"/>
      <c r="F11" s="338"/>
    </row>
    <row r="12" spans="1:6" ht="15.75" x14ac:dyDescent="0.25">
      <c r="A12" s="4" t="str">
        <f>"For the Twelve Months Ended "&amp;Inputs!B3&amp;""</f>
        <v>For the Twelve Months Ended March 31, 2012</v>
      </c>
      <c r="B12" s="338"/>
      <c r="C12" s="338"/>
      <c r="D12" s="338"/>
      <c r="E12" s="338"/>
      <c r="F12" s="338"/>
    </row>
    <row r="13" spans="1:6" ht="15.75" x14ac:dyDescent="0.25">
      <c r="A13" s="277"/>
      <c r="B13" s="100"/>
      <c r="C13" s="100"/>
      <c r="D13" s="100"/>
    </row>
    <row r="14" spans="1:6" ht="15.75" x14ac:dyDescent="0.25">
      <c r="A14" s="100"/>
      <c r="B14" s="100"/>
      <c r="C14" s="100"/>
      <c r="D14" s="100"/>
    </row>
    <row r="15" spans="1:6" ht="15.75" x14ac:dyDescent="0.25">
      <c r="A15" s="100"/>
      <c r="B15" s="100"/>
      <c r="C15" s="100"/>
      <c r="D15" s="100"/>
      <c r="E15" s="392"/>
      <c r="F15" s="392"/>
    </row>
    <row r="16" spans="1:6" ht="15.75" x14ac:dyDescent="0.25">
      <c r="B16" s="563"/>
      <c r="C16" s="563"/>
      <c r="D16" s="563"/>
      <c r="E16" s="348"/>
      <c r="F16" s="433"/>
    </row>
    <row r="17" spans="1:11" ht="15.75" x14ac:dyDescent="0.25">
      <c r="A17" s="533"/>
      <c r="B17" s="563"/>
      <c r="C17" s="563"/>
      <c r="E17" s="100"/>
    </row>
    <row r="18" spans="1:11" s="144" customFormat="1" ht="15.75" x14ac:dyDescent="0.25">
      <c r="A18" s="530" t="s">
        <v>530</v>
      </c>
      <c r="B18" s="9"/>
      <c r="C18" s="9"/>
      <c r="E18" s="526"/>
      <c r="F18" s="56">
        <v>1300785.67</v>
      </c>
      <c r="H18" s="421"/>
      <c r="I18" s="421"/>
      <c r="J18" s="421"/>
      <c r="K18" s="421"/>
    </row>
    <row r="19" spans="1:11" s="144" customFormat="1" ht="15.75" x14ac:dyDescent="0.25">
      <c r="A19" s="530"/>
      <c r="B19" s="9"/>
      <c r="C19" s="9"/>
      <c r="E19" s="526"/>
      <c r="F19" s="56"/>
      <c r="H19" s="421"/>
      <c r="I19" s="421"/>
      <c r="J19" s="421"/>
      <c r="K19" s="421"/>
    </row>
    <row r="20" spans="1:11" s="144" customFormat="1" ht="15.75" x14ac:dyDescent="0.25">
      <c r="A20" s="530" t="s">
        <v>627</v>
      </c>
      <c r="B20" s="9"/>
      <c r="C20" s="9"/>
      <c r="E20" s="526"/>
      <c r="F20" s="56"/>
      <c r="H20" s="421"/>
      <c r="I20" s="421"/>
      <c r="J20" s="421"/>
      <c r="K20" s="421"/>
    </row>
    <row r="21" spans="1:11" s="144" customFormat="1" ht="15.75" x14ac:dyDescent="0.25">
      <c r="A21" s="530" t="s">
        <v>626</v>
      </c>
      <c r="B21" s="9"/>
      <c r="C21" s="9"/>
      <c r="E21" s="526"/>
      <c r="F21" s="637">
        <v>-949289.47</v>
      </c>
      <c r="H21" s="100"/>
      <c r="I21" s="100"/>
      <c r="J21" s="100"/>
      <c r="K21" s="421"/>
    </row>
    <row r="22" spans="1:11" s="144" customFormat="1" ht="15.75" x14ac:dyDescent="0.25">
      <c r="A22" s="1"/>
      <c r="B22" s="23"/>
      <c r="C22" s="23"/>
      <c r="D22" s="23"/>
      <c r="E22" s="23"/>
      <c r="F22" s="110"/>
      <c r="H22" s="421"/>
      <c r="I22" s="421"/>
      <c r="J22" s="421"/>
      <c r="K22" s="421"/>
    </row>
    <row r="23" spans="1:11" s="144" customFormat="1" ht="15.75" x14ac:dyDescent="0.25">
      <c r="A23" s="530" t="s">
        <v>538</v>
      </c>
      <c r="B23" s="23"/>
      <c r="C23" s="23"/>
      <c r="D23" s="23"/>
      <c r="E23" s="23"/>
      <c r="F23" s="56"/>
      <c r="H23" s="421"/>
      <c r="I23" s="421"/>
      <c r="J23" s="421"/>
      <c r="K23" s="421"/>
    </row>
    <row r="24" spans="1:11" s="144" customFormat="1" ht="15.75" x14ac:dyDescent="0.25">
      <c r="A24" s="530" t="s">
        <v>537</v>
      </c>
      <c r="B24" s="23"/>
      <c r="C24" s="23"/>
      <c r="D24" s="23"/>
      <c r="E24" s="23"/>
      <c r="F24" s="56">
        <f>SUM(F18:F21)</f>
        <v>351496.19999999995</v>
      </c>
      <c r="H24" s="421"/>
      <c r="I24" s="421"/>
      <c r="J24" s="421"/>
      <c r="K24" s="421"/>
    </row>
    <row r="25" spans="1:11" s="144" customFormat="1" ht="15.75" x14ac:dyDescent="0.25">
      <c r="A25" s="1"/>
      <c r="B25" s="9"/>
      <c r="C25" s="9"/>
      <c r="E25" s="526"/>
      <c r="F25" s="56"/>
      <c r="H25" s="421"/>
      <c r="I25" s="421"/>
      <c r="J25" s="421"/>
      <c r="K25" s="421"/>
    </row>
    <row r="26" spans="1:11" s="144" customFormat="1" ht="15.75" x14ac:dyDescent="0.25">
      <c r="A26" s="530" t="s">
        <v>531</v>
      </c>
      <c r="B26" s="9"/>
      <c r="C26" s="9"/>
      <c r="E26" s="526"/>
      <c r="F26" s="36">
        <f>102006.42*9</f>
        <v>918057.78</v>
      </c>
      <c r="H26" s="421"/>
      <c r="I26" s="421"/>
      <c r="J26" s="421"/>
      <c r="K26" s="421"/>
    </row>
    <row r="27" spans="1:11" s="144" customFormat="1" ht="15.75" x14ac:dyDescent="0.25">
      <c r="A27" s="530" t="s">
        <v>532</v>
      </c>
      <c r="B27" s="9"/>
      <c r="C27" s="9"/>
      <c r="E27" s="526"/>
      <c r="F27" s="51">
        <f>32340.1*9</f>
        <v>291060.89999999997</v>
      </c>
      <c r="H27" s="421"/>
      <c r="I27" s="421"/>
      <c r="J27" s="421"/>
      <c r="K27" s="421"/>
    </row>
    <row r="28" spans="1:11" s="144" customFormat="1" ht="15.75" x14ac:dyDescent="0.25">
      <c r="A28" s="526"/>
      <c r="B28" s="526"/>
      <c r="C28" s="526"/>
      <c r="D28" s="526"/>
      <c r="E28" s="526"/>
      <c r="F28" s="526"/>
    </row>
    <row r="29" spans="1:11" s="144" customFormat="1" ht="15.75" x14ac:dyDescent="0.25">
      <c r="A29" s="530" t="s">
        <v>629</v>
      </c>
      <c r="B29" s="23"/>
      <c r="C29" s="23"/>
      <c r="D29" s="23"/>
      <c r="E29" s="23"/>
      <c r="F29" s="148"/>
      <c r="H29" s="421"/>
      <c r="I29" s="421"/>
      <c r="J29" s="421"/>
      <c r="K29" s="421"/>
    </row>
    <row r="30" spans="1:11" s="144" customFormat="1" ht="15.75" x14ac:dyDescent="0.25">
      <c r="A30" s="530" t="s">
        <v>628</v>
      </c>
      <c r="B30" s="23"/>
      <c r="C30" s="23"/>
      <c r="D30" s="23"/>
      <c r="E30" s="23"/>
      <c r="F30" s="56">
        <f>F24-F26-F27</f>
        <v>-857622.48</v>
      </c>
      <c r="H30" s="421"/>
      <c r="I30" s="421"/>
      <c r="J30" s="421"/>
      <c r="K30" s="421"/>
    </row>
    <row r="31" spans="1:11" s="144" customFormat="1" ht="15.75" x14ac:dyDescent="0.25">
      <c r="A31" s="1"/>
      <c r="B31" s="9"/>
      <c r="C31" s="9"/>
      <c r="E31" s="526"/>
      <c r="F31" s="56"/>
      <c r="H31" s="421"/>
      <c r="I31" s="421"/>
      <c r="J31" s="421"/>
      <c r="K31" s="421"/>
    </row>
    <row r="32" spans="1:11" s="144" customFormat="1" ht="15.75" x14ac:dyDescent="0.25">
      <c r="A32" s="530" t="s">
        <v>533</v>
      </c>
      <c r="B32" s="9"/>
      <c r="C32" s="9"/>
      <c r="E32" s="526"/>
      <c r="F32" s="51">
        <v>3</v>
      </c>
      <c r="H32" s="421"/>
      <c r="I32" s="421"/>
      <c r="J32" s="421"/>
      <c r="K32" s="421"/>
    </row>
    <row r="33" spans="1:11" s="144" customFormat="1" ht="15.75" x14ac:dyDescent="0.25">
      <c r="A33" s="1"/>
      <c r="B33" s="9"/>
      <c r="C33" s="9"/>
      <c r="E33" s="526"/>
      <c r="F33" s="56"/>
      <c r="H33" s="421"/>
      <c r="I33" s="421"/>
      <c r="J33" s="421"/>
      <c r="K33" s="421"/>
    </row>
    <row r="34" spans="1:11" s="144" customFormat="1" ht="15.75" x14ac:dyDescent="0.25">
      <c r="A34" s="530" t="s">
        <v>534</v>
      </c>
      <c r="B34" s="9"/>
      <c r="C34" s="9"/>
      <c r="E34" s="526"/>
      <c r="F34" s="56">
        <f>F30/F32</f>
        <v>-285874.15999999997</v>
      </c>
      <c r="H34" s="421"/>
      <c r="I34" s="421"/>
      <c r="J34" s="421"/>
      <c r="K34" s="421"/>
    </row>
    <row r="35" spans="1:11" s="144" customFormat="1" ht="15.75" x14ac:dyDescent="0.25">
      <c r="A35" s="530"/>
      <c r="B35" s="9"/>
      <c r="C35" s="9"/>
      <c r="E35" s="526"/>
      <c r="F35" s="56"/>
      <c r="H35" s="421"/>
      <c r="I35" s="421"/>
      <c r="J35" s="421"/>
      <c r="K35" s="421"/>
    </row>
    <row r="36" spans="1:11" s="144" customFormat="1" ht="15.75" x14ac:dyDescent="0.25">
      <c r="A36" s="530" t="s">
        <v>535</v>
      </c>
      <c r="B36" s="9"/>
      <c r="C36" s="9"/>
      <c r="E36" s="526"/>
      <c r="F36" s="51">
        <f>102006.42*12</f>
        <v>1224077.04</v>
      </c>
      <c r="H36" s="421"/>
      <c r="I36" s="421"/>
      <c r="J36" s="421"/>
      <c r="K36" s="421"/>
    </row>
    <row r="37" spans="1:11" s="144" customFormat="1" ht="15.75" x14ac:dyDescent="0.25">
      <c r="A37" s="530"/>
      <c r="B37" s="9"/>
      <c r="C37" s="9"/>
      <c r="E37" s="526"/>
      <c r="F37" s="36"/>
      <c r="H37" s="421"/>
      <c r="I37" s="421"/>
      <c r="J37" s="421"/>
      <c r="K37" s="421"/>
    </row>
    <row r="38" spans="1:11" s="144" customFormat="1" ht="16.5" thickBot="1" x14ac:dyDescent="0.3">
      <c r="A38" s="530" t="s">
        <v>536</v>
      </c>
      <c r="B38" s="9"/>
      <c r="C38" s="9"/>
      <c r="E38" s="526"/>
      <c r="F38" s="55">
        <f>ROUND(F34-F36,0)</f>
        <v>-1509951</v>
      </c>
    </row>
    <row r="39" spans="1:11" ht="16.5" thickTop="1" x14ac:dyDescent="0.25">
      <c r="A39" s="277"/>
      <c r="B39" s="563"/>
      <c r="C39" s="563"/>
      <c r="D39" s="563"/>
      <c r="E39" s="563"/>
    </row>
    <row r="40" spans="1:11" ht="15.75" x14ac:dyDescent="0.25">
      <c r="A40" s="100"/>
      <c r="B40" s="100"/>
      <c r="C40" s="100"/>
      <c r="D40" s="100"/>
      <c r="E40" s="100"/>
      <c r="F40" s="100"/>
    </row>
    <row r="41" spans="1:11" ht="15.75" x14ac:dyDescent="0.25">
      <c r="A41" s="100"/>
      <c r="B41" s="100"/>
      <c r="C41" s="100"/>
      <c r="D41" s="100"/>
      <c r="E41" s="100"/>
      <c r="F41" s="100"/>
    </row>
    <row r="42" spans="1:11" ht="15.75" x14ac:dyDescent="0.25">
      <c r="A42" s="100"/>
      <c r="B42" s="100"/>
      <c r="C42" s="100"/>
      <c r="D42" s="100"/>
      <c r="E42" s="100"/>
      <c r="F42" s="100"/>
    </row>
    <row r="43" spans="1:11" ht="15.75" x14ac:dyDescent="0.25">
      <c r="A43" s="100"/>
      <c r="B43" s="100"/>
      <c r="C43" s="100"/>
      <c r="D43" s="100"/>
      <c r="E43" s="100"/>
      <c r="F43" s="100"/>
    </row>
    <row r="44" spans="1:11" ht="15.75" x14ac:dyDescent="0.25">
      <c r="A44" s="100"/>
      <c r="B44" s="100"/>
      <c r="C44" s="100"/>
      <c r="D44" s="100"/>
      <c r="E44" s="100"/>
      <c r="F44" s="100"/>
    </row>
    <row r="45" spans="1:11" ht="15.75" x14ac:dyDescent="0.25">
      <c r="A45" s="100"/>
      <c r="B45" s="100"/>
      <c r="C45" s="100"/>
      <c r="D45" s="100"/>
      <c r="E45" s="100"/>
      <c r="F45" s="100"/>
    </row>
    <row r="46" spans="1:11" ht="15.75" x14ac:dyDescent="0.25">
      <c r="A46" s="100"/>
      <c r="B46" s="100"/>
      <c r="C46" s="100"/>
      <c r="D46" s="100"/>
      <c r="E46" s="100"/>
      <c r="F46" s="100"/>
    </row>
    <row r="47" spans="1:11" ht="15.75" x14ac:dyDescent="0.25">
      <c r="A47" s="100"/>
      <c r="B47" s="100"/>
      <c r="C47" s="100"/>
      <c r="D47" s="100"/>
      <c r="E47" s="100"/>
      <c r="F47" s="100"/>
    </row>
    <row r="48" spans="1:11" ht="15.75" x14ac:dyDescent="0.25">
      <c r="A48" s="100"/>
      <c r="B48" s="100"/>
      <c r="C48" s="100"/>
      <c r="D48" s="100"/>
      <c r="E48" s="100"/>
      <c r="F48" s="100"/>
    </row>
    <row r="49" spans="1:6" ht="15.75" x14ac:dyDescent="0.25">
      <c r="A49" s="100"/>
      <c r="B49" s="100"/>
      <c r="C49" s="100"/>
      <c r="D49" s="100"/>
      <c r="E49" s="100"/>
      <c r="F49" s="100"/>
    </row>
    <row r="50" spans="1:6" ht="15.75" x14ac:dyDescent="0.25">
      <c r="A50" s="100"/>
      <c r="B50" s="100"/>
      <c r="C50" s="100"/>
      <c r="D50" s="100"/>
      <c r="E50" s="100"/>
      <c r="F50" s="100"/>
    </row>
  </sheetData>
  <mergeCells count="1">
    <mergeCell ref="A8:F8"/>
  </mergeCells>
  <printOptions horizontalCentered="1" gridLinesSet="0"/>
  <pageMargins left="1.25" right="0.75" top="1" bottom="1" header="0.5" footer="0.5"/>
  <pageSetup scale="81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3">
    <pageSetUpPr fitToPage="1"/>
  </sheetPr>
  <dimension ref="A1:E32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46.75" style="421" customWidth="1"/>
    <col min="2" max="2" width="9.875" style="421" customWidth="1"/>
    <col min="3" max="3" width="14.625" style="421" customWidth="1"/>
    <col min="4" max="16384" width="9.625" style="421"/>
  </cols>
  <sheetData>
    <row r="1" spans="1:5" ht="15.75" x14ac:dyDescent="0.25">
      <c r="A1" s="1"/>
      <c r="B1" s="526"/>
      <c r="C1" s="526"/>
    </row>
    <row r="2" spans="1:5" ht="15.75" x14ac:dyDescent="0.25">
      <c r="A2" s="526"/>
      <c r="B2" s="526"/>
      <c r="C2" s="526"/>
    </row>
    <row r="3" spans="1:5" ht="15.75" x14ac:dyDescent="0.25">
      <c r="A3" s="526"/>
      <c r="B3" s="526"/>
      <c r="C3" s="528" t="str">
        <f>'Ex 1'!$K$1</f>
        <v>Revised Exhibit 1</v>
      </c>
    </row>
    <row r="4" spans="1:5" ht="15.75" x14ac:dyDescent="0.25">
      <c r="A4" s="526"/>
      <c r="B4" s="526"/>
      <c r="C4" s="30" t="str">
        <f>"Reference Schedule "&amp;Inputs!$A38&amp;""</f>
        <v>Reference Schedule 1.22</v>
      </c>
    </row>
    <row r="5" spans="1:5" ht="15.75" x14ac:dyDescent="0.25">
      <c r="A5" s="526"/>
      <c r="B5" s="526"/>
      <c r="C5" s="529" t="str">
        <f>"Sponsoring Witness: "&amp;Inputs!$B38&amp;""</f>
        <v>Sponsoring Witness: Bellar</v>
      </c>
    </row>
    <row r="6" spans="1:5" ht="15.75" x14ac:dyDescent="0.25">
      <c r="A6" s="526"/>
      <c r="B6" s="526"/>
      <c r="C6" s="526"/>
    </row>
    <row r="7" spans="1:5" ht="15.75" x14ac:dyDescent="0.25">
      <c r="A7" s="526"/>
      <c r="B7" s="526"/>
      <c r="C7" s="526"/>
    </row>
    <row r="8" spans="1:5" ht="15.75" x14ac:dyDescent="0.25">
      <c r="A8" s="800" t="s">
        <v>230</v>
      </c>
      <c r="B8" s="800"/>
      <c r="C8" s="800"/>
    </row>
    <row r="9" spans="1:5" ht="15.75" x14ac:dyDescent="0.25">
      <c r="A9" s="4"/>
      <c r="B9" s="4"/>
      <c r="C9" s="526"/>
    </row>
    <row r="10" spans="1:5" ht="15.75" x14ac:dyDescent="0.25">
      <c r="A10" s="4"/>
      <c r="B10" s="4"/>
      <c r="C10" s="526"/>
    </row>
    <row r="11" spans="1:5" ht="15.75" x14ac:dyDescent="0.25">
      <c r="A11" s="808" t="s">
        <v>541</v>
      </c>
      <c r="B11" s="827"/>
      <c r="C11" s="827"/>
    </row>
    <row r="12" spans="1:5" ht="15.75" x14ac:dyDescent="0.25">
      <c r="A12" s="800" t="str">
        <f>"For the Twelve Months Ended "&amp;Inputs!B3&amp;""</f>
        <v>For the Twelve Months Ended March 31, 2012</v>
      </c>
      <c r="B12" s="800"/>
      <c r="C12" s="800"/>
      <c r="D12" s="634"/>
      <c r="E12" s="634"/>
    </row>
    <row r="13" spans="1:5" ht="15.75" x14ac:dyDescent="0.25">
      <c r="A13" s="1"/>
      <c r="B13" s="526"/>
      <c r="C13" s="526"/>
    </row>
    <row r="14" spans="1:5" x14ac:dyDescent="0.15">
      <c r="A14" s="828"/>
      <c r="B14" s="828"/>
      <c r="C14" s="828"/>
    </row>
    <row r="15" spans="1:5" x14ac:dyDescent="0.15">
      <c r="A15" s="828"/>
      <c r="B15" s="828"/>
      <c r="C15" s="828"/>
    </row>
    <row r="16" spans="1:5" ht="15.75" x14ac:dyDescent="0.25">
      <c r="A16" s="144"/>
      <c r="B16" s="511"/>
      <c r="C16" s="511"/>
    </row>
    <row r="17" spans="1:3" ht="15.75" x14ac:dyDescent="0.25">
      <c r="A17" s="531"/>
      <c r="B17" s="34"/>
      <c r="C17" s="36"/>
    </row>
    <row r="18" spans="1:3" ht="15.75" x14ac:dyDescent="0.25">
      <c r="A18" s="33" t="s">
        <v>542</v>
      </c>
      <c r="B18" s="146"/>
      <c r="C18" s="56">
        <v>142520.69</v>
      </c>
    </row>
    <row r="19" spans="1:3" ht="15.75" x14ac:dyDescent="0.25">
      <c r="A19" s="29"/>
      <c r="B19" s="36"/>
      <c r="C19" s="56"/>
    </row>
    <row r="20" spans="1:3" ht="15.75" x14ac:dyDescent="0.25">
      <c r="A20" s="530" t="s">
        <v>378</v>
      </c>
      <c r="B20" s="144"/>
      <c r="C20" s="510">
        <v>3</v>
      </c>
    </row>
    <row r="21" spans="1:3" ht="15.75" x14ac:dyDescent="0.25">
      <c r="A21" s="1"/>
      <c r="B21" s="144"/>
      <c r="C21" s="110"/>
    </row>
    <row r="22" spans="1:3" ht="15.75" x14ac:dyDescent="0.25">
      <c r="A22" s="530" t="s">
        <v>379</v>
      </c>
      <c r="B22" s="144"/>
      <c r="C22" s="56">
        <f>C18/C20</f>
        <v>47506.896666666667</v>
      </c>
    </row>
    <row r="23" spans="1:3" ht="15.75" x14ac:dyDescent="0.25">
      <c r="A23" s="530"/>
      <c r="B23" s="144"/>
      <c r="C23" s="56"/>
    </row>
    <row r="24" spans="1:3" ht="15.75" x14ac:dyDescent="0.25">
      <c r="A24" s="530" t="s">
        <v>633</v>
      </c>
      <c r="B24" s="144"/>
      <c r="C24" s="422">
        <v>0</v>
      </c>
    </row>
    <row r="26" spans="1:3" ht="16.5" thickBot="1" x14ac:dyDescent="0.3">
      <c r="A26" s="530" t="s">
        <v>632</v>
      </c>
      <c r="B26" s="144"/>
      <c r="C26" s="55">
        <f>ROUND(SUM(C22:C24),0)</f>
        <v>47507</v>
      </c>
    </row>
    <row r="27" spans="1:3" ht="15" customHeight="1" thickTop="1" x14ac:dyDescent="0.15">
      <c r="A27" s="144"/>
      <c r="B27" s="144"/>
      <c r="C27" s="144"/>
    </row>
    <row r="28" spans="1:3" ht="15.75" x14ac:dyDescent="0.25">
      <c r="A28" s="638"/>
      <c r="B28" s="427"/>
    </row>
    <row r="29" spans="1:3" ht="15.75" x14ac:dyDescent="0.25">
      <c r="A29" s="639"/>
      <c r="B29" s="427"/>
    </row>
    <row r="30" spans="1:3" ht="15.75" x14ac:dyDescent="0.15">
      <c r="A30" s="826"/>
      <c r="B30" s="826"/>
    </row>
    <row r="31" spans="1:3" x14ac:dyDescent="0.15">
      <c r="A31" s="427"/>
      <c r="B31" s="427"/>
    </row>
    <row r="32" spans="1:3" ht="15.75" x14ac:dyDescent="0.25">
      <c r="A32" s="638"/>
      <c r="B32" s="427"/>
    </row>
  </sheetData>
  <mergeCells count="5">
    <mergeCell ref="A30:B30"/>
    <mergeCell ref="A8:C8"/>
    <mergeCell ref="A11:C11"/>
    <mergeCell ref="A12:C12"/>
    <mergeCell ref="A14:C15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1"/>
  <dimension ref="A1:F53"/>
  <sheetViews>
    <sheetView showGridLines="0" zoomScaleNormal="100" zoomScaleSheetLayoutView="70" workbookViewId="0">
      <selection activeCell="D16" sqref="D16"/>
    </sheetView>
  </sheetViews>
  <sheetFormatPr defaultColWidth="9.625" defaultRowHeight="12" x14ac:dyDescent="0.15"/>
  <cols>
    <col min="1" max="1" width="40.125" style="144" customWidth="1"/>
    <col min="2" max="2" width="9" style="144" customWidth="1"/>
    <col min="3" max="3" width="9.125" style="144" customWidth="1"/>
    <col min="4" max="4" width="16.75" style="144" customWidth="1"/>
    <col min="5" max="5" width="4.375" style="144" customWidth="1"/>
    <col min="6" max="6" width="13.5" style="144" customWidth="1"/>
    <col min="7" max="16384" width="9.625" style="144"/>
  </cols>
  <sheetData>
    <row r="1" spans="1:6" ht="15.75" x14ac:dyDescent="0.25">
      <c r="A1" s="1"/>
      <c r="B1" s="2"/>
      <c r="C1" s="2"/>
      <c r="D1" s="2"/>
    </row>
    <row r="2" spans="1:6" ht="15.75" x14ac:dyDescent="0.25">
      <c r="A2" s="2"/>
      <c r="B2" s="2"/>
      <c r="C2" s="2"/>
      <c r="D2" s="2"/>
    </row>
    <row r="3" spans="1:6" ht="15.75" x14ac:dyDescent="0.25">
      <c r="A3" s="2"/>
      <c r="B3" s="2"/>
      <c r="C3" s="1"/>
      <c r="E3" s="528" t="str">
        <f>'Ex 1'!$K$1</f>
        <v>Revised Exhibit 1</v>
      </c>
    </row>
    <row r="4" spans="1:6" ht="15.75" x14ac:dyDescent="0.25">
      <c r="A4" s="2"/>
      <c r="B4" s="2"/>
      <c r="C4" s="1"/>
      <c r="E4" s="30" t="str">
        <f>"Reference Schedule "&amp;Inputs!$A39&amp;""</f>
        <v>Reference Schedule 1.23</v>
      </c>
    </row>
    <row r="5" spans="1:6" ht="15.75" x14ac:dyDescent="0.25">
      <c r="A5" s="2"/>
      <c r="B5" s="2"/>
      <c r="C5" s="2"/>
      <c r="E5" s="529" t="str">
        <f>"Sponsoring Witness: "&amp;Inputs!$B39&amp;""</f>
        <v>Sponsoring Witness: Bellar</v>
      </c>
    </row>
    <row r="6" spans="1:6" ht="15.75" x14ac:dyDescent="0.25">
      <c r="A6" s="2"/>
      <c r="B6" s="2"/>
      <c r="C6" s="2"/>
      <c r="D6" s="2"/>
    </row>
    <row r="7" spans="1:6" ht="15.75" x14ac:dyDescent="0.25">
      <c r="A7" s="2"/>
      <c r="B7" s="2"/>
      <c r="C7" s="2"/>
      <c r="D7" s="2"/>
    </row>
    <row r="8" spans="1:6" ht="15.75" x14ac:dyDescent="0.25">
      <c r="A8" s="4" t="s">
        <v>230</v>
      </c>
      <c r="B8" s="4"/>
      <c r="C8" s="6"/>
      <c r="D8" s="6"/>
    </row>
    <row r="9" spans="1:6" ht="15.75" x14ac:dyDescent="0.25">
      <c r="A9" s="4"/>
      <c r="B9" s="4"/>
      <c r="C9" s="2"/>
      <c r="D9" s="2"/>
    </row>
    <row r="10" spans="1:6" ht="15.75" x14ac:dyDescent="0.25">
      <c r="A10" s="807"/>
      <c r="B10" s="824"/>
      <c r="C10" s="824"/>
      <c r="D10" s="824"/>
    </row>
    <row r="11" spans="1:6" ht="15.75" x14ac:dyDescent="0.25">
      <c r="A11" s="808" t="s">
        <v>703</v>
      </c>
      <c r="B11" s="824"/>
      <c r="C11" s="824"/>
      <c r="D11" s="824"/>
    </row>
    <row r="12" spans="1:6" ht="15.75" x14ac:dyDescent="0.25">
      <c r="A12" s="800" t="str">
        <f>"For the Twelve Months Ended "&amp;Inputs!B3&amp;""</f>
        <v>For the Twelve Months Ended March 31, 2012</v>
      </c>
      <c r="B12" s="800"/>
      <c r="C12" s="800"/>
      <c r="D12" s="800"/>
    </row>
    <row r="13" spans="1:6" ht="15.75" x14ac:dyDescent="0.25">
      <c r="A13" s="1"/>
      <c r="B13" s="2"/>
      <c r="C13" s="2"/>
      <c r="D13" s="2"/>
    </row>
    <row r="14" spans="1:6" ht="15.75" x14ac:dyDescent="0.25">
      <c r="A14" s="1"/>
      <c r="B14" s="2"/>
      <c r="C14" s="2"/>
      <c r="D14" s="2"/>
    </row>
    <row r="15" spans="1:6" ht="15.75" x14ac:dyDescent="0.25">
      <c r="B15" s="21"/>
      <c r="C15" s="21"/>
      <c r="D15" s="21"/>
    </row>
    <row r="16" spans="1:6" ht="15.75" x14ac:dyDescent="0.25">
      <c r="A16" s="33" t="s">
        <v>558</v>
      </c>
      <c r="B16" s="146"/>
      <c r="C16" s="49"/>
      <c r="D16" s="153">
        <v>2030000</v>
      </c>
      <c r="F16" s="449"/>
    </row>
    <row r="17" spans="1:6" ht="15.75" x14ac:dyDescent="0.25">
      <c r="A17" s="296"/>
      <c r="B17" s="36"/>
      <c r="C17" s="36"/>
      <c r="D17" s="75"/>
      <c r="F17" s="75"/>
    </row>
    <row r="18" spans="1:6" ht="15.75" x14ac:dyDescent="0.25">
      <c r="A18" s="296" t="s">
        <v>148</v>
      </c>
      <c r="D18" s="432">
        <v>3</v>
      </c>
      <c r="F18" s="75"/>
    </row>
    <row r="19" spans="1:6" ht="15.75" x14ac:dyDescent="0.25">
      <c r="A19" s="296"/>
      <c r="D19" s="75"/>
      <c r="F19" s="75"/>
    </row>
    <row r="20" spans="1:6" ht="15.75" x14ac:dyDescent="0.25">
      <c r="A20" s="296" t="s">
        <v>149</v>
      </c>
      <c r="D20" s="153">
        <f>ROUND(D16/D18,0)</f>
        <v>676667</v>
      </c>
      <c r="F20" s="75"/>
    </row>
    <row r="21" spans="1:6" ht="15.75" x14ac:dyDescent="0.25">
      <c r="A21" s="296"/>
      <c r="D21" s="75"/>
      <c r="F21" s="75"/>
    </row>
    <row r="22" spans="1:6" ht="15.75" x14ac:dyDescent="0.25">
      <c r="A22" s="33" t="s">
        <v>559</v>
      </c>
      <c r="D22" s="432">
        <v>0</v>
      </c>
      <c r="F22" s="75"/>
    </row>
    <row r="23" spans="1:6" ht="15.75" x14ac:dyDescent="0.25">
      <c r="A23" s="531"/>
      <c r="D23" s="75"/>
      <c r="F23" s="75"/>
    </row>
    <row r="24" spans="1:6" ht="15.75" x14ac:dyDescent="0.25">
      <c r="A24" s="33" t="s">
        <v>560</v>
      </c>
      <c r="D24" s="715">
        <f>SUM(D20:D22)</f>
        <v>676667</v>
      </c>
      <c r="F24" s="75"/>
    </row>
    <row r="25" spans="1:6" ht="15.75" x14ac:dyDescent="0.25">
      <c r="A25" s="296"/>
      <c r="D25" s="75"/>
      <c r="F25" s="75"/>
    </row>
    <row r="26" spans="1:6" ht="15.75" x14ac:dyDescent="0.25">
      <c r="A26" s="296"/>
      <c r="D26" s="75"/>
      <c r="F26" s="75"/>
    </row>
    <row r="27" spans="1:6" ht="15.75" customHeight="1" x14ac:dyDescent="0.25">
      <c r="A27" s="33" t="s">
        <v>561</v>
      </c>
      <c r="D27" s="153">
        <v>391721.56</v>
      </c>
      <c r="E27" s="450"/>
      <c r="F27" s="38"/>
    </row>
    <row r="28" spans="1:6" ht="15.75" customHeight="1" x14ac:dyDescent="0.25">
      <c r="A28" s="33"/>
      <c r="D28" s="38"/>
      <c r="E28" s="450"/>
      <c r="F28" s="38"/>
    </row>
    <row r="29" spans="1:6" ht="15.75" customHeight="1" x14ac:dyDescent="0.25">
      <c r="A29" s="33" t="s">
        <v>562</v>
      </c>
      <c r="C29" s="431"/>
      <c r="D29" s="32">
        <f>-55960.24*12</f>
        <v>-671522.88</v>
      </c>
      <c r="E29" s="450"/>
      <c r="F29" s="38"/>
    </row>
    <row r="30" spans="1:6" ht="15.75" customHeight="1" x14ac:dyDescent="0.25">
      <c r="A30" s="33"/>
      <c r="D30" s="38"/>
      <c r="E30" s="450"/>
      <c r="F30" s="38"/>
    </row>
    <row r="31" spans="1:6" ht="15.75" customHeight="1" x14ac:dyDescent="0.25">
      <c r="A31" s="33" t="s">
        <v>563</v>
      </c>
      <c r="D31" s="715">
        <f>SUM(D27:D29)</f>
        <v>-279801.32</v>
      </c>
      <c r="E31" s="450"/>
      <c r="F31" s="38"/>
    </row>
    <row r="32" spans="1:6" ht="15.75" customHeight="1" x14ac:dyDescent="0.25">
      <c r="A32" s="530"/>
      <c r="D32" s="56"/>
      <c r="F32" s="56"/>
    </row>
    <row r="33" spans="1:6" ht="15.75" x14ac:dyDescent="0.25">
      <c r="A33" s="530"/>
      <c r="D33" s="56"/>
      <c r="F33" s="49"/>
    </row>
    <row r="34" spans="1:6" ht="15.75" x14ac:dyDescent="0.25">
      <c r="A34" s="33" t="s">
        <v>564</v>
      </c>
      <c r="D34" s="153">
        <v>0</v>
      </c>
      <c r="F34" s="148"/>
    </row>
    <row r="35" spans="1:6" ht="15.75" x14ac:dyDescent="0.25">
      <c r="A35" s="33"/>
      <c r="D35" s="38"/>
      <c r="F35" s="148"/>
    </row>
    <row r="36" spans="1:6" ht="15.75" x14ac:dyDescent="0.25">
      <c r="A36" s="33" t="s">
        <v>565</v>
      </c>
      <c r="C36" s="431"/>
      <c r="D36" s="32">
        <f>-(38379.89*11+0.12)</f>
        <v>-422178.91</v>
      </c>
      <c r="F36" s="148"/>
    </row>
    <row r="37" spans="1:6" ht="15.75" x14ac:dyDescent="0.25">
      <c r="A37" s="33"/>
      <c r="D37" s="38"/>
      <c r="F37" s="148"/>
    </row>
    <row r="38" spans="1:6" ht="15.75" x14ac:dyDescent="0.25">
      <c r="A38" s="33" t="s">
        <v>566</v>
      </c>
      <c r="D38" s="715">
        <f>SUM(D34:D36)</f>
        <v>-422178.91</v>
      </c>
    </row>
    <row r="39" spans="1:6" ht="15.75" x14ac:dyDescent="0.25">
      <c r="A39" s="530"/>
      <c r="D39" s="56"/>
    </row>
    <row r="40" spans="1:6" ht="16.5" thickBot="1" x14ac:dyDescent="0.3">
      <c r="A40" s="530" t="s">
        <v>567</v>
      </c>
      <c r="D40" s="55">
        <f>ROUND(D24+D31+D38,0)</f>
        <v>-25313</v>
      </c>
    </row>
    <row r="41" spans="1:6" ht="16.5" thickTop="1" x14ac:dyDescent="0.25">
      <c r="A41" s="14"/>
    </row>
    <row r="53" spans="1:1" ht="15.75" x14ac:dyDescent="0.25">
      <c r="A53" s="451"/>
    </row>
  </sheetData>
  <mergeCells count="3">
    <mergeCell ref="A11:D11"/>
    <mergeCell ref="A12:D12"/>
    <mergeCell ref="A10:D10"/>
  </mergeCells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53"/>
  <sheetViews>
    <sheetView showGridLines="0" zoomScaleNormal="100" zoomScaleSheetLayoutView="70" workbookViewId="0">
      <selection activeCell="G25" sqref="G25"/>
    </sheetView>
  </sheetViews>
  <sheetFormatPr defaultColWidth="9.625" defaultRowHeight="12" x14ac:dyDescent="0.15"/>
  <cols>
    <col min="1" max="1" width="40.125" style="144" customWidth="1"/>
    <col min="2" max="2" width="9" style="144" customWidth="1"/>
    <col min="3" max="3" width="9.125" style="144" customWidth="1"/>
    <col min="4" max="4" width="16.75" style="144" customWidth="1"/>
    <col min="5" max="5" width="4.375" style="144" customWidth="1"/>
    <col min="6" max="6" width="13.5" style="144" customWidth="1"/>
    <col min="7" max="16384" width="9.625" style="144"/>
  </cols>
  <sheetData>
    <row r="1" spans="1:6" ht="15.75" x14ac:dyDescent="0.25">
      <c r="A1" s="1"/>
      <c r="B1" s="526"/>
      <c r="C1" s="526"/>
      <c r="D1" s="526"/>
    </row>
    <row r="2" spans="1:6" ht="15.75" x14ac:dyDescent="0.25">
      <c r="A2" s="526"/>
      <c r="B2" s="526"/>
      <c r="C2" s="526"/>
      <c r="D2" s="526"/>
    </row>
    <row r="3" spans="1:6" ht="15.75" x14ac:dyDescent="0.25">
      <c r="A3" s="526"/>
      <c r="B3" s="526"/>
      <c r="C3" s="1"/>
      <c r="E3" s="528" t="str">
        <f>'Ex 1'!$K$1</f>
        <v>Revised Exhibit 1</v>
      </c>
    </row>
    <row r="4" spans="1:6" ht="15.75" x14ac:dyDescent="0.25">
      <c r="A4" s="526"/>
      <c r="B4" s="526"/>
      <c r="C4" s="1"/>
      <c r="E4" s="30" t="str">
        <f>"Reference Schedule "&amp;Inputs!$A39&amp;""</f>
        <v>Reference Schedule 1.23</v>
      </c>
    </row>
    <row r="5" spans="1:6" ht="15.75" x14ac:dyDescent="0.25">
      <c r="A5" s="526"/>
      <c r="B5" s="526"/>
      <c r="C5" s="526"/>
      <c r="E5" s="529" t="str">
        <f>"Sponsoring Witness: "&amp;Inputs!$B39&amp;""</f>
        <v>Sponsoring Witness: Bellar</v>
      </c>
    </row>
    <row r="6" spans="1:6" ht="15.75" x14ac:dyDescent="0.25">
      <c r="A6" s="526"/>
      <c r="B6" s="526"/>
      <c r="C6" s="526"/>
      <c r="D6" s="526"/>
    </row>
    <row r="7" spans="1:6" ht="15.75" x14ac:dyDescent="0.25">
      <c r="A7" s="526"/>
      <c r="B7" s="526"/>
      <c r="C7" s="526"/>
      <c r="D7" s="526"/>
    </row>
    <row r="8" spans="1:6" ht="15.75" x14ac:dyDescent="0.25">
      <c r="A8" s="4" t="s">
        <v>230</v>
      </c>
      <c r="B8" s="4"/>
      <c r="C8" s="6"/>
      <c r="D8" s="6"/>
    </row>
    <row r="9" spans="1:6" ht="15.75" x14ac:dyDescent="0.25">
      <c r="A9" s="4"/>
      <c r="B9" s="4"/>
      <c r="C9" s="526"/>
      <c r="D9" s="526"/>
    </row>
    <row r="10" spans="1:6" ht="15.75" x14ac:dyDescent="0.25">
      <c r="A10" s="807"/>
      <c r="B10" s="824"/>
      <c r="C10" s="824"/>
      <c r="D10" s="824"/>
    </row>
    <row r="11" spans="1:6" ht="15.75" x14ac:dyDescent="0.25">
      <c r="A11" s="808" t="s">
        <v>703</v>
      </c>
      <c r="B11" s="824"/>
      <c r="C11" s="824"/>
      <c r="D11" s="824"/>
    </row>
    <row r="12" spans="1:6" ht="15.75" x14ac:dyDescent="0.25">
      <c r="A12" s="800" t="str">
        <f>"For the Twelve Months Ended "&amp;Inputs!B3&amp;""</f>
        <v>For the Twelve Months Ended March 31, 2012</v>
      </c>
      <c r="B12" s="800"/>
      <c r="C12" s="800"/>
      <c r="D12" s="800"/>
    </row>
    <row r="13" spans="1:6" ht="15.75" x14ac:dyDescent="0.25">
      <c r="A13" s="1"/>
      <c r="B13" s="526"/>
      <c r="C13" s="526"/>
      <c r="D13" s="526"/>
    </row>
    <row r="14" spans="1:6" ht="15.75" x14ac:dyDescent="0.25">
      <c r="A14" s="1"/>
      <c r="B14" s="526"/>
      <c r="C14" s="526"/>
      <c r="D14" s="526"/>
    </row>
    <row r="15" spans="1:6" ht="15.75" x14ac:dyDescent="0.25">
      <c r="B15" s="511"/>
      <c r="C15" s="511"/>
      <c r="D15" s="511"/>
    </row>
    <row r="16" spans="1:6" ht="15.75" x14ac:dyDescent="0.25">
      <c r="A16" s="33" t="s">
        <v>558</v>
      </c>
      <c r="B16" s="146"/>
      <c r="C16" s="49"/>
      <c r="D16" s="153">
        <v>1585503.59</v>
      </c>
      <c r="F16" s="449"/>
    </row>
    <row r="17" spans="1:6" ht="15.75" x14ac:dyDescent="0.25">
      <c r="A17" s="296"/>
      <c r="B17" s="36"/>
      <c r="C17" s="36"/>
      <c r="D17" s="75"/>
      <c r="F17" s="75"/>
    </row>
    <row r="18" spans="1:6" ht="15.75" x14ac:dyDescent="0.25">
      <c r="A18" s="296" t="s">
        <v>148</v>
      </c>
      <c r="D18" s="432">
        <v>3</v>
      </c>
      <c r="F18" s="75"/>
    </row>
    <row r="19" spans="1:6" ht="15.75" x14ac:dyDescent="0.25">
      <c r="A19" s="296"/>
      <c r="D19" s="75"/>
      <c r="F19" s="75"/>
    </row>
    <row r="20" spans="1:6" ht="15.75" x14ac:dyDescent="0.25">
      <c r="A20" s="296" t="s">
        <v>149</v>
      </c>
      <c r="D20" s="153">
        <f>ROUND(D16/D18,0)</f>
        <v>528501</v>
      </c>
      <c r="F20" s="75"/>
    </row>
    <row r="21" spans="1:6" ht="15.75" x14ac:dyDescent="0.25">
      <c r="A21" s="296"/>
      <c r="D21" s="75"/>
      <c r="F21" s="75"/>
    </row>
    <row r="22" spans="1:6" ht="15.75" x14ac:dyDescent="0.25">
      <c r="A22" s="33" t="s">
        <v>559</v>
      </c>
      <c r="D22" s="432">
        <v>0</v>
      </c>
      <c r="F22" s="75"/>
    </row>
    <row r="23" spans="1:6" ht="15.75" x14ac:dyDescent="0.25">
      <c r="A23" s="531"/>
      <c r="D23" s="75"/>
      <c r="F23" s="75"/>
    </row>
    <row r="24" spans="1:6" ht="15.75" x14ac:dyDescent="0.25">
      <c r="A24" s="33" t="s">
        <v>560</v>
      </c>
      <c r="D24" s="715">
        <f>SUM(D20:D22)</f>
        <v>528501</v>
      </c>
      <c r="F24" s="75"/>
    </row>
    <row r="25" spans="1:6" ht="15.75" x14ac:dyDescent="0.25">
      <c r="A25" s="296"/>
      <c r="D25" s="75"/>
      <c r="F25" s="75"/>
    </row>
    <row r="26" spans="1:6" ht="15.75" x14ac:dyDescent="0.25">
      <c r="A26" s="296"/>
      <c r="D26" s="75"/>
      <c r="F26" s="75"/>
    </row>
    <row r="27" spans="1:6" ht="15.75" customHeight="1" x14ac:dyDescent="0.25">
      <c r="A27" s="33" t="s">
        <v>561</v>
      </c>
      <c r="D27" s="153">
        <v>391721.56</v>
      </c>
      <c r="E27" s="450"/>
      <c r="F27" s="38"/>
    </row>
    <row r="28" spans="1:6" ht="15.75" customHeight="1" x14ac:dyDescent="0.25">
      <c r="A28" s="33"/>
      <c r="D28" s="38"/>
      <c r="E28" s="450"/>
      <c r="F28" s="38"/>
    </row>
    <row r="29" spans="1:6" ht="15.75" customHeight="1" x14ac:dyDescent="0.25">
      <c r="A29" s="33" t="s">
        <v>562</v>
      </c>
      <c r="C29" s="431"/>
      <c r="D29" s="32">
        <f>-55960.24*12</f>
        <v>-671522.88</v>
      </c>
      <c r="E29" s="450"/>
      <c r="F29" s="38"/>
    </row>
    <row r="30" spans="1:6" ht="15.75" customHeight="1" x14ac:dyDescent="0.25">
      <c r="A30" s="33"/>
      <c r="D30" s="38"/>
      <c r="E30" s="450"/>
      <c r="F30" s="38"/>
    </row>
    <row r="31" spans="1:6" ht="15.75" customHeight="1" x14ac:dyDescent="0.25">
      <c r="A31" s="33" t="s">
        <v>563</v>
      </c>
      <c r="D31" s="715">
        <f>SUM(D27:D29)</f>
        <v>-279801.32</v>
      </c>
      <c r="E31" s="450"/>
      <c r="F31" s="38"/>
    </row>
    <row r="32" spans="1:6" ht="15.75" customHeight="1" x14ac:dyDescent="0.25">
      <c r="A32" s="530"/>
      <c r="D32" s="56"/>
      <c r="F32" s="56"/>
    </row>
    <row r="33" spans="1:6" ht="15.75" x14ac:dyDescent="0.25">
      <c r="A33" s="530"/>
      <c r="D33" s="56"/>
      <c r="F33" s="49"/>
    </row>
    <row r="34" spans="1:6" ht="15.75" x14ac:dyDescent="0.25">
      <c r="A34" s="33" t="s">
        <v>564</v>
      </c>
      <c r="D34" s="153">
        <v>0</v>
      </c>
      <c r="F34" s="148"/>
    </row>
    <row r="35" spans="1:6" ht="15.75" x14ac:dyDescent="0.25">
      <c r="A35" s="33"/>
      <c r="D35" s="38"/>
      <c r="F35" s="148"/>
    </row>
    <row r="36" spans="1:6" ht="15.75" x14ac:dyDescent="0.25">
      <c r="A36" s="33" t="s">
        <v>565</v>
      </c>
      <c r="C36" s="431"/>
      <c r="D36" s="32">
        <f>-(38379.89*11+0.12)</f>
        <v>-422178.91</v>
      </c>
      <c r="F36" s="148"/>
    </row>
    <row r="37" spans="1:6" ht="15.75" x14ac:dyDescent="0.25">
      <c r="A37" s="33"/>
      <c r="D37" s="38"/>
      <c r="F37" s="148"/>
    </row>
    <row r="38" spans="1:6" ht="15.75" x14ac:dyDescent="0.25">
      <c r="A38" s="33" t="s">
        <v>566</v>
      </c>
      <c r="D38" s="715">
        <f>SUM(D34:D36)</f>
        <v>-422178.91</v>
      </c>
    </row>
    <row r="39" spans="1:6" ht="15.75" x14ac:dyDescent="0.25">
      <c r="A39" s="530"/>
      <c r="D39" s="56"/>
    </row>
    <row r="40" spans="1:6" ht="16.5" thickBot="1" x14ac:dyDescent="0.3">
      <c r="A40" s="530" t="s">
        <v>567</v>
      </c>
      <c r="D40" s="55">
        <f>ROUND(D24+D31+D38,0)</f>
        <v>-173479</v>
      </c>
    </row>
    <row r="41" spans="1:6" ht="16.5" thickTop="1" x14ac:dyDescent="0.25">
      <c r="A41" s="530"/>
    </row>
    <row r="53" spans="1:1" ht="15.75" x14ac:dyDescent="0.25">
      <c r="A53" s="451"/>
    </row>
  </sheetData>
  <mergeCells count="3">
    <mergeCell ref="A10:D10"/>
    <mergeCell ref="A11:D11"/>
    <mergeCell ref="A12:D12"/>
  </mergeCells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5" enableFormatConditionsCalculation="0">
    <pageSetUpPr fitToPage="1"/>
  </sheetPr>
  <dimension ref="A1:H14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3.625" style="144" customWidth="1"/>
    <col min="6" max="6" width="12.625" style="144" customWidth="1"/>
    <col min="7" max="7" width="3.75" style="148" customWidth="1"/>
    <col min="8" max="8" width="12.75" style="144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  <c r="F1" s="2"/>
      <c r="G1" s="25"/>
    </row>
    <row r="2" spans="1:8" ht="15.75" x14ac:dyDescent="0.25">
      <c r="A2" s="2"/>
      <c r="B2" s="2"/>
      <c r="C2" s="2"/>
      <c r="D2" s="2"/>
      <c r="E2" s="2"/>
      <c r="F2" s="2"/>
      <c r="G2" s="25"/>
    </row>
    <row r="3" spans="1:8" ht="15.75" x14ac:dyDescent="0.25">
      <c r="A3" s="2"/>
      <c r="B3" s="2"/>
      <c r="C3" s="2"/>
      <c r="D3" s="2"/>
      <c r="F3" s="2"/>
      <c r="G3" s="25"/>
      <c r="H3" s="528" t="str">
        <f>'Ex 1'!$K$1</f>
        <v>Revised Exhibit 1</v>
      </c>
    </row>
    <row r="4" spans="1:8" ht="15.75" x14ac:dyDescent="0.25">
      <c r="A4" s="2"/>
      <c r="B4" s="2"/>
      <c r="C4" s="2"/>
      <c r="D4" s="2"/>
      <c r="F4" s="2"/>
      <c r="G4" s="25"/>
      <c r="H4" s="30" t="str">
        <f>"Reference Schedule "&amp;Inputs!$A40&amp;""</f>
        <v>Reference Schedule 1.24 - 1.28</v>
      </c>
    </row>
    <row r="5" spans="1:8" ht="15.75" x14ac:dyDescent="0.25">
      <c r="A5" s="2"/>
      <c r="B5" s="2"/>
      <c r="C5" s="2"/>
      <c r="D5" s="2"/>
      <c r="E5" s="2"/>
      <c r="F5" s="2"/>
      <c r="G5" s="25"/>
      <c r="H5" s="529" t="str">
        <f>"Sponsoring Witness: "&amp;Inputs!$B40&amp;""</f>
        <v>Sponsoring Witness: Blake</v>
      </c>
    </row>
    <row r="6" spans="1:8" ht="15.75" x14ac:dyDescent="0.25">
      <c r="A6" s="2"/>
      <c r="B6" s="2"/>
      <c r="C6" s="2"/>
      <c r="D6" s="2"/>
      <c r="E6" s="2"/>
      <c r="F6" s="2"/>
      <c r="G6" s="25"/>
      <c r="H6" s="7"/>
    </row>
    <row r="7" spans="1:8" ht="15.75" x14ac:dyDescent="0.25">
      <c r="A7" s="2"/>
      <c r="B7" s="2"/>
      <c r="C7" s="2"/>
      <c r="D7" s="2"/>
      <c r="E7" s="2"/>
      <c r="F7" s="2"/>
      <c r="G7" s="25"/>
      <c r="H7" s="7"/>
    </row>
    <row r="8" spans="1:8" ht="15.75" x14ac:dyDescent="0.25">
      <c r="A8" s="801" t="s">
        <v>230</v>
      </c>
      <c r="B8" s="801"/>
      <c r="C8" s="801"/>
      <c r="D8" s="801"/>
      <c r="E8" s="801"/>
      <c r="F8" s="801"/>
      <c r="G8" s="801"/>
      <c r="H8" s="801"/>
    </row>
    <row r="9" spans="1:8" ht="15.75" x14ac:dyDescent="0.25">
      <c r="A9" s="15"/>
      <c r="B9" s="15"/>
      <c r="C9" s="15"/>
      <c r="D9" s="15"/>
      <c r="E9" s="15"/>
      <c r="F9" s="2"/>
      <c r="G9" s="25"/>
    </row>
    <row r="10" spans="1:8" ht="15.75" x14ac:dyDescent="0.25">
      <c r="A10" s="15"/>
      <c r="B10" s="15"/>
      <c r="C10" s="15"/>
      <c r="D10" s="15"/>
      <c r="E10" s="15"/>
      <c r="F10" s="2"/>
      <c r="G10" s="25"/>
    </row>
    <row r="11" spans="1:8" ht="15.75" x14ac:dyDescent="0.25">
      <c r="A11" s="5" t="s">
        <v>102</v>
      </c>
      <c r="B11" s="5"/>
      <c r="C11" s="5"/>
      <c r="D11" s="5"/>
      <c r="E11" s="5"/>
      <c r="F11" s="5"/>
      <c r="G11" s="5"/>
      <c r="H11" s="5"/>
    </row>
    <row r="12" spans="1:8" ht="15.75" x14ac:dyDescent="0.25">
      <c r="A12" s="1"/>
      <c r="B12" s="2"/>
      <c r="C12" s="2"/>
      <c r="D12" s="2"/>
      <c r="E12" s="2"/>
      <c r="F12" s="2"/>
      <c r="G12" s="25"/>
    </row>
    <row r="13" spans="1:8" ht="15.75" x14ac:dyDescent="0.25">
      <c r="A13" s="2"/>
      <c r="B13" s="2"/>
      <c r="C13" s="2"/>
      <c r="D13" s="2"/>
      <c r="E13" s="2"/>
      <c r="F13" s="148"/>
    </row>
    <row r="14" spans="1:8" ht="15.75" x14ac:dyDescent="0.25">
      <c r="B14" s="9"/>
      <c r="C14" s="9"/>
      <c r="D14" s="9"/>
      <c r="F14" s="56"/>
      <c r="G14" s="56"/>
      <c r="H14" s="46"/>
    </row>
  </sheetData>
  <mergeCells count="1">
    <mergeCell ref="A8:H8"/>
  </mergeCells>
  <phoneticPr fontId="0" type="noConversion"/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" enableFormatConditionsCalculation="0">
    <pageSetUpPr fitToPage="1"/>
  </sheetPr>
  <dimension ref="A1:G53"/>
  <sheetViews>
    <sheetView showGridLines="0" topLeftCell="A13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12.75" style="144" customWidth="1"/>
    <col min="2" max="2" width="28.875" style="144" customWidth="1"/>
    <col min="3" max="3" width="12.75" style="144" customWidth="1"/>
    <col min="4" max="4" width="5.125" style="144" customWidth="1"/>
    <col min="5" max="5" width="12" style="144" customWidth="1"/>
    <col min="6" max="6" width="11.75" style="145" customWidth="1"/>
    <col min="7" max="16384" width="9.625" style="144"/>
  </cols>
  <sheetData>
    <row r="1" spans="1:7" ht="15.75" x14ac:dyDescent="0.25">
      <c r="A1" s="2"/>
      <c r="B1" s="1"/>
      <c r="C1" s="2"/>
      <c r="D1" s="2"/>
      <c r="E1" s="2"/>
      <c r="F1" s="7"/>
    </row>
    <row r="2" spans="1:7" ht="15.75" x14ac:dyDescent="0.25">
      <c r="A2" s="2"/>
      <c r="B2" s="2"/>
      <c r="C2" s="2"/>
      <c r="D2" s="2"/>
      <c r="E2" s="2"/>
      <c r="F2" s="7"/>
    </row>
    <row r="3" spans="1:7" ht="15.75" x14ac:dyDescent="0.25">
      <c r="A3" s="2"/>
      <c r="B3" s="2"/>
      <c r="C3" s="2"/>
      <c r="D3" s="2"/>
      <c r="E3" s="1"/>
      <c r="G3" s="7" t="str">
        <f>'Ex 1'!$K$1</f>
        <v>Revised Exhibit 1</v>
      </c>
    </row>
    <row r="4" spans="1:7" ht="15.75" x14ac:dyDescent="0.25">
      <c r="A4" s="2"/>
      <c r="B4" s="2"/>
      <c r="C4" s="2"/>
      <c r="D4" s="2"/>
      <c r="E4" s="1"/>
      <c r="G4" s="30" t="str">
        <f>"Reference Schedule "&amp;Inputs!$A41&amp;""</f>
        <v>Reference Schedule 1.29</v>
      </c>
    </row>
    <row r="5" spans="1:7" ht="15.75" x14ac:dyDescent="0.25">
      <c r="A5" s="2"/>
      <c r="B5" s="2"/>
      <c r="C5" s="2"/>
      <c r="D5" s="2"/>
      <c r="E5" s="2"/>
      <c r="G5" s="529" t="str">
        <f>"Sponsoring Witness: "&amp;Inputs!$B41&amp;""</f>
        <v>Sponsoring Witness: Blake</v>
      </c>
    </row>
    <row r="6" spans="1:7" ht="15.75" x14ac:dyDescent="0.25">
      <c r="A6" s="2"/>
      <c r="B6" s="2"/>
      <c r="C6" s="2"/>
      <c r="D6" s="2"/>
      <c r="E6" s="2"/>
      <c r="F6" s="7"/>
    </row>
    <row r="7" spans="1:7" ht="15.75" x14ac:dyDescent="0.25">
      <c r="A7" s="2"/>
      <c r="B7" s="2"/>
      <c r="C7" s="2"/>
      <c r="D7" s="2"/>
      <c r="E7" s="2"/>
      <c r="F7" s="58"/>
    </row>
    <row r="8" spans="1:7" ht="15.75" x14ac:dyDescent="0.25">
      <c r="A8" s="800" t="s">
        <v>230</v>
      </c>
      <c r="B8" s="800"/>
      <c r="C8" s="800"/>
      <c r="D8" s="800"/>
      <c r="E8" s="800"/>
      <c r="F8" s="800"/>
    </row>
    <row r="9" spans="1:7" ht="15.75" x14ac:dyDescent="0.25">
      <c r="A9" s="82"/>
      <c r="B9" s="82"/>
      <c r="C9" s="82"/>
      <c r="D9" s="82"/>
      <c r="E9" s="82"/>
      <c r="F9" s="82"/>
    </row>
    <row r="10" spans="1:7" ht="15.75" x14ac:dyDescent="0.25">
      <c r="A10" s="4"/>
      <c r="B10" s="4"/>
      <c r="C10" s="4"/>
      <c r="D10" s="4"/>
      <c r="E10" s="2"/>
      <c r="F10" s="58"/>
    </row>
    <row r="11" spans="1:7" ht="15.75" x14ac:dyDescent="0.25">
      <c r="A11" s="807" t="s">
        <v>190</v>
      </c>
      <c r="B11" s="807"/>
      <c r="C11" s="807"/>
      <c r="D11" s="807"/>
      <c r="E11" s="807"/>
      <c r="F11" s="807"/>
    </row>
    <row r="12" spans="1:7" ht="15.75" x14ac:dyDescent="0.25">
      <c r="A12" s="807" t="s">
        <v>189</v>
      </c>
      <c r="B12" s="807"/>
      <c r="C12" s="807"/>
      <c r="D12" s="807"/>
      <c r="E12" s="807"/>
      <c r="F12" s="807"/>
    </row>
    <row r="13" spans="1:7" ht="15.75" x14ac:dyDescent="0.25">
      <c r="A13" s="801" t="s">
        <v>455</v>
      </c>
      <c r="B13" s="800"/>
      <c r="C13" s="800"/>
      <c r="D13" s="800"/>
      <c r="E13" s="800"/>
      <c r="F13" s="800"/>
    </row>
    <row r="14" spans="1:7" ht="15.75" x14ac:dyDescent="0.25">
      <c r="A14" s="4"/>
      <c r="B14" s="4"/>
      <c r="C14" s="4"/>
      <c r="D14" s="4"/>
      <c r="E14" s="6"/>
      <c r="F14" s="58"/>
    </row>
    <row r="15" spans="1:7" ht="15.75" x14ac:dyDescent="0.25">
      <c r="A15" s="25"/>
      <c r="B15" s="25"/>
      <c r="C15" s="34"/>
      <c r="D15" s="35"/>
      <c r="E15" s="36"/>
      <c r="F15" s="58"/>
    </row>
    <row r="16" spans="1:7" ht="15.75" x14ac:dyDescent="0.25">
      <c r="A16" s="25" t="s">
        <v>180</v>
      </c>
      <c r="B16" s="25"/>
      <c r="C16" s="146"/>
      <c r="D16" s="147"/>
      <c r="E16" s="49"/>
      <c r="F16" s="61">
        <v>100</v>
      </c>
    </row>
    <row r="17" spans="1:6" ht="15.75" x14ac:dyDescent="0.25">
      <c r="A17" s="29"/>
      <c r="B17" s="25"/>
      <c r="C17" s="36"/>
      <c r="D17" s="81"/>
      <c r="E17" s="36"/>
      <c r="F17" s="62"/>
    </row>
    <row r="18" spans="1:6" ht="15.75" x14ac:dyDescent="0.25">
      <c r="A18" s="29" t="s">
        <v>45</v>
      </c>
      <c r="B18" s="25"/>
      <c r="C18" s="36"/>
      <c r="D18" s="36"/>
      <c r="E18" s="36"/>
      <c r="F18" s="139">
        <f>F48</f>
        <v>5.7581879999999996</v>
      </c>
    </row>
    <row r="19" spans="1:6" ht="15.75" x14ac:dyDescent="0.25">
      <c r="A19" s="29"/>
      <c r="B19" s="25"/>
      <c r="C19" s="36"/>
      <c r="D19" s="36"/>
      <c r="E19" s="36"/>
      <c r="F19" s="140"/>
    </row>
    <row r="20" spans="1:6" ht="15.75" x14ac:dyDescent="0.25">
      <c r="A20" s="33" t="s">
        <v>273</v>
      </c>
      <c r="B20" s="25"/>
      <c r="C20" s="56"/>
      <c r="D20" s="49"/>
      <c r="E20" s="56"/>
      <c r="F20" s="141">
        <f>+F16-F18</f>
        <v>94.241811999999996</v>
      </c>
    </row>
    <row r="21" spans="1:6" ht="15.75" x14ac:dyDescent="0.25">
      <c r="A21" s="365" t="s">
        <v>75</v>
      </c>
      <c r="B21" s="25"/>
      <c r="C21" s="56"/>
      <c r="D21" s="49"/>
      <c r="E21" s="367">
        <v>0.09</v>
      </c>
    </row>
    <row r="22" spans="1:6" ht="15.75" x14ac:dyDescent="0.25">
      <c r="A22" s="365" t="s">
        <v>274</v>
      </c>
      <c r="B22" s="25"/>
      <c r="C22" s="56"/>
      <c r="D22" s="49"/>
      <c r="E22" s="434">
        <v>0.67169999999999996</v>
      </c>
    </row>
    <row r="23" spans="1:6" ht="15.75" x14ac:dyDescent="0.25">
      <c r="A23" s="366" t="s">
        <v>76</v>
      </c>
      <c r="B23" s="25"/>
      <c r="C23" s="56"/>
      <c r="D23" s="49"/>
      <c r="E23" s="129">
        <f>ROUND(E21*E22,4)</f>
        <v>6.0499999999999998E-2</v>
      </c>
    </row>
    <row r="24" spans="1:6" ht="15.75" x14ac:dyDescent="0.25">
      <c r="A24" s="366" t="s">
        <v>677</v>
      </c>
      <c r="B24" s="25"/>
      <c r="C24" s="56"/>
      <c r="D24" s="49"/>
      <c r="E24" s="56"/>
      <c r="F24" s="139">
        <f>F20*E23</f>
        <v>5.7016296259999999</v>
      </c>
    </row>
    <row r="25" spans="1:6" ht="15.75" x14ac:dyDescent="0.25">
      <c r="A25" s="366"/>
      <c r="B25" s="25"/>
      <c r="C25" s="56"/>
      <c r="D25" s="49"/>
      <c r="E25" s="56"/>
      <c r="F25" s="141"/>
    </row>
    <row r="26" spans="1:6" ht="15.75" x14ac:dyDescent="0.25">
      <c r="A26" s="366" t="s">
        <v>77</v>
      </c>
      <c r="B26" s="25"/>
      <c r="C26" s="56"/>
      <c r="D26" s="49"/>
      <c r="E26" s="56"/>
      <c r="F26" s="141">
        <f>F20-F24</f>
        <v>88.540182373999997</v>
      </c>
    </row>
    <row r="27" spans="1:6" ht="15.75" x14ac:dyDescent="0.25">
      <c r="A27" s="33"/>
      <c r="B27" s="25"/>
      <c r="C27" s="81"/>
      <c r="D27" s="36"/>
      <c r="E27" s="36"/>
      <c r="F27" s="140"/>
    </row>
    <row r="28" spans="1:6" ht="15.75" x14ac:dyDescent="0.25">
      <c r="A28" s="33" t="s">
        <v>78</v>
      </c>
      <c r="B28" s="25"/>
      <c r="C28" s="81"/>
      <c r="D28" s="36"/>
      <c r="E28" s="36"/>
      <c r="F28" s="139">
        <f>ROUND(+F26*0.35,6)</f>
        <v>30.989063999999999</v>
      </c>
    </row>
    <row r="29" spans="1:6" ht="15.75" x14ac:dyDescent="0.25">
      <c r="A29" s="33"/>
      <c r="B29" s="25"/>
      <c r="C29" s="81"/>
      <c r="D29" s="36"/>
      <c r="E29" s="36"/>
      <c r="F29" s="62"/>
    </row>
    <row r="30" spans="1:6" ht="16.5" thickBot="1" x14ac:dyDescent="0.3">
      <c r="A30" s="33" t="s">
        <v>79</v>
      </c>
      <c r="B30" s="25"/>
      <c r="C30" s="81"/>
      <c r="D30" s="36"/>
      <c r="E30" s="36"/>
      <c r="F30" s="63">
        <f>+F18+F28</f>
        <v>36.747251999999996</v>
      </c>
    </row>
    <row r="31" spans="1:6" ht="16.5" thickTop="1" x14ac:dyDescent="0.25">
      <c r="A31" s="33"/>
      <c r="B31" s="25"/>
      <c r="C31" s="39"/>
      <c r="D31" s="36"/>
      <c r="E31" s="36"/>
      <c r="F31" s="59"/>
    </row>
    <row r="32" spans="1:6" ht="15.75" x14ac:dyDescent="0.25">
      <c r="A32" s="33" t="s">
        <v>185</v>
      </c>
      <c r="B32" s="25"/>
      <c r="C32" s="36"/>
      <c r="D32" s="38"/>
      <c r="E32" s="36"/>
      <c r="F32" s="59"/>
    </row>
    <row r="33" spans="1:6" ht="15.75" x14ac:dyDescent="0.25">
      <c r="A33" s="33" t="s">
        <v>186</v>
      </c>
      <c r="B33" s="25"/>
      <c r="C33" s="64">
        <f>+F28/100</f>
        <v>0.30989063999999999</v>
      </c>
      <c r="D33" s="39"/>
      <c r="E33" s="36"/>
      <c r="F33" s="59"/>
    </row>
    <row r="34" spans="1:6" ht="15.75" x14ac:dyDescent="0.25">
      <c r="A34" s="33" t="s">
        <v>187</v>
      </c>
      <c r="B34" s="25"/>
      <c r="C34" s="65">
        <f>+F18/100</f>
        <v>5.7581879999999995E-2</v>
      </c>
      <c r="D34" s="38"/>
      <c r="E34" s="36"/>
      <c r="F34" s="59"/>
    </row>
    <row r="35" spans="1:6" ht="16.5" thickBot="1" x14ac:dyDescent="0.3">
      <c r="A35" s="33" t="s">
        <v>80</v>
      </c>
      <c r="B35" s="25"/>
      <c r="C35" s="128">
        <f>SUM(C33:C34)</f>
        <v>0.36747251999999997</v>
      </c>
      <c r="D35" s="39"/>
      <c r="E35" s="36"/>
      <c r="F35" s="58"/>
    </row>
    <row r="36" spans="1:6" ht="12.75" thickTop="1" x14ac:dyDescent="0.15"/>
    <row r="39" spans="1:6" ht="15.75" x14ac:dyDescent="0.25">
      <c r="A39" s="368" t="s">
        <v>81</v>
      </c>
    </row>
    <row r="40" spans="1:6" ht="15.75" x14ac:dyDescent="0.25">
      <c r="A40" s="369" t="s">
        <v>180</v>
      </c>
      <c r="F40" s="61">
        <v>100</v>
      </c>
    </row>
    <row r="41" spans="1:6" ht="15.75" x14ac:dyDescent="0.25">
      <c r="A41" s="370"/>
      <c r="F41" s="371"/>
    </row>
    <row r="42" spans="1:6" ht="15.75" x14ac:dyDescent="0.25">
      <c r="A42" s="366" t="s">
        <v>676</v>
      </c>
      <c r="F42" s="139">
        <f>ROUND(6*E22,6)</f>
        <v>4.0301999999999998</v>
      </c>
    </row>
    <row r="43" spans="1:6" ht="15.75" x14ac:dyDescent="0.25">
      <c r="A43" s="370"/>
      <c r="F43" s="140"/>
    </row>
    <row r="44" spans="1:6" ht="15.75" x14ac:dyDescent="0.25">
      <c r="A44" s="369" t="s">
        <v>82</v>
      </c>
      <c r="F44" s="141">
        <f>+F40-F42</f>
        <v>95.969800000000006</v>
      </c>
    </row>
    <row r="45" spans="1:6" ht="15.75" x14ac:dyDescent="0.25">
      <c r="A45" s="369"/>
      <c r="F45" s="141"/>
    </row>
    <row r="46" spans="1:6" ht="15.75" x14ac:dyDescent="0.25">
      <c r="A46" s="369" t="s">
        <v>83</v>
      </c>
      <c r="F46" s="372">
        <v>0.06</v>
      </c>
    </row>
    <row r="47" spans="1:6" ht="15.75" x14ac:dyDescent="0.25">
      <c r="A47" s="366"/>
      <c r="F47" s="140"/>
    </row>
    <row r="48" spans="1:6" ht="16.5" thickBot="1" x14ac:dyDescent="0.3">
      <c r="A48" s="370" t="s">
        <v>84</v>
      </c>
      <c r="F48" s="373">
        <f>ROUND(+F44*F46,6)</f>
        <v>5.7581879999999996</v>
      </c>
    </row>
    <row r="49" spans="1:1" ht="12.75" thickTop="1" x14ac:dyDescent="0.15"/>
    <row r="51" spans="1:1" ht="15.75" x14ac:dyDescent="0.25">
      <c r="A51" s="366" t="s">
        <v>433</v>
      </c>
    </row>
    <row r="52" spans="1:1" ht="15.75" x14ac:dyDescent="0.25">
      <c r="A52" s="366" t="s">
        <v>431</v>
      </c>
    </row>
    <row r="53" spans="1:1" ht="15.75" x14ac:dyDescent="0.25">
      <c r="A53" s="366" t="s">
        <v>432</v>
      </c>
    </row>
  </sheetData>
  <mergeCells count="4">
    <mergeCell ref="A8:F8"/>
    <mergeCell ref="A11:F11"/>
    <mergeCell ref="A12:F12"/>
    <mergeCell ref="A13:F13"/>
  </mergeCells>
  <phoneticPr fontId="0" type="noConversion"/>
  <printOptions horizontalCentered="1" gridLinesSet="0"/>
  <pageMargins left="1.25" right="0.75" top="1" bottom="1" header="0.5" footer="0.5"/>
  <pageSetup scale="75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6" enableFormatConditionsCalculation="0">
    <pageSetUpPr fitToPage="1"/>
  </sheetPr>
  <dimension ref="A3:K30"/>
  <sheetViews>
    <sheetView showGridLines="0" topLeftCell="A10" zoomScaleNormal="100" zoomScaleSheetLayoutView="70" workbookViewId="0">
      <selection activeCell="A3" sqref="A3"/>
    </sheetView>
  </sheetViews>
  <sheetFormatPr defaultColWidth="10.875" defaultRowHeight="15.75" x14ac:dyDescent="0.25"/>
  <cols>
    <col min="1" max="1" width="1.125" style="2" customWidth="1"/>
    <col min="2" max="3" width="10.875" style="2"/>
    <col min="4" max="4" width="17.5" style="2" customWidth="1"/>
    <col min="5" max="5" width="12.875" style="2" customWidth="1"/>
    <col min="6" max="6" width="13.625" style="2" customWidth="1"/>
    <col min="7" max="7" width="19.125" style="2" bestFit="1" customWidth="1"/>
    <col min="8" max="8" width="10.875" style="2"/>
    <col min="9" max="9" width="14.5" style="2" customWidth="1"/>
    <col min="10" max="10" width="29.375" style="2" customWidth="1"/>
    <col min="11" max="11" width="11.75" style="2" bestFit="1" customWidth="1"/>
    <col min="12" max="16384" width="10.875" style="2"/>
  </cols>
  <sheetData>
    <row r="3" spans="1:11" x14ac:dyDescent="0.25">
      <c r="B3" s="10"/>
      <c r="C3" s="10"/>
      <c r="D3" s="10"/>
      <c r="E3" s="10"/>
      <c r="F3" s="10"/>
      <c r="G3" s="7" t="str">
        <f>'Ex 1'!$K$1</f>
        <v>Revised Exhibit 1</v>
      </c>
    </row>
    <row r="4" spans="1:11" x14ac:dyDescent="0.25">
      <c r="G4" s="30" t="str">
        <f>"Reference Schedule "&amp;Inputs!$A42&amp;""</f>
        <v>Reference Schedule 1.30</v>
      </c>
    </row>
    <row r="5" spans="1:11" x14ac:dyDescent="0.25">
      <c r="G5" s="529" t="str">
        <f>"Sponsoring Witness: "&amp;Inputs!$B42&amp;""</f>
        <v>Sponsoring Witness: Blake</v>
      </c>
    </row>
    <row r="6" spans="1:11" x14ac:dyDescent="0.25">
      <c r="G6" s="7"/>
    </row>
    <row r="7" spans="1:11" x14ac:dyDescent="0.25">
      <c r="G7" s="7"/>
    </row>
    <row r="8" spans="1:11" x14ac:dyDescent="0.25">
      <c r="B8" s="800" t="s">
        <v>230</v>
      </c>
      <c r="C8" s="800"/>
      <c r="D8" s="800"/>
      <c r="E8" s="800"/>
      <c r="F8" s="800"/>
      <c r="G8" s="800"/>
    </row>
    <row r="9" spans="1:11" x14ac:dyDescent="0.25">
      <c r="B9" s="5"/>
      <c r="C9" s="5"/>
      <c r="D9" s="5"/>
      <c r="E9" s="5"/>
      <c r="F9" s="5"/>
      <c r="G9" s="5"/>
    </row>
    <row r="10" spans="1:11" s="526" customFormat="1" x14ac:dyDescent="0.25">
      <c r="A10" s="807"/>
      <c r="B10" s="807"/>
      <c r="C10" s="807"/>
      <c r="D10" s="807"/>
      <c r="E10" s="807"/>
      <c r="F10" s="807"/>
      <c r="G10" s="807"/>
    </row>
    <row r="11" spans="1:11" x14ac:dyDescent="0.25">
      <c r="A11" s="807" t="s">
        <v>242</v>
      </c>
      <c r="B11" s="807"/>
      <c r="C11" s="807"/>
      <c r="D11" s="807"/>
      <c r="E11" s="807"/>
      <c r="F11" s="807"/>
      <c r="G11" s="807"/>
    </row>
    <row r="12" spans="1:11" x14ac:dyDescent="0.25">
      <c r="B12" s="800" t="s">
        <v>314</v>
      </c>
      <c r="C12" s="800"/>
      <c r="D12" s="800"/>
      <c r="E12" s="800"/>
      <c r="F12" s="800"/>
      <c r="G12" s="800"/>
    </row>
    <row r="13" spans="1:11" x14ac:dyDescent="0.25">
      <c r="B13" s="5"/>
      <c r="C13" s="5"/>
      <c r="D13" s="5"/>
      <c r="E13" s="5"/>
      <c r="F13" s="5"/>
      <c r="G13" s="5"/>
    </row>
    <row r="15" spans="1:11" x14ac:dyDescent="0.25">
      <c r="E15" s="21"/>
      <c r="F15" s="21"/>
      <c r="G15" s="21"/>
    </row>
    <row r="16" spans="1:11" x14ac:dyDescent="0.25">
      <c r="B16" s="14" t="s">
        <v>298</v>
      </c>
      <c r="E16" s="143"/>
      <c r="F16" s="112"/>
      <c r="G16" s="72">
        <f>'Ex 2'!J43</f>
        <v>3294685544</v>
      </c>
      <c r="I16" s="510" t="s">
        <v>481</v>
      </c>
      <c r="J16" s="510"/>
      <c r="K16" s="510"/>
    </row>
    <row r="17" spans="2:11" x14ac:dyDescent="0.25">
      <c r="E17" s="23"/>
      <c r="F17" s="23"/>
      <c r="G17" s="9"/>
      <c r="I17" s="526"/>
      <c r="J17" s="526"/>
      <c r="K17" s="526"/>
    </row>
    <row r="18" spans="2:11" x14ac:dyDescent="0.25">
      <c r="B18" s="1" t="s">
        <v>304</v>
      </c>
      <c r="E18" s="23"/>
      <c r="F18" s="129"/>
      <c r="G18" s="130">
        <f>SUM('Ex 2'!P37:P39)</f>
        <v>1.7100000000000001E-2</v>
      </c>
      <c r="I18" s="530" t="s">
        <v>482</v>
      </c>
      <c r="J18" s="526"/>
      <c r="K18" s="526">
        <v>69943762.560000002</v>
      </c>
    </row>
    <row r="19" spans="2:11" x14ac:dyDescent="0.25">
      <c r="E19" s="23"/>
      <c r="F19" s="23"/>
      <c r="G19" s="9"/>
      <c r="I19" s="530" t="s">
        <v>483</v>
      </c>
      <c r="J19" s="526"/>
      <c r="K19" s="526">
        <v>1373105.57</v>
      </c>
    </row>
    <row r="20" spans="2:11" x14ac:dyDescent="0.25">
      <c r="B20" s="1" t="s">
        <v>315</v>
      </c>
      <c r="E20" s="28"/>
      <c r="F20" s="56"/>
      <c r="G20" s="72">
        <f>ROUND(+G16*G18,0)</f>
        <v>56339123</v>
      </c>
      <c r="I20" s="526" t="s">
        <v>484</v>
      </c>
      <c r="J20" s="526"/>
      <c r="K20" s="526">
        <v>170466.75</v>
      </c>
    </row>
    <row r="21" spans="2:11" x14ac:dyDescent="0.25">
      <c r="E21" s="25"/>
      <c r="F21" s="25"/>
      <c r="G21" s="2" t="s">
        <v>263</v>
      </c>
      <c r="I21" s="526" t="s">
        <v>485</v>
      </c>
      <c r="J21" s="526"/>
      <c r="K21" s="526">
        <v>1801.12</v>
      </c>
    </row>
    <row r="22" spans="2:11" x14ac:dyDescent="0.25">
      <c r="B22" s="1" t="s">
        <v>277</v>
      </c>
      <c r="E22" s="25"/>
      <c r="F22" s="25"/>
      <c r="G22" s="19">
        <f>K25</f>
        <v>56734304.807453007</v>
      </c>
      <c r="I22" s="526" t="s">
        <v>486</v>
      </c>
      <c r="J22" s="167"/>
      <c r="K22" s="510">
        <v>-13892.09</v>
      </c>
    </row>
    <row r="23" spans="2:11" x14ac:dyDescent="0.25">
      <c r="E23" s="25"/>
      <c r="F23" s="25"/>
      <c r="I23" s="41" t="s">
        <v>487</v>
      </c>
      <c r="J23" s="526"/>
      <c r="K23" s="526">
        <f>K18-SUM(K19:K22)</f>
        <v>68412281.210000008</v>
      </c>
    </row>
    <row r="24" spans="2:11" x14ac:dyDescent="0.25">
      <c r="B24" s="14" t="s">
        <v>90</v>
      </c>
      <c r="E24" s="25"/>
      <c r="F24" s="56"/>
      <c r="G24" s="72">
        <f>G22-G20</f>
        <v>395181.80745300651</v>
      </c>
      <c r="I24" s="530" t="s">
        <v>488</v>
      </c>
      <c r="J24" s="526"/>
      <c r="K24" s="109">
        <f>'SuppSch-Ex 3(Page1,2)'!L47</f>
        <v>0.82930000000000004</v>
      </c>
    </row>
    <row r="25" spans="2:11" ht="16.5" thickBot="1" x14ac:dyDescent="0.3">
      <c r="E25" s="25"/>
      <c r="F25" s="25"/>
      <c r="I25" s="530" t="s">
        <v>489</v>
      </c>
      <c r="J25" s="526"/>
      <c r="K25" s="627">
        <f>K23*K24</f>
        <v>56734304.807453007</v>
      </c>
    </row>
    <row r="26" spans="2:11" ht="16.5" thickTop="1" x14ac:dyDescent="0.25">
      <c r="B26" s="1" t="s">
        <v>316</v>
      </c>
      <c r="E26" s="76"/>
      <c r="F26" s="94"/>
      <c r="G26" s="131">
        <f>'1.29'!C35</f>
        <v>0.36747251999999997</v>
      </c>
      <c r="I26" s="526"/>
      <c r="J26" s="526"/>
      <c r="K26" s="526"/>
    </row>
    <row r="27" spans="2:11" x14ac:dyDescent="0.25">
      <c r="E27" s="24"/>
      <c r="F27" s="24"/>
      <c r="G27" s="3"/>
      <c r="I27" s="1" t="s">
        <v>490</v>
      </c>
      <c r="J27" s="8"/>
      <c r="K27" s="526"/>
    </row>
    <row r="28" spans="2:11" ht="16.5" thickBot="1" x14ac:dyDescent="0.3">
      <c r="B28" s="1" t="s">
        <v>317</v>
      </c>
      <c r="E28" s="28"/>
      <c r="F28" s="56"/>
      <c r="G28" s="47">
        <f>ROUND(+G24*G26,0)</f>
        <v>145218</v>
      </c>
      <c r="I28" s="530" t="s">
        <v>491</v>
      </c>
      <c r="J28" s="167"/>
      <c r="K28" s="526"/>
    </row>
    <row r="29" spans="2:11" ht="16.5" thickTop="1" x14ac:dyDescent="0.25">
      <c r="I29" s="20"/>
      <c r="J29" s="8"/>
    </row>
    <row r="30" spans="2:11" x14ac:dyDescent="0.25">
      <c r="J30" s="167"/>
    </row>
  </sheetData>
  <mergeCells count="4">
    <mergeCell ref="B8:G8"/>
    <mergeCell ref="A11:G11"/>
    <mergeCell ref="B12:G12"/>
    <mergeCell ref="A10:G10"/>
  </mergeCells>
  <phoneticPr fontId="68" type="noConversion"/>
  <printOptions horizontalCentered="1" gridLinesSet="0"/>
  <pageMargins left="1" right="0.75" top="1.25" bottom="1" header="0.5" footer="0.5"/>
  <pageSetup scale="93" orientation="portrait" cellComments="asDisplaye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7">
    <pageSetUpPr fitToPage="1"/>
  </sheetPr>
  <dimension ref="A3:J35"/>
  <sheetViews>
    <sheetView showGridLines="0" topLeftCell="A13" zoomScaleNormal="100" zoomScaleSheetLayoutView="70" workbookViewId="0">
      <selection activeCell="A3" sqref="A3"/>
    </sheetView>
  </sheetViews>
  <sheetFormatPr defaultColWidth="10.875" defaultRowHeight="15.75" x14ac:dyDescent="0.25"/>
  <cols>
    <col min="1" max="2" width="10.875" style="190"/>
    <col min="3" max="3" width="10.625" style="190" customWidth="1"/>
    <col min="4" max="4" width="10.875" style="190"/>
    <col min="5" max="7" width="4.75" style="190" customWidth="1"/>
    <col min="8" max="8" width="10.625" style="190" customWidth="1"/>
    <col min="9" max="9" width="4" style="190" customWidth="1"/>
    <col min="10" max="10" width="14.25" style="190" customWidth="1"/>
    <col min="11" max="16384" width="10.875" style="190"/>
  </cols>
  <sheetData>
    <row r="3" spans="1:10" x14ac:dyDescent="0.25">
      <c r="J3" s="528" t="str">
        <f>'Ex 1'!$K$1</f>
        <v>Revised Exhibit 1</v>
      </c>
    </row>
    <row r="4" spans="1:10" x14ac:dyDescent="0.25">
      <c r="J4" s="30" t="str">
        <f>"Reference Schedule "&amp;Inputs!$A43&amp;""</f>
        <v>Reference Schedule 1.31</v>
      </c>
    </row>
    <row r="5" spans="1:10" x14ac:dyDescent="0.25">
      <c r="J5" s="529" t="str">
        <f>"Sponsoring Witness: "&amp;Inputs!$B43&amp;""</f>
        <v>Sponsoring Witness: Blake</v>
      </c>
    </row>
    <row r="6" spans="1:10" x14ac:dyDescent="0.25">
      <c r="J6" s="30"/>
    </row>
    <row r="8" spans="1:10" x14ac:dyDescent="0.25">
      <c r="A8" s="191" t="s">
        <v>230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x14ac:dyDescent="0.25">
      <c r="A9" s="192"/>
      <c r="B9" s="192"/>
      <c r="C9" s="192"/>
      <c r="D9" s="192"/>
      <c r="E9" s="192"/>
      <c r="F9" s="192"/>
      <c r="G9" s="192"/>
      <c r="H9" s="192"/>
      <c r="I9" s="192"/>
      <c r="J9" s="192"/>
    </row>
    <row r="10" spans="1:10" x14ac:dyDescent="0.25">
      <c r="A10" s="193"/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x14ac:dyDescent="0.25">
      <c r="A11" s="194" t="s">
        <v>318</v>
      </c>
      <c r="B11" s="194"/>
      <c r="C11" s="194"/>
      <c r="D11" s="194"/>
      <c r="E11" s="194"/>
      <c r="F11" s="194"/>
      <c r="G11" s="194"/>
      <c r="H11" s="194"/>
      <c r="I11" s="194"/>
      <c r="J11" s="194"/>
    </row>
    <row r="12" spans="1:10" x14ac:dyDescent="0.25">
      <c r="A12" s="195" t="str">
        <f>"For the Twelve Months Ended "&amp;Inputs!B3&amp;""</f>
        <v>For the Twelve Months Ended March 31, 2012</v>
      </c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x14ac:dyDescent="0.25">
      <c r="B13" s="196"/>
    </row>
    <row r="14" spans="1:10" x14ac:dyDescent="0.25">
      <c r="E14" s="197"/>
      <c r="H14" s="197"/>
      <c r="J14" s="198"/>
    </row>
    <row r="15" spans="1:10" x14ac:dyDescent="0.25">
      <c r="A15" s="378" t="s">
        <v>265</v>
      </c>
      <c r="E15" s="49"/>
      <c r="F15" s="40"/>
      <c r="G15" s="40"/>
      <c r="H15" s="49"/>
      <c r="I15" s="40"/>
      <c r="J15" s="40"/>
    </row>
    <row r="16" spans="1:10" x14ac:dyDescent="0.25">
      <c r="A16" s="190" t="s">
        <v>266</v>
      </c>
      <c r="E16" s="199"/>
      <c r="H16" s="199"/>
      <c r="J16" s="40">
        <v>807582</v>
      </c>
    </row>
    <row r="17" spans="1:10" x14ac:dyDescent="0.25">
      <c r="A17" s="190" t="s">
        <v>267</v>
      </c>
      <c r="C17" s="199"/>
      <c r="D17" s="199"/>
      <c r="E17" s="36"/>
      <c r="F17" s="36"/>
      <c r="G17" s="36"/>
      <c r="H17" s="36"/>
      <c r="I17" s="36"/>
      <c r="J17" s="36">
        <v>-175111</v>
      </c>
    </row>
    <row r="18" spans="1:10" x14ac:dyDescent="0.25">
      <c r="A18" s="200"/>
      <c r="B18" s="199"/>
      <c r="C18" s="199"/>
      <c r="D18" s="199"/>
      <c r="E18" s="201"/>
      <c r="F18" s="201"/>
      <c r="G18" s="201"/>
      <c r="H18" s="201"/>
      <c r="I18" s="199"/>
      <c r="J18" s="202"/>
    </row>
    <row r="19" spans="1:10" x14ac:dyDescent="0.25">
      <c r="A19" s="378" t="s">
        <v>268</v>
      </c>
      <c r="B19" s="199"/>
      <c r="C19" s="199"/>
      <c r="D19" s="199"/>
      <c r="E19" s="197"/>
      <c r="F19" s="199"/>
      <c r="G19" s="199"/>
      <c r="H19" s="49"/>
      <c r="I19" s="199"/>
      <c r="J19" s="40">
        <f>SUM(J16:J18)</f>
        <v>632471</v>
      </c>
    </row>
    <row r="20" spans="1:10" x14ac:dyDescent="0.25">
      <c r="A20" s="196"/>
      <c r="B20" s="199"/>
      <c r="C20" s="199"/>
      <c r="D20" s="199"/>
      <c r="E20" s="197"/>
      <c r="F20" s="199"/>
      <c r="G20" s="199"/>
      <c r="H20" s="49"/>
      <c r="I20" s="199"/>
      <c r="J20" s="36"/>
    </row>
    <row r="21" spans="1:10" x14ac:dyDescent="0.25">
      <c r="A21" s="200" t="s">
        <v>94</v>
      </c>
      <c r="B21" s="199"/>
      <c r="C21" s="199"/>
      <c r="D21" s="199"/>
      <c r="E21" s="197"/>
      <c r="F21" s="199"/>
      <c r="G21" s="199"/>
      <c r="H21" s="197"/>
      <c r="I21" s="199"/>
      <c r="J21" s="197"/>
    </row>
    <row r="22" spans="1:10" x14ac:dyDescent="0.25">
      <c r="A22" s="378" t="s">
        <v>607</v>
      </c>
      <c r="E22" s="199"/>
      <c r="H22" s="199"/>
      <c r="J22" s="425">
        <v>-214221</v>
      </c>
    </row>
    <row r="23" spans="1:10" x14ac:dyDescent="0.25">
      <c r="A23" s="196"/>
      <c r="B23" s="199"/>
      <c r="C23" s="199"/>
      <c r="D23" s="199"/>
      <c r="E23" s="201"/>
      <c r="F23" s="201"/>
      <c r="G23" s="201"/>
      <c r="H23" s="201"/>
      <c r="I23" s="199"/>
      <c r="J23" s="201"/>
    </row>
    <row r="24" spans="1:10" x14ac:dyDescent="0.25">
      <c r="A24" s="200" t="s">
        <v>53</v>
      </c>
      <c r="B24" s="199"/>
      <c r="C24" s="199"/>
      <c r="D24" s="199"/>
      <c r="E24" s="197"/>
      <c r="F24" s="199"/>
      <c r="G24" s="199"/>
      <c r="H24" s="49"/>
      <c r="I24" s="199"/>
      <c r="J24" s="49">
        <f>SUM(J22:J23)</f>
        <v>-214221</v>
      </c>
    </row>
    <row r="25" spans="1:10" x14ac:dyDescent="0.25">
      <c r="A25" s="196"/>
      <c r="H25" s="199"/>
    </row>
    <row r="26" spans="1:10" x14ac:dyDescent="0.25">
      <c r="A26" s="200" t="s">
        <v>269</v>
      </c>
      <c r="H26" s="199"/>
      <c r="J26" s="190">
        <f>(-J17)*0.35</f>
        <v>61288.85</v>
      </c>
    </row>
    <row r="27" spans="1:10" x14ac:dyDescent="0.25">
      <c r="A27" s="196"/>
      <c r="H27" s="199"/>
    </row>
    <row r="28" spans="1:10" ht="29.25" customHeight="1" thickBot="1" x14ac:dyDescent="0.3">
      <c r="A28" s="378" t="s">
        <v>270</v>
      </c>
      <c r="H28" s="199"/>
      <c r="J28" s="121">
        <f>J19+J24+J26</f>
        <v>479538.85</v>
      </c>
    </row>
    <row r="29" spans="1:10" ht="16.5" thickTop="1" x14ac:dyDescent="0.25">
      <c r="A29" s="196"/>
      <c r="H29" s="199"/>
    </row>
    <row r="30" spans="1:10" x14ac:dyDescent="0.25">
      <c r="A30" s="378" t="s">
        <v>396</v>
      </c>
      <c r="H30" s="199"/>
      <c r="J30" s="109">
        <f>Allocators!C45</f>
        <v>0.90968327294013573</v>
      </c>
    </row>
    <row r="31" spans="1:10" x14ac:dyDescent="0.25">
      <c r="H31" s="199"/>
    </row>
    <row r="32" spans="1:10" ht="16.5" thickBot="1" x14ac:dyDescent="0.3">
      <c r="A32" s="378" t="s">
        <v>271</v>
      </c>
      <c r="J32" s="55">
        <f>ROUND(+J28*J30,0)</f>
        <v>436228</v>
      </c>
    </row>
    <row r="33" spans="1:10" ht="16.5" thickTop="1" x14ac:dyDescent="0.25"/>
    <row r="34" spans="1:10" ht="16.5" thickBot="1" x14ac:dyDescent="0.3">
      <c r="A34" s="378" t="s">
        <v>272</v>
      </c>
      <c r="J34" s="55">
        <f>-J32</f>
        <v>-436228</v>
      </c>
    </row>
    <row r="35" spans="1:10" ht="16.5" thickTop="1" x14ac:dyDescent="0.25"/>
  </sheetData>
  <printOptions horizontalCentered="1" gridLinesSet="0"/>
  <pageMargins left="1.25" right="0.75" top="1" bottom="1" header="0.5" footer="0.5"/>
  <pageSetup scale="9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G53"/>
  <sheetViews>
    <sheetView showGridLines="0" zoomScaleNormal="100" workbookViewId="0">
      <selection activeCell="G19" sqref="G19"/>
    </sheetView>
  </sheetViews>
  <sheetFormatPr defaultColWidth="9.625" defaultRowHeight="15.75" x14ac:dyDescent="0.25"/>
  <cols>
    <col min="1" max="2" width="9.625" style="190"/>
    <col min="3" max="3" width="10.625" style="190" customWidth="1"/>
    <col min="4" max="5" width="13.125" style="190" customWidth="1"/>
    <col min="6" max="6" width="4.125" style="190" customWidth="1"/>
    <col min="7" max="7" width="13.125" style="190" customWidth="1"/>
    <col min="8" max="16384" width="9.625" style="190"/>
  </cols>
  <sheetData>
    <row r="3" spans="1:7" x14ac:dyDescent="0.25">
      <c r="G3" s="528" t="str">
        <f>'Ex 1'!$K$1</f>
        <v>Revised Exhibit 1</v>
      </c>
    </row>
    <row r="4" spans="1:7" x14ac:dyDescent="0.25">
      <c r="G4" s="30" t="str">
        <f>"Reference Schedule "&amp;Inputs!$A44&amp;""</f>
        <v>Reference Schedule 1.32</v>
      </c>
    </row>
    <row r="5" spans="1:7" x14ac:dyDescent="0.25">
      <c r="G5" s="529" t="str">
        <f>"Sponsoring Witness: "&amp;Inputs!$B44&amp;""</f>
        <v>Sponsoring Witness: Blake</v>
      </c>
    </row>
    <row r="6" spans="1:7" x14ac:dyDescent="0.25">
      <c r="G6" s="529"/>
    </row>
    <row r="8" spans="1:7" x14ac:dyDescent="0.25">
      <c r="A8" s="829" t="s">
        <v>230</v>
      </c>
      <c r="B8" s="829"/>
      <c r="C8" s="829"/>
      <c r="D8" s="829"/>
      <c r="E8" s="829"/>
      <c r="F8" s="829"/>
      <c r="G8" s="829"/>
    </row>
    <row r="9" spans="1:7" x14ac:dyDescent="0.25">
      <c r="A9" s="194"/>
      <c r="B9" s="194"/>
      <c r="C9" s="194"/>
      <c r="D9" s="194"/>
      <c r="E9" s="194"/>
      <c r="F9" s="194"/>
      <c r="G9" s="194"/>
    </row>
    <row r="10" spans="1:7" x14ac:dyDescent="0.25">
      <c r="A10" s="194"/>
      <c r="B10" s="194"/>
      <c r="C10" s="194"/>
      <c r="D10" s="194"/>
      <c r="E10" s="194"/>
      <c r="F10" s="194"/>
      <c r="G10" s="194"/>
    </row>
    <row r="11" spans="1:7" x14ac:dyDescent="0.25">
      <c r="A11" s="194" t="s">
        <v>712</v>
      </c>
      <c r="B11" s="194"/>
      <c r="C11" s="194"/>
      <c r="D11" s="194"/>
      <c r="E11" s="194"/>
      <c r="F11" s="194"/>
      <c r="G11" s="194"/>
    </row>
    <row r="12" spans="1:7" x14ac:dyDescent="0.25">
      <c r="A12" s="830" t="str">
        <f>"For the Twelve Months Ended "&amp;Inputs!B3&amp;""</f>
        <v>For the Twelve Months Ended March 31, 2012</v>
      </c>
      <c r="B12" s="830"/>
      <c r="C12" s="830"/>
      <c r="D12" s="830"/>
      <c r="E12" s="830"/>
      <c r="F12" s="830"/>
      <c r="G12" s="830"/>
    </row>
    <row r="15" spans="1:7" x14ac:dyDescent="0.25">
      <c r="E15" s="704"/>
      <c r="G15" s="704"/>
    </row>
    <row r="16" spans="1:7" ht="25.5" customHeight="1" x14ac:dyDescent="0.4">
      <c r="E16" s="53"/>
      <c r="F16" s="54"/>
      <c r="G16" s="53"/>
    </row>
    <row r="17" spans="1:7" x14ac:dyDescent="0.25">
      <c r="A17" s="712" t="s">
        <v>713</v>
      </c>
      <c r="B17" s="713"/>
      <c r="C17" s="713"/>
      <c r="D17" s="713"/>
      <c r="E17" s="49"/>
      <c r="F17" s="40"/>
      <c r="G17" s="40">
        <v>697547</v>
      </c>
    </row>
    <row r="18" spans="1:7" x14ac:dyDescent="0.25">
      <c r="A18" s="445"/>
      <c r="B18" s="440"/>
      <c r="C18" s="440"/>
      <c r="D18" s="440"/>
      <c r="E18" s="448"/>
      <c r="F18" s="705"/>
      <c r="G18" s="440"/>
    </row>
    <row r="19" spans="1:7" x14ac:dyDescent="0.25">
      <c r="A19" s="712" t="s">
        <v>716</v>
      </c>
      <c r="B19" s="713"/>
      <c r="C19" s="713"/>
      <c r="D19" s="713"/>
      <c r="E19" s="49"/>
      <c r="F19" s="40"/>
      <c r="G19" s="425">
        <v>1061585</v>
      </c>
    </row>
    <row r="20" spans="1:7" x14ac:dyDescent="0.25">
      <c r="A20" s="445"/>
      <c r="B20" s="440"/>
      <c r="C20" s="440"/>
      <c r="D20" s="440"/>
      <c r="E20" s="448"/>
      <c r="F20" s="705"/>
      <c r="G20" s="440"/>
    </row>
    <row r="21" spans="1:7" x14ac:dyDescent="0.25">
      <c r="A21" s="712" t="s">
        <v>715</v>
      </c>
      <c r="B21" s="713"/>
      <c r="C21" s="713"/>
      <c r="D21" s="713"/>
      <c r="E21" s="49"/>
      <c r="F21" s="40"/>
      <c r="G21" s="40">
        <f>G17-G19</f>
        <v>-364038</v>
      </c>
    </row>
    <row r="22" spans="1:7" x14ac:dyDescent="0.25">
      <c r="A22" s="445"/>
      <c r="B22" s="440"/>
      <c r="C22" s="440"/>
      <c r="D22" s="440"/>
      <c r="E22" s="448"/>
      <c r="F22" s="705"/>
      <c r="G22" s="440"/>
    </row>
    <row r="23" spans="1:7" x14ac:dyDescent="0.25">
      <c r="A23" s="447" t="s">
        <v>394</v>
      </c>
      <c r="B23" s="440"/>
      <c r="C23" s="440"/>
      <c r="D23" s="440"/>
      <c r="E23" s="306"/>
      <c r="F23" s="36"/>
      <c r="G23" s="351">
        <f>Allocators!C45</f>
        <v>0.90968327294013573</v>
      </c>
    </row>
    <row r="24" spans="1:7" x14ac:dyDescent="0.25">
      <c r="A24" s="445"/>
      <c r="B24" s="440"/>
      <c r="C24" s="440"/>
      <c r="D24" s="440"/>
      <c r="E24" s="448"/>
      <c r="F24" s="199"/>
      <c r="G24" s="440"/>
    </row>
    <row r="25" spans="1:7" ht="16.5" thickBot="1" x14ac:dyDescent="0.3">
      <c r="A25" s="447" t="s">
        <v>371</v>
      </c>
      <c r="B25" s="440"/>
      <c r="C25" s="440"/>
      <c r="D25" s="440"/>
      <c r="E25" s="49"/>
      <c r="F25" s="199"/>
      <c r="G25" s="55">
        <f>ROUND(G21*G23,0)</f>
        <v>-331159</v>
      </c>
    </row>
    <row r="26" spans="1:7" ht="16.5" thickTop="1" x14ac:dyDescent="0.25">
      <c r="A26" s="196"/>
      <c r="E26" s="714"/>
      <c r="G26" s="706" t="s">
        <v>714</v>
      </c>
    </row>
    <row r="29" spans="1:7" s="199" customFormat="1" x14ac:dyDescent="0.25">
      <c r="A29" s="707"/>
      <c r="B29" s="708"/>
      <c r="C29" s="708"/>
      <c r="D29" s="708"/>
    </row>
    <row r="30" spans="1:7" s="199" customFormat="1" x14ac:dyDescent="0.25">
      <c r="A30" s="709"/>
      <c r="B30" s="708"/>
      <c r="C30" s="708"/>
      <c r="D30" s="708"/>
    </row>
    <row r="31" spans="1:7" s="199" customFormat="1" x14ac:dyDescent="0.25">
      <c r="B31" s="710"/>
    </row>
    <row r="32" spans="1:7" s="199" customFormat="1" x14ac:dyDescent="0.25"/>
    <row r="33" spans="1:5" s="199" customFormat="1" x14ac:dyDescent="0.25"/>
    <row r="34" spans="1:5" s="199" customFormat="1" x14ac:dyDescent="0.25"/>
    <row r="35" spans="1:5" s="199" customFormat="1" x14ac:dyDescent="0.25">
      <c r="B35" s="201"/>
      <c r="C35" s="201"/>
      <c r="D35" s="201"/>
    </row>
    <row r="36" spans="1:5" s="199" customFormat="1" x14ac:dyDescent="0.25">
      <c r="A36" s="710"/>
      <c r="B36" s="201"/>
      <c r="C36" s="201"/>
      <c r="D36" s="201"/>
      <c r="E36" s="56"/>
    </row>
    <row r="37" spans="1:5" s="199" customFormat="1" x14ac:dyDescent="0.25">
      <c r="B37" s="201"/>
      <c r="C37" s="201"/>
      <c r="D37" s="201"/>
    </row>
    <row r="38" spans="1:5" s="199" customFormat="1" x14ac:dyDescent="0.25">
      <c r="A38" s="710"/>
      <c r="B38" s="201"/>
      <c r="C38" s="201"/>
      <c r="D38" s="201"/>
      <c r="E38" s="56"/>
    </row>
    <row r="39" spans="1:5" s="199" customFormat="1" x14ac:dyDescent="0.25">
      <c r="B39" s="201"/>
      <c r="C39" s="201"/>
      <c r="D39" s="201"/>
      <c r="E39" s="201"/>
    </row>
    <row r="40" spans="1:5" s="199" customFormat="1" x14ac:dyDescent="0.25">
      <c r="A40" s="710"/>
      <c r="B40" s="201"/>
      <c r="C40" s="201"/>
      <c r="D40" s="201"/>
      <c r="E40" s="56"/>
    </row>
    <row r="41" spans="1:5" s="199" customFormat="1" x14ac:dyDescent="0.25">
      <c r="B41" s="201"/>
      <c r="C41" s="201"/>
      <c r="D41" s="201"/>
      <c r="E41" s="201"/>
    </row>
    <row r="42" spans="1:5" s="199" customFormat="1" x14ac:dyDescent="0.25">
      <c r="A42" s="710"/>
      <c r="B42" s="201"/>
      <c r="C42" s="201"/>
      <c r="D42" s="201"/>
      <c r="E42" s="110"/>
    </row>
    <row r="43" spans="1:5" s="199" customFormat="1" x14ac:dyDescent="0.25">
      <c r="A43" s="710"/>
      <c r="E43" s="197"/>
    </row>
    <row r="44" spans="1:5" s="199" customFormat="1" x14ac:dyDescent="0.25">
      <c r="A44" s="710"/>
      <c r="B44" s="201"/>
      <c r="C44" s="201"/>
      <c r="D44" s="201"/>
      <c r="E44" s="56"/>
    </row>
    <row r="45" spans="1:5" s="199" customFormat="1" x14ac:dyDescent="0.25"/>
    <row r="46" spans="1:5" s="199" customFormat="1" x14ac:dyDescent="0.25">
      <c r="A46" s="710"/>
      <c r="E46" s="56"/>
    </row>
    <row r="47" spans="1:5" s="199" customFormat="1" x14ac:dyDescent="0.25"/>
    <row r="48" spans="1:5" s="199" customFormat="1" x14ac:dyDescent="0.25">
      <c r="A48" s="710"/>
      <c r="E48" s="711"/>
    </row>
    <row r="49" spans="2:5" s="199" customFormat="1" x14ac:dyDescent="0.25">
      <c r="E49" s="197"/>
    </row>
    <row r="50" spans="2:5" s="199" customFormat="1" x14ac:dyDescent="0.25">
      <c r="B50" s="710"/>
      <c r="E50" s="56"/>
    </row>
    <row r="51" spans="2:5" s="199" customFormat="1" x14ac:dyDescent="0.25"/>
    <row r="52" spans="2:5" s="199" customFormat="1" x14ac:dyDescent="0.25"/>
    <row r="53" spans="2:5" s="199" customFormat="1" x14ac:dyDescent="0.25"/>
  </sheetData>
  <mergeCells count="2">
    <mergeCell ref="A8:G8"/>
    <mergeCell ref="A12:G12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T82"/>
  <sheetViews>
    <sheetView showGridLines="0" view="pageBreakPreview" zoomScale="75" zoomScaleNormal="70" zoomScaleSheetLayoutView="75" workbookViewId="0"/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18.625" style="299" customWidth="1"/>
    <col min="5" max="5" width="1.625" style="300" customWidth="1"/>
    <col min="6" max="6" width="18.625" style="299" customWidth="1"/>
    <col min="7" max="7" width="1.625" style="300" customWidth="1"/>
    <col min="8" max="8" width="16.625" style="299" customWidth="1"/>
    <col min="9" max="9" width="1.625" style="300" customWidth="1"/>
    <col min="10" max="10" width="16.625" style="299" customWidth="1"/>
    <col min="11" max="11" width="1.625" style="300" customWidth="1"/>
    <col min="12" max="12" width="18.625" style="299" customWidth="1"/>
    <col min="13" max="13" width="1.625" style="300" customWidth="1"/>
    <col min="14" max="14" width="18.625" style="299" customWidth="1"/>
    <col min="15" max="15" width="1.625" style="300" customWidth="1"/>
    <col min="16" max="16" width="18.625" style="299" customWidth="1"/>
    <col min="17" max="17" width="9.5" style="318" bestFit="1" customWidth="1"/>
    <col min="18" max="18" width="11.75" style="299" bestFit="1" customWidth="1"/>
    <col min="19" max="19" width="9" style="299"/>
    <col min="20" max="20" width="15.375" style="299" bestFit="1" customWidth="1"/>
    <col min="21" max="16384" width="9" style="299"/>
  </cols>
  <sheetData>
    <row r="1" spans="1:20" x14ac:dyDescent="0.25">
      <c r="P1" s="528" t="s">
        <v>276</v>
      </c>
    </row>
    <row r="2" spans="1:20" x14ac:dyDescent="0.25">
      <c r="P2" s="529" t="str">
        <f>"Sponsoring Witness: "&amp;Inputs!$B9&amp;""</f>
        <v>Sponsoring Witness: Blake</v>
      </c>
      <c r="R2" s="528"/>
    </row>
    <row r="3" spans="1:20" x14ac:dyDescent="0.25">
      <c r="P3" s="398" t="s">
        <v>4</v>
      </c>
    </row>
    <row r="5" spans="1:20" x14ac:dyDescent="0.25">
      <c r="A5" s="799" t="s">
        <v>230</v>
      </c>
      <c r="B5" s="799"/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799"/>
      <c r="O5" s="799"/>
      <c r="P5" s="799"/>
    </row>
    <row r="7" spans="1:20" x14ac:dyDescent="0.25">
      <c r="A7" s="807" t="s">
        <v>329</v>
      </c>
      <c r="B7" s="807"/>
      <c r="C7" s="807"/>
      <c r="D7" s="807"/>
      <c r="E7" s="807"/>
      <c r="F7" s="807"/>
      <c r="G7" s="807"/>
      <c r="H7" s="807"/>
      <c r="I7" s="807"/>
      <c r="J7" s="807"/>
      <c r="K7" s="807"/>
      <c r="L7" s="807"/>
      <c r="M7" s="807"/>
      <c r="N7" s="807"/>
      <c r="O7" s="807"/>
      <c r="P7" s="807"/>
    </row>
    <row r="8" spans="1:20" x14ac:dyDescent="0.25">
      <c r="A8" s="805" t="str">
        <f>"At "&amp;Inputs!B3&amp;""</f>
        <v>At March 31, 2012</v>
      </c>
      <c r="B8" s="805"/>
      <c r="C8" s="805"/>
      <c r="D8" s="805"/>
      <c r="E8" s="805"/>
      <c r="F8" s="805"/>
      <c r="G8" s="805"/>
      <c r="H8" s="805"/>
      <c r="I8" s="805"/>
      <c r="J8" s="805"/>
      <c r="K8" s="805"/>
      <c r="L8" s="805"/>
      <c r="M8" s="805"/>
      <c r="N8" s="805"/>
      <c r="O8" s="805"/>
      <c r="P8" s="805"/>
    </row>
    <row r="9" spans="1:20" x14ac:dyDescent="0.25">
      <c r="A9" s="301"/>
      <c r="B9" s="6"/>
      <c r="C9" s="78"/>
      <c r="D9" s="6"/>
      <c r="E9" s="78"/>
      <c r="F9" s="6"/>
      <c r="G9" s="78"/>
      <c r="H9" s="6"/>
      <c r="I9" s="78"/>
      <c r="J9" s="6"/>
      <c r="K9" s="78"/>
      <c r="L9" s="6"/>
      <c r="M9" s="78"/>
      <c r="N9" s="6"/>
      <c r="O9" s="78"/>
      <c r="P9" s="6"/>
    </row>
    <row r="10" spans="1:20" x14ac:dyDescent="0.25">
      <c r="A10" s="301"/>
    </row>
    <row r="11" spans="1:20" x14ac:dyDescent="0.25">
      <c r="A11" s="301"/>
      <c r="B11" s="6"/>
      <c r="C11" s="78"/>
      <c r="D11" s="429"/>
      <c r="E11" s="78"/>
      <c r="F11" s="6"/>
      <c r="G11" s="78"/>
      <c r="H11" s="6"/>
      <c r="I11" s="78"/>
      <c r="J11" s="6"/>
      <c r="K11" s="78"/>
      <c r="L11" s="6"/>
      <c r="M11" s="78"/>
      <c r="N11" s="6"/>
      <c r="O11" s="78"/>
      <c r="P11" s="6"/>
    </row>
    <row r="12" spans="1:20" x14ac:dyDescent="0.25">
      <c r="A12" s="301"/>
      <c r="B12" s="379"/>
    </row>
    <row r="13" spans="1:20" x14ac:dyDescent="0.25">
      <c r="A13" s="301"/>
      <c r="B13" s="6"/>
      <c r="C13" s="78"/>
      <c r="D13" s="8" t="s">
        <v>239</v>
      </c>
      <c r="E13" s="78"/>
      <c r="F13" s="8" t="s">
        <v>239</v>
      </c>
      <c r="G13" s="78"/>
      <c r="H13" s="269" t="s">
        <v>239</v>
      </c>
      <c r="I13" s="78"/>
      <c r="J13" s="8" t="s">
        <v>239</v>
      </c>
      <c r="K13" s="78"/>
      <c r="L13" s="8" t="s">
        <v>239</v>
      </c>
      <c r="M13" s="78"/>
      <c r="N13" s="8" t="s">
        <v>261</v>
      </c>
      <c r="O13" s="78"/>
      <c r="P13" s="8" t="s">
        <v>151</v>
      </c>
    </row>
    <row r="14" spans="1:20" x14ac:dyDescent="0.25">
      <c r="A14" s="301"/>
      <c r="B14" s="6"/>
      <c r="C14" s="78"/>
      <c r="D14" s="8" t="s">
        <v>238</v>
      </c>
      <c r="E14" s="78"/>
      <c r="F14" s="8" t="s">
        <v>238</v>
      </c>
      <c r="G14" s="78"/>
      <c r="H14" s="269" t="s">
        <v>238</v>
      </c>
      <c r="I14" s="78"/>
      <c r="J14" s="8" t="s">
        <v>238</v>
      </c>
      <c r="K14" s="78"/>
      <c r="L14" s="8" t="s">
        <v>238</v>
      </c>
      <c r="M14" s="78"/>
      <c r="N14" s="8" t="s">
        <v>238</v>
      </c>
      <c r="O14" s="78"/>
      <c r="P14" s="8" t="s">
        <v>237</v>
      </c>
    </row>
    <row r="15" spans="1:20" x14ac:dyDescent="0.25">
      <c r="A15" s="301"/>
      <c r="B15" s="6" t="s">
        <v>291</v>
      </c>
      <c r="C15" s="78"/>
      <c r="D15" s="20" t="s">
        <v>213</v>
      </c>
      <c r="E15" s="78"/>
      <c r="F15" s="20" t="s">
        <v>460</v>
      </c>
      <c r="G15" s="78"/>
      <c r="H15" s="642" t="s">
        <v>529</v>
      </c>
      <c r="I15" s="78"/>
      <c r="J15" s="20" t="s">
        <v>338</v>
      </c>
      <c r="K15" s="78"/>
      <c r="L15" s="20" t="s">
        <v>575</v>
      </c>
      <c r="M15" s="78"/>
      <c r="N15" s="20" t="s">
        <v>461</v>
      </c>
      <c r="O15" s="78"/>
      <c r="P15" s="20" t="s">
        <v>461</v>
      </c>
    </row>
    <row r="16" spans="1:20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  <c r="I16" s="78"/>
      <c r="J16" s="303">
        <v>-5</v>
      </c>
      <c r="K16" s="78"/>
      <c r="L16" s="303">
        <v>-6</v>
      </c>
      <c r="M16" s="78"/>
      <c r="N16" s="303">
        <v>-7</v>
      </c>
      <c r="O16" s="78"/>
      <c r="P16" s="303">
        <v>-8</v>
      </c>
      <c r="R16" s="500"/>
      <c r="S16" s="300"/>
      <c r="T16" s="300"/>
    </row>
    <row r="17" spans="1:20" x14ac:dyDescent="0.25">
      <c r="A17" s="301"/>
      <c r="B17" s="6"/>
      <c r="C17" s="78"/>
      <c r="D17" s="6"/>
      <c r="E17" s="78"/>
      <c r="F17" s="8" t="s">
        <v>410</v>
      </c>
      <c r="G17" s="78"/>
      <c r="H17" s="6" t="s">
        <v>573</v>
      </c>
      <c r="I17" s="78"/>
      <c r="J17" s="6" t="s">
        <v>339</v>
      </c>
      <c r="K17" s="78"/>
      <c r="L17" s="20" t="s">
        <v>572</v>
      </c>
      <c r="M17" s="78"/>
      <c r="N17" s="6"/>
      <c r="O17" s="78"/>
      <c r="P17" s="6" t="s">
        <v>576</v>
      </c>
      <c r="R17" s="300"/>
      <c r="S17" s="300"/>
      <c r="T17" s="300"/>
    </row>
    <row r="18" spans="1:20" ht="21" customHeight="1" x14ac:dyDescent="0.25">
      <c r="A18" s="304">
        <f>1</f>
        <v>1</v>
      </c>
      <c r="B18" s="1" t="s">
        <v>319</v>
      </c>
      <c r="C18" s="29"/>
      <c r="D18" s="331">
        <f>5653048566+299563000</f>
        <v>5952611566</v>
      </c>
      <c r="E18" s="39"/>
      <c r="F18" s="119">
        <f>'SuppSch-Ex 3(Page3)'!D18</f>
        <v>1312398572</v>
      </c>
      <c r="G18" s="39"/>
      <c r="H18" s="119">
        <f>'SuppSch-Ex 3(Page3)'!J18</f>
        <v>1130003626</v>
      </c>
      <c r="I18" s="39"/>
      <c r="J18" s="119">
        <f>F18-H18</f>
        <v>182394946</v>
      </c>
      <c r="K18" s="39"/>
      <c r="L18" s="119">
        <f>D18-J18</f>
        <v>5770216620</v>
      </c>
      <c r="M18" s="39"/>
      <c r="N18" s="329">
        <f>385619848+18539714+453901608+27135725</f>
        <v>885196895</v>
      </c>
      <c r="O18" s="39"/>
      <c r="P18" s="119">
        <f>D18+N18</f>
        <v>6837808461</v>
      </c>
      <c r="R18" s="300"/>
      <c r="S18" s="300"/>
      <c r="T18" s="501"/>
    </row>
    <row r="19" spans="1:20" ht="13.5" customHeight="1" x14ac:dyDescent="0.25">
      <c r="A19" s="301"/>
      <c r="B19" s="1"/>
      <c r="C19" s="29"/>
      <c r="D19" s="89"/>
      <c r="E19" s="39"/>
      <c r="F19" s="89"/>
      <c r="G19" s="39"/>
      <c r="H19" s="89"/>
      <c r="I19" s="39"/>
      <c r="J19" s="89"/>
      <c r="K19" s="39"/>
      <c r="L19" s="89"/>
      <c r="M19" s="39"/>
      <c r="N19" s="89"/>
      <c r="O19" s="39"/>
      <c r="P19" s="89"/>
      <c r="R19" s="300"/>
      <c r="S19" s="300"/>
      <c r="T19" s="300"/>
    </row>
    <row r="20" spans="1:20" ht="21" customHeight="1" x14ac:dyDescent="0.25">
      <c r="A20" s="304">
        <f>1+A18</f>
        <v>2</v>
      </c>
      <c r="B20" s="1" t="s">
        <v>293</v>
      </c>
      <c r="C20" s="29"/>
      <c r="D20" s="89"/>
      <c r="E20" s="39"/>
      <c r="F20" s="89"/>
      <c r="G20" s="39"/>
      <c r="H20" s="89"/>
      <c r="I20" s="39"/>
      <c r="J20" s="89"/>
      <c r="K20" s="39"/>
      <c r="L20" s="89"/>
      <c r="M20" s="39"/>
      <c r="N20" s="89"/>
      <c r="O20" s="39"/>
      <c r="P20" s="89"/>
      <c r="R20" s="300"/>
      <c r="S20" s="300"/>
      <c r="T20" s="300"/>
    </row>
    <row r="21" spans="1:20" ht="21" customHeight="1" x14ac:dyDescent="0.25">
      <c r="A21" s="304">
        <f>1+A20</f>
        <v>3</v>
      </c>
      <c r="B21" s="1" t="s">
        <v>320</v>
      </c>
      <c r="C21" s="29"/>
      <c r="D21" s="332">
        <v>2091528460</v>
      </c>
      <c r="E21" s="39"/>
      <c r="F21" s="89">
        <f>'SuppSch-Ex 3(Page3)'!D21</f>
        <v>104601971</v>
      </c>
      <c r="G21" s="39"/>
      <c r="H21" s="89">
        <f>'SuppSch-Ex 3(Page3)'!J21</f>
        <v>104543164</v>
      </c>
      <c r="I21" s="39"/>
      <c r="J21" s="89">
        <f>F21-H21</f>
        <v>58807</v>
      </c>
      <c r="K21" s="39"/>
      <c r="L21" s="89">
        <f>D21-J21</f>
        <v>2091469653</v>
      </c>
      <c r="M21" s="39"/>
      <c r="N21" s="330">
        <f>159664578+168093165</f>
        <v>327757743</v>
      </c>
      <c r="O21" s="39"/>
      <c r="P21" s="89">
        <f>D21+N21</f>
        <v>2419286203</v>
      </c>
      <c r="R21" s="300"/>
      <c r="S21" s="300"/>
      <c r="T21" s="501"/>
    </row>
    <row r="22" spans="1:20" ht="13.5" customHeight="1" x14ac:dyDescent="0.25">
      <c r="A22" s="304"/>
      <c r="B22" s="1"/>
      <c r="C22" s="29"/>
      <c r="D22" s="89"/>
      <c r="E22" s="39"/>
      <c r="F22" s="89"/>
      <c r="G22" s="39"/>
      <c r="H22" s="89"/>
      <c r="I22" s="39"/>
      <c r="J22" s="89"/>
      <c r="K22" s="39"/>
      <c r="L22" s="89"/>
      <c r="M22" s="39"/>
      <c r="N22" s="89"/>
      <c r="O22" s="39"/>
      <c r="P22" s="89"/>
      <c r="R22" s="300"/>
      <c r="S22" s="300"/>
      <c r="T22" s="300"/>
    </row>
    <row r="23" spans="1:20" ht="21" customHeight="1" x14ac:dyDescent="0.25">
      <c r="A23" s="304">
        <f>1+A21</f>
        <v>4</v>
      </c>
      <c r="B23" s="1" t="s">
        <v>321</v>
      </c>
      <c r="C23" s="29"/>
      <c r="D23" s="305">
        <f>D18-D21</f>
        <v>3861083106</v>
      </c>
      <c r="E23" s="39"/>
      <c r="F23" s="305">
        <f>+F18-F21</f>
        <v>1207796601</v>
      </c>
      <c r="G23" s="39"/>
      <c r="H23" s="305">
        <f>+H18-H21</f>
        <v>1025460462</v>
      </c>
      <c r="I23" s="39"/>
      <c r="J23" s="305">
        <f>+J18-J21</f>
        <v>182336139</v>
      </c>
      <c r="K23" s="39"/>
      <c r="L23" s="305">
        <f>+L18-L21</f>
        <v>3678746967</v>
      </c>
      <c r="M23" s="39"/>
      <c r="N23" s="305">
        <f>N18-N21</f>
        <v>557439152</v>
      </c>
      <c r="O23" s="39"/>
      <c r="P23" s="305">
        <f>+P18-P21</f>
        <v>4418522258</v>
      </c>
      <c r="R23" s="300"/>
      <c r="S23" s="300"/>
      <c r="T23" s="39"/>
    </row>
    <row r="24" spans="1:20" ht="13.5" customHeight="1" x14ac:dyDescent="0.25">
      <c r="A24" s="304"/>
      <c r="B24" s="1"/>
      <c r="C24" s="29"/>
      <c r="D24" s="89"/>
      <c r="E24" s="39"/>
      <c r="F24" s="89"/>
      <c r="G24" s="39"/>
      <c r="H24" s="89"/>
      <c r="I24" s="39"/>
      <c r="J24" s="89"/>
      <c r="K24" s="39"/>
      <c r="L24" s="89"/>
      <c r="M24" s="39"/>
      <c r="N24" s="89"/>
      <c r="O24" s="39"/>
      <c r="P24" s="89"/>
    </row>
    <row r="25" spans="1:20" ht="21" customHeight="1" x14ac:dyDescent="0.25">
      <c r="A25" s="304">
        <f>1+A23</f>
        <v>5</v>
      </c>
      <c r="B25" s="1" t="s">
        <v>293</v>
      </c>
      <c r="C25" s="29"/>
      <c r="D25" s="89"/>
      <c r="E25" s="39"/>
      <c r="F25" s="89"/>
      <c r="G25" s="39"/>
      <c r="H25" s="89"/>
      <c r="I25" s="39"/>
      <c r="J25" s="89"/>
      <c r="K25" s="39"/>
      <c r="L25" s="89"/>
      <c r="M25" s="39"/>
      <c r="N25" s="89"/>
      <c r="O25" s="39"/>
      <c r="P25" s="89"/>
      <c r="Q25" s="333"/>
    </row>
    <row r="26" spans="1:20" ht="21" customHeight="1" x14ac:dyDescent="0.25">
      <c r="A26" s="304">
        <f>1+A25</f>
        <v>6</v>
      </c>
      <c r="B26" s="1" t="s">
        <v>322</v>
      </c>
      <c r="C26" s="29"/>
      <c r="D26" s="330">
        <v>2936189</v>
      </c>
      <c r="E26" s="39"/>
      <c r="F26" s="89">
        <f>'SuppSch-Ex 3(Page3)'!D26</f>
        <v>0</v>
      </c>
      <c r="G26" s="39"/>
      <c r="H26" s="89">
        <f>'SuppSch-Ex 3(Page3)'!J26</f>
        <v>0</v>
      </c>
      <c r="I26" s="39"/>
      <c r="J26" s="89">
        <f>F26-H26</f>
        <v>0</v>
      </c>
      <c r="K26" s="39"/>
      <c r="L26" s="89">
        <f t="shared" ref="L26:L30" si="0">D26-J26</f>
        <v>2936189</v>
      </c>
      <c r="M26" s="39"/>
      <c r="N26" s="330">
        <v>211698</v>
      </c>
      <c r="O26" s="39"/>
      <c r="P26" s="89">
        <f>D26+N26</f>
        <v>3147887</v>
      </c>
      <c r="R26" s="377"/>
    </row>
    <row r="27" spans="1:20" ht="21" customHeight="1" x14ac:dyDescent="0.25">
      <c r="A27" s="304">
        <f>1+A26</f>
        <v>7</v>
      </c>
      <c r="B27" s="1" t="s">
        <v>323</v>
      </c>
      <c r="C27" s="29"/>
      <c r="D27" s="330">
        <v>439643557</v>
      </c>
      <c r="E27" s="265"/>
      <c r="F27" s="280">
        <f>'SuppSch-Ex 3(Page3)'!D27</f>
        <v>88236954</v>
      </c>
      <c r="G27" s="265"/>
      <c r="H27" s="280">
        <f>'SuppSch-Ex 3(Page3)'!J27</f>
        <v>88089601</v>
      </c>
      <c r="I27" s="265"/>
      <c r="J27" s="280">
        <f>F27-H27</f>
        <v>147353</v>
      </c>
      <c r="K27" s="265"/>
      <c r="L27" s="280">
        <f t="shared" si="0"/>
        <v>439496204</v>
      </c>
      <c r="M27" s="265"/>
      <c r="N27" s="330">
        <f>28594743+33958187</f>
        <v>62552930</v>
      </c>
      <c r="O27" s="265"/>
      <c r="P27" s="280">
        <f>D27+N27</f>
        <v>502196487</v>
      </c>
    </row>
    <row r="28" spans="1:20" ht="21" customHeight="1" x14ac:dyDescent="0.25">
      <c r="A28" s="304">
        <f>1+A27</f>
        <v>8</v>
      </c>
      <c r="B28" s="45" t="s">
        <v>28</v>
      </c>
      <c r="C28" s="29"/>
      <c r="D28" s="265">
        <f>ROUND(P28*Q28,0)</f>
        <v>46378395</v>
      </c>
      <c r="E28" s="265"/>
      <c r="F28" s="265">
        <f>'SuppSch-Ex 3(Page3)'!D28</f>
        <v>0</v>
      </c>
      <c r="G28" s="265"/>
      <c r="H28" s="265">
        <f>'SuppSch-Ex 3(Page3)'!J28</f>
        <v>0</v>
      </c>
      <c r="I28" s="265"/>
      <c r="J28" s="265">
        <f>F28-H28</f>
        <v>0</v>
      </c>
      <c r="K28" s="265"/>
      <c r="L28" s="265">
        <f t="shared" si="0"/>
        <v>46378395</v>
      </c>
      <c r="M28" s="265"/>
      <c r="N28" s="265">
        <f>P28-D28</f>
        <v>7207891</v>
      </c>
      <c r="O28" s="265"/>
      <c r="P28" s="332">
        <f>57517798+374327-4297779-8060</f>
        <v>53586286</v>
      </c>
      <c r="Q28" s="334">
        <v>0.86548999999999998</v>
      </c>
      <c r="R28" s="375" t="s">
        <v>91</v>
      </c>
    </row>
    <row r="29" spans="1:20" ht="21" customHeight="1" x14ac:dyDescent="0.25">
      <c r="A29" s="304">
        <f>1+A28</f>
        <v>9</v>
      </c>
      <c r="B29" s="45" t="s">
        <v>27</v>
      </c>
      <c r="C29" s="29"/>
      <c r="D29" s="265">
        <f>ROUND(P29*Q28,0)</f>
        <v>3062358</v>
      </c>
      <c r="E29" s="39"/>
      <c r="F29" s="39">
        <f>'SuppSch-Ex 3(Page3)'!D29</f>
        <v>0</v>
      </c>
      <c r="G29" s="39"/>
      <c r="H29" s="39">
        <f>'SuppSch-Ex 3(Page3)'!J29</f>
        <v>0</v>
      </c>
      <c r="I29" s="39"/>
      <c r="J29" s="39">
        <f>F29-H29</f>
        <v>0</v>
      </c>
      <c r="K29" s="39"/>
      <c r="L29" s="39">
        <f t="shared" si="0"/>
        <v>3062358</v>
      </c>
      <c r="M29" s="39"/>
      <c r="N29" s="265">
        <f>P29-D29</f>
        <v>475936</v>
      </c>
      <c r="O29" s="39"/>
      <c r="P29" s="332">
        <v>3538294</v>
      </c>
      <c r="R29" s="306"/>
    </row>
    <row r="30" spans="1:20" ht="21" customHeight="1" x14ac:dyDescent="0.25">
      <c r="A30" s="304">
        <f>1+A29</f>
        <v>10</v>
      </c>
      <c r="B30" s="14" t="s">
        <v>49</v>
      </c>
      <c r="C30" s="29"/>
      <c r="D30" s="323">
        <v>86299724</v>
      </c>
      <c r="E30" s="39"/>
      <c r="F30" s="39">
        <f>'SuppSch-Ex 3(Page3)'!D30</f>
        <v>22632203</v>
      </c>
      <c r="G30" s="39"/>
      <c r="H30" s="39">
        <f>'SuppSch-Ex 3(Page3)'!J30</f>
        <v>22632203</v>
      </c>
      <c r="I30" s="39"/>
      <c r="J30" s="39">
        <f>F30-H30</f>
        <v>0</v>
      </c>
      <c r="K30" s="39"/>
      <c r="L30" s="39">
        <f t="shared" si="0"/>
        <v>86299724</v>
      </c>
      <c r="M30" s="39"/>
      <c r="N30" s="323">
        <f>5223560+9184455</f>
        <v>14408015</v>
      </c>
      <c r="O30" s="39"/>
      <c r="P30" s="280">
        <f>D30+N30</f>
        <v>100707739</v>
      </c>
    </row>
    <row r="31" spans="1:20" ht="12" customHeight="1" x14ac:dyDescent="0.25">
      <c r="A31" s="304"/>
      <c r="B31" s="1"/>
      <c r="C31" s="2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20" ht="21" customHeight="1" x14ac:dyDescent="0.25">
      <c r="A32" s="304">
        <f>1+A30</f>
        <v>11</v>
      </c>
      <c r="B32" s="1" t="s">
        <v>324</v>
      </c>
      <c r="C32" s="29"/>
      <c r="D32" s="305">
        <f>SUM(D26:D31)</f>
        <v>578320223</v>
      </c>
      <c r="E32" s="39"/>
      <c r="F32" s="305">
        <f>SUM(F26:F31)</f>
        <v>110869157</v>
      </c>
      <c r="G32" s="39"/>
      <c r="H32" s="305">
        <f>SUM(H26:H31)</f>
        <v>110721804</v>
      </c>
      <c r="I32" s="39"/>
      <c r="J32" s="305">
        <f>SUM(J26:J31)</f>
        <v>147353</v>
      </c>
      <c r="K32" s="39"/>
      <c r="L32" s="305">
        <f>SUM(L26:L31)</f>
        <v>578172870</v>
      </c>
      <c r="M32" s="39"/>
      <c r="N32" s="305">
        <f>SUM(N26:N31)</f>
        <v>84856470</v>
      </c>
      <c r="O32" s="39"/>
      <c r="P32" s="305">
        <f>SUM(P26:P31)</f>
        <v>663176693</v>
      </c>
    </row>
    <row r="33" spans="1:17" ht="13.5" customHeight="1" x14ac:dyDescent="0.25">
      <c r="A33" s="301"/>
      <c r="B33" s="1"/>
      <c r="C33" s="29"/>
      <c r="D33" s="89"/>
      <c r="E33" s="39"/>
      <c r="F33" s="89"/>
      <c r="G33" s="39"/>
      <c r="H33" s="89"/>
      <c r="I33" s="39"/>
      <c r="J33" s="89"/>
      <c r="K33" s="39"/>
      <c r="L33" s="89"/>
      <c r="M33" s="39"/>
      <c r="N33" s="89"/>
      <c r="O33" s="39"/>
      <c r="P33" s="89"/>
    </row>
    <row r="34" spans="1:17" ht="21" customHeight="1" x14ac:dyDescent="0.25">
      <c r="A34" s="301">
        <f>1+A32</f>
        <v>12</v>
      </c>
      <c r="B34" s="1" t="s">
        <v>325</v>
      </c>
      <c r="C34" s="29"/>
      <c r="D34" s="305">
        <f>D23-D32</f>
        <v>3282762883</v>
      </c>
      <c r="E34" s="39"/>
      <c r="F34" s="305">
        <f>+F23-F32</f>
        <v>1096927444</v>
      </c>
      <c r="G34" s="39"/>
      <c r="H34" s="305">
        <f>+H23-H32</f>
        <v>914738658</v>
      </c>
      <c r="I34" s="39"/>
      <c r="J34" s="305">
        <f>+J23-J32</f>
        <v>182188786</v>
      </c>
      <c r="K34" s="39"/>
      <c r="L34" s="305">
        <f>+L23-L32</f>
        <v>3100574097</v>
      </c>
      <c r="M34" s="39"/>
      <c r="N34" s="305">
        <f>N23-N32</f>
        <v>472582682</v>
      </c>
      <c r="O34" s="39"/>
      <c r="P34" s="305">
        <f>+P23-P32</f>
        <v>3755345565</v>
      </c>
    </row>
    <row r="35" spans="1:17" ht="15" customHeight="1" x14ac:dyDescent="0.25">
      <c r="A35" s="301"/>
      <c r="B35" s="1"/>
      <c r="C35" s="29"/>
      <c r="D35" s="89"/>
      <c r="E35" s="39"/>
      <c r="F35" s="89"/>
      <c r="G35" s="39"/>
      <c r="H35" s="89"/>
      <c r="I35" s="39"/>
      <c r="J35" s="89"/>
      <c r="K35" s="39"/>
      <c r="L35" s="89"/>
      <c r="M35" s="39"/>
      <c r="N35" s="89"/>
      <c r="O35" s="39"/>
      <c r="P35" s="89"/>
    </row>
    <row r="36" spans="1:17" ht="21" customHeight="1" x14ac:dyDescent="0.25">
      <c r="A36" s="301">
        <f>1+A34</f>
        <v>13</v>
      </c>
      <c r="B36" s="1" t="s">
        <v>292</v>
      </c>
      <c r="C36" s="29"/>
      <c r="D36" s="89"/>
      <c r="E36" s="39"/>
      <c r="F36" s="89"/>
      <c r="G36" s="39"/>
      <c r="H36" s="89"/>
      <c r="I36" s="39"/>
      <c r="J36" s="89"/>
      <c r="K36" s="39"/>
      <c r="L36" s="89"/>
      <c r="M36" s="39"/>
      <c r="N36" s="89"/>
      <c r="O36" s="39"/>
      <c r="P36" s="89"/>
    </row>
    <row r="37" spans="1:17" ht="21" customHeight="1" x14ac:dyDescent="0.25">
      <c r="A37" s="304">
        <f>1+A36</f>
        <v>14</v>
      </c>
      <c r="B37" s="14" t="s">
        <v>50</v>
      </c>
      <c r="C37" s="29"/>
      <c r="D37" s="330">
        <f>37642731+77455484</f>
        <v>115098215</v>
      </c>
      <c r="E37" s="39"/>
      <c r="F37" s="89">
        <f>'SuppSch-Ex 3(Page3)'!D37</f>
        <v>828915</v>
      </c>
      <c r="G37" s="39"/>
      <c r="H37" s="89">
        <f>'SuppSch-Ex 3(Page3)'!J37</f>
        <v>828915</v>
      </c>
      <c r="I37" s="39"/>
      <c r="J37" s="89">
        <f>F37-H37</f>
        <v>0</v>
      </c>
      <c r="K37" s="39"/>
      <c r="L37" s="89">
        <f t="shared" ref="L37:L40" si="1">D37-J37</f>
        <v>115098215</v>
      </c>
      <c r="M37" s="39"/>
      <c r="N37" s="39">
        <f>P37-D37</f>
        <v>17615722</v>
      </c>
      <c r="O37" s="39"/>
      <c r="P37" s="330">
        <f>43434959+89278978</f>
        <v>132713937</v>
      </c>
    </row>
    <row r="38" spans="1:17" ht="21" customHeight="1" x14ac:dyDescent="0.25">
      <c r="A38" s="304">
        <f>1+A37</f>
        <v>15</v>
      </c>
      <c r="B38" s="205" t="s">
        <v>51</v>
      </c>
      <c r="C38" s="29"/>
      <c r="D38" s="330">
        <v>6567467</v>
      </c>
      <c r="E38" s="39"/>
      <c r="F38" s="89">
        <f>'SuppSch-Ex 3(Page3)'!D38</f>
        <v>0</v>
      </c>
      <c r="G38" s="39"/>
      <c r="H38" s="89">
        <f>'SuppSch-Ex 3(Page3)'!J38</f>
        <v>0</v>
      </c>
      <c r="I38" s="39"/>
      <c r="J38" s="89">
        <f>F38-H38</f>
        <v>0</v>
      </c>
      <c r="K38" s="39"/>
      <c r="L38" s="89">
        <f t="shared" si="1"/>
        <v>6567467</v>
      </c>
      <c r="M38" s="39"/>
      <c r="N38" s="39">
        <f>P38-D38</f>
        <v>759209</v>
      </c>
      <c r="O38" s="39"/>
      <c r="P38" s="330">
        <v>7326676</v>
      </c>
    </row>
    <row r="39" spans="1:17" ht="21" customHeight="1" x14ac:dyDescent="0.25">
      <c r="A39" s="304">
        <f>1+A38</f>
        <v>16</v>
      </c>
      <c r="B39" s="1" t="s">
        <v>264</v>
      </c>
      <c r="C39" s="29"/>
      <c r="D39" s="330">
        <v>415671</v>
      </c>
      <c r="E39" s="39"/>
      <c r="F39" s="89">
        <f>'SuppSch-Ex 3(Page3)'!D39</f>
        <v>299323</v>
      </c>
      <c r="G39" s="39"/>
      <c r="H39" s="89">
        <f>'SuppSch-Ex 3(Page3)'!J39</f>
        <v>-60078</v>
      </c>
      <c r="I39" s="39"/>
      <c r="J39" s="89">
        <f>F39-H39</f>
        <v>359401</v>
      </c>
      <c r="K39" s="39"/>
      <c r="L39" s="89">
        <f t="shared" si="1"/>
        <v>56270</v>
      </c>
      <c r="M39" s="39"/>
      <c r="N39" s="39">
        <f>P39-D39</f>
        <v>64601</v>
      </c>
      <c r="O39" s="39"/>
      <c r="P39" s="330">
        <v>480272</v>
      </c>
      <c r="Q39" s="334"/>
    </row>
    <row r="40" spans="1:17" ht="21" customHeight="1" x14ac:dyDescent="0.25">
      <c r="A40" s="304">
        <f>1+A39</f>
        <v>17</v>
      </c>
      <c r="B40" s="1" t="s">
        <v>52</v>
      </c>
      <c r="C40" s="29"/>
      <c r="D40" s="39">
        <f>D78</f>
        <v>96090910</v>
      </c>
      <c r="E40" s="39"/>
      <c r="F40" s="89">
        <f>F78</f>
        <v>2472255</v>
      </c>
      <c r="G40" s="39"/>
      <c r="H40" s="39">
        <f>'SuppSch-Ex 3(Page3)'!J40</f>
        <v>1353376</v>
      </c>
      <c r="I40" s="39"/>
      <c r="J40" s="39">
        <f>F40-H40</f>
        <v>1118879</v>
      </c>
      <c r="K40" s="39"/>
      <c r="L40" s="39">
        <f t="shared" si="1"/>
        <v>94972031</v>
      </c>
      <c r="M40" s="39"/>
      <c r="N40" s="330">
        <v>7976529</v>
      </c>
      <c r="O40" s="39"/>
      <c r="P40" s="39">
        <f>D40+N40</f>
        <v>104067439</v>
      </c>
    </row>
    <row r="41" spans="1:17" ht="13.5" customHeight="1" x14ac:dyDescent="0.25">
      <c r="A41" s="304"/>
      <c r="B41" s="1"/>
      <c r="C41" s="2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ht="21" customHeight="1" x14ac:dyDescent="0.25">
      <c r="A42" s="304">
        <f>1+A40</f>
        <v>18</v>
      </c>
      <c r="B42" s="45" t="s">
        <v>327</v>
      </c>
      <c r="C42" s="29"/>
      <c r="D42" s="305">
        <f>SUM(D37:D40)</f>
        <v>218172263</v>
      </c>
      <c r="E42" s="39"/>
      <c r="F42" s="305">
        <f>SUM(F37:F40)</f>
        <v>3600493</v>
      </c>
      <c r="G42" s="39"/>
      <c r="H42" s="305">
        <f>SUM(H37:H40)</f>
        <v>2122213</v>
      </c>
      <c r="I42" s="39"/>
      <c r="J42" s="305">
        <f>SUM(J37:J40)</f>
        <v>1478280</v>
      </c>
      <c r="K42" s="39"/>
      <c r="L42" s="305">
        <f>SUM(L37:L40)</f>
        <v>216693983</v>
      </c>
      <c r="M42" s="39"/>
      <c r="N42" s="305">
        <f>SUM(N37:N40)</f>
        <v>26416061</v>
      </c>
      <c r="O42" s="39"/>
      <c r="P42" s="305">
        <f>SUM(P37:P40)</f>
        <v>244588324</v>
      </c>
    </row>
    <row r="43" spans="1:17" ht="13.5" customHeight="1" x14ac:dyDescent="0.25">
      <c r="A43" s="304"/>
      <c r="B43" s="1"/>
      <c r="C43" s="29"/>
      <c r="D43" s="89"/>
      <c r="E43" s="39"/>
      <c r="F43" s="89"/>
      <c r="G43" s="39"/>
      <c r="H43" s="89"/>
      <c r="I43" s="39"/>
      <c r="J43" s="89"/>
      <c r="K43" s="39"/>
      <c r="L43" s="89"/>
      <c r="M43" s="39"/>
      <c r="N43" s="89"/>
      <c r="O43" s="39"/>
      <c r="P43" s="89"/>
    </row>
    <row r="44" spans="1:17" ht="21" customHeight="1" thickBot="1" x14ac:dyDescent="0.3">
      <c r="A44" s="304">
        <f>1+A42</f>
        <v>19</v>
      </c>
      <c r="B44" s="14" t="s">
        <v>328</v>
      </c>
      <c r="C44" s="29"/>
      <c r="D44" s="125">
        <f>+D34+D42</f>
        <v>3500935146</v>
      </c>
      <c r="E44" s="111"/>
      <c r="F44" s="125">
        <f>+F34+F42</f>
        <v>1100527937</v>
      </c>
      <c r="G44" s="111"/>
      <c r="H44" s="125">
        <f>+H34+H42</f>
        <v>916860871</v>
      </c>
      <c r="I44" s="111"/>
      <c r="J44" s="125">
        <f>+J34+J42</f>
        <v>183667066</v>
      </c>
      <c r="K44" s="111"/>
      <c r="L44" s="125">
        <f>+L34+L42</f>
        <v>3317268080</v>
      </c>
      <c r="M44" s="111"/>
      <c r="N44" s="125">
        <f>+N34+N42</f>
        <v>498998743</v>
      </c>
      <c r="O44" s="111"/>
      <c r="P44" s="125">
        <f>+P34+P42</f>
        <v>3999933889</v>
      </c>
    </row>
    <row r="45" spans="1:17" ht="13.5" customHeight="1" thickTop="1" x14ac:dyDescent="0.25">
      <c r="A45" s="304"/>
      <c r="B45" s="1"/>
      <c r="C45" s="29"/>
      <c r="D45" s="89"/>
      <c r="E45" s="39"/>
      <c r="F45" s="89"/>
      <c r="G45" s="39"/>
      <c r="H45" s="89"/>
      <c r="I45" s="39"/>
      <c r="J45" s="89"/>
      <c r="K45" s="39"/>
      <c r="L45" s="89"/>
      <c r="M45" s="39"/>
      <c r="N45" s="89"/>
      <c r="O45" s="39"/>
      <c r="P45" s="89"/>
    </row>
    <row r="46" spans="1:17" ht="15.75" customHeight="1" x14ac:dyDescent="0.25">
      <c r="A46" s="304"/>
      <c r="C46" s="29"/>
      <c r="D46" s="89"/>
      <c r="E46" s="39"/>
      <c r="F46" s="89"/>
      <c r="G46" s="39"/>
      <c r="H46" s="89"/>
      <c r="I46" s="39"/>
      <c r="J46" s="89"/>
      <c r="K46" s="39"/>
      <c r="L46" s="89"/>
      <c r="M46" s="39"/>
      <c r="N46" s="89"/>
      <c r="O46" s="39"/>
      <c r="P46" s="89"/>
    </row>
    <row r="47" spans="1:17" ht="21" customHeight="1" thickBot="1" x14ac:dyDescent="0.3">
      <c r="A47" s="307">
        <f>1+A44</f>
        <v>20</v>
      </c>
      <c r="B47" s="14" t="s">
        <v>43</v>
      </c>
      <c r="C47" s="299"/>
      <c r="D47" s="309">
        <f>ROUND(D44/$P44,4)</f>
        <v>0.87519999999999998</v>
      </c>
      <c r="E47" s="299"/>
      <c r="F47" s="309">
        <f>ROUND(F44/$P44,4)</f>
        <v>0.27510000000000001</v>
      </c>
      <c r="G47" s="299"/>
      <c r="H47" s="309">
        <f>ROUND(H44/$P44,4)</f>
        <v>0.22919999999999999</v>
      </c>
      <c r="I47" s="299"/>
      <c r="J47" s="309">
        <f>ROUND(J44/$P44,4)</f>
        <v>4.5900000000000003E-2</v>
      </c>
      <c r="K47" s="299"/>
      <c r="L47" s="309">
        <f>ROUND(L44/$P44,4)</f>
        <v>0.82930000000000004</v>
      </c>
      <c r="M47" s="299"/>
      <c r="N47" s="309">
        <f>ROUND(N44/$P44,4)</f>
        <v>0.12479999999999999</v>
      </c>
      <c r="O47" s="299"/>
      <c r="P47" s="309">
        <f>ROUND(P44/$P44,4)</f>
        <v>1</v>
      </c>
    </row>
    <row r="48" spans="1:17" ht="18.95" customHeight="1" thickTop="1" x14ac:dyDescent="0.25">
      <c r="A48" s="299"/>
      <c r="C48" s="299"/>
      <c r="E48" s="299"/>
      <c r="F48" s="382"/>
      <c r="G48" s="299"/>
      <c r="I48" s="299"/>
      <c r="K48" s="299"/>
      <c r="L48" s="308"/>
      <c r="M48" s="299"/>
      <c r="O48" s="299"/>
    </row>
    <row r="49" spans="1:16" ht="18.95" customHeight="1" x14ac:dyDescent="0.25">
      <c r="A49" s="310" t="s">
        <v>290</v>
      </c>
      <c r="B49" s="14" t="s">
        <v>92</v>
      </c>
      <c r="C49" s="299"/>
      <c r="E49" s="299"/>
      <c r="F49" s="382"/>
      <c r="G49" s="299"/>
      <c r="I49" s="299"/>
      <c r="K49" s="299"/>
      <c r="M49" s="299"/>
      <c r="O49" s="299"/>
    </row>
    <row r="50" spans="1:16" ht="18.95" customHeight="1" x14ac:dyDescent="0.25">
      <c r="A50" s="311" t="s">
        <v>337</v>
      </c>
      <c r="B50" s="2" t="s">
        <v>326</v>
      </c>
      <c r="C50" s="299"/>
      <c r="E50" s="299"/>
      <c r="F50" s="381"/>
      <c r="G50" s="299"/>
      <c r="I50" s="299"/>
      <c r="K50" s="299"/>
      <c r="M50" s="299"/>
      <c r="O50" s="299"/>
    </row>
    <row r="51" spans="1:16" ht="18.95" customHeight="1" x14ac:dyDescent="0.25">
      <c r="A51" s="311" t="s">
        <v>354</v>
      </c>
      <c r="B51" s="424" t="s">
        <v>367</v>
      </c>
      <c r="C51" s="299"/>
      <c r="E51" s="299"/>
      <c r="G51" s="299"/>
      <c r="I51" s="299"/>
      <c r="K51" s="299"/>
      <c r="M51" s="299"/>
      <c r="O51" s="299"/>
    </row>
    <row r="52" spans="1:16" x14ac:dyDescent="0.25">
      <c r="K52" s="299"/>
      <c r="M52" s="299"/>
      <c r="O52" s="299"/>
      <c r="P52" s="528" t="str">
        <f>P1</f>
        <v>Supporting Schedule-Exhibit 3</v>
      </c>
    </row>
    <row r="53" spans="1:16" x14ac:dyDescent="0.25">
      <c r="K53" s="299"/>
      <c r="M53" s="299"/>
      <c r="O53" s="299"/>
      <c r="P53" s="7" t="str">
        <f>P2</f>
        <v>Sponsoring Witness: Blake</v>
      </c>
    </row>
    <row r="54" spans="1:16" x14ac:dyDescent="0.25">
      <c r="K54" s="299"/>
      <c r="M54" s="299"/>
      <c r="O54" s="299"/>
      <c r="P54" s="398" t="s">
        <v>3</v>
      </c>
    </row>
    <row r="55" spans="1:16" x14ac:dyDescent="0.25">
      <c r="K55" s="299"/>
      <c r="M55" s="299"/>
      <c r="O55" s="299"/>
    </row>
    <row r="56" spans="1:16" x14ac:dyDescent="0.25">
      <c r="A56" s="799" t="s">
        <v>230</v>
      </c>
      <c r="B56" s="799"/>
      <c r="C56" s="799"/>
      <c r="D56" s="799"/>
      <c r="E56" s="799"/>
      <c r="F56" s="799"/>
      <c r="G56" s="799"/>
      <c r="H56" s="799"/>
      <c r="I56" s="799"/>
      <c r="J56" s="799"/>
      <c r="K56" s="799"/>
      <c r="L56" s="799"/>
      <c r="M56" s="799"/>
      <c r="N56" s="799"/>
      <c r="O56" s="799"/>
      <c r="P56" s="799"/>
    </row>
    <row r="58" spans="1:16" x14ac:dyDescent="0.25">
      <c r="A58" s="807" t="s">
        <v>17</v>
      </c>
      <c r="B58" s="807"/>
      <c r="C58" s="807"/>
      <c r="D58" s="807"/>
      <c r="E58" s="807"/>
      <c r="F58" s="807"/>
      <c r="G58" s="807"/>
      <c r="H58" s="807"/>
      <c r="I58" s="807"/>
      <c r="J58" s="807"/>
      <c r="K58" s="807"/>
      <c r="L58" s="807"/>
      <c r="M58" s="807"/>
      <c r="N58" s="807"/>
      <c r="O58" s="807"/>
      <c r="P58" s="807"/>
    </row>
    <row r="59" spans="1:16" x14ac:dyDescent="0.25">
      <c r="A59" s="805" t="str">
        <f>A8</f>
        <v>At March 31, 2012</v>
      </c>
      <c r="B59" s="805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  <c r="N59" s="805"/>
      <c r="O59" s="805"/>
      <c r="P59" s="805"/>
    </row>
    <row r="60" spans="1:16" x14ac:dyDescent="0.25">
      <c r="A60" s="301"/>
      <c r="B60" s="6"/>
      <c r="C60" s="78"/>
      <c r="D60" s="6"/>
      <c r="E60" s="78"/>
      <c r="F60" s="6"/>
      <c r="G60" s="78"/>
      <c r="H60" s="6"/>
      <c r="I60" s="78"/>
      <c r="J60" s="6"/>
      <c r="K60" s="299"/>
      <c r="M60" s="299"/>
      <c r="O60" s="299"/>
    </row>
    <row r="61" spans="1:16" x14ac:dyDescent="0.25">
      <c r="A61" s="301"/>
      <c r="K61" s="299"/>
      <c r="M61" s="299"/>
      <c r="O61" s="299"/>
    </row>
    <row r="62" spans="1:16" x14ac:dyDescent="0.25">
      <c r="A62" s="301"/>
      <c r="B62" s="6"/>
      <c r="C62" s="78"/>
      <c r="D62" s="6"/>
      <c r="E62" s="78"/>
      <c r="F62" s="6"/>
      <c r="G62" s="78"/>
      <c r="H62" s="6"/>
      <c r="I62" s="78"/>
      <c r="J62" s="6"/>
      <c r="K62" s="299"/>
      <c r="M62" s="299"/>
      <c r="O62" s="299"/>
    </row>
    <row r="63" spans="1:16" x14ac:dyDescent="0.25">
      <c r="A63" s="301"/>
    </row>
    <row r="64" spans="1:16" x14ac:dyDescent="0.25">
      <c r="A64" s="301"/>
      <c r="B64" s="6"/>
      <c r="C64" s="78"/>
      <c r="D64" s="8" t="s">
        <v>239</v>
      </c>
      <c r="E64" s="78"/>
      <c r="F64" s="8" t="s">
        <v>239</v>
      </c>
      <c r="G64" s="78"/>
      <c r="H64" s="8" t="s">
        <v>239</v>
      </c>
      <c r="I64" s="78"/>
      <c r="J64" s="8" t="s">
        <v>239</v>
      </c>
      <c r="K64" s="78"/>
      <c r="L64" s="8" t="s">
        <v>239</v>
      </c>
      <c r="M64" s="299"/>
      <c r="N64" s="8" t="s">
        <v>261</v>
      </c>
      <c r="O64" s="78"/>
      <c r="P64" s="8" t="s">
        <v>151</v>
      </c>
    </row>
    <row r="65" spans="1:18" x14ac:dyDescent="0.25">
      <c r="A65" s="301"/>
      <c r="B65" s="6"/>
      <c r="C65" s="78"/>
      <c r="D65" s="8" t="s">
        <v>238</v>
      </c>
      <c r="E65" s="78"/>
      <c r="F65" s="8" t="s">
        <v>238</v>
      </c>
      <c r="G65" s="78"/>
      <c r="H65" s="8" t="s">
        <v>238</v>
      </c>
      <c r="I65" s="78"/>
      <c r="J65" s="8" t="s">
        <v>238</v>
      </c>
      <c r="K65" s="78"/>
      <c r="L65" s="8" t="s">
        <v>238</v>
      </c>
      <c r="M65" s="299"/>
      <c r="N65" s="8" t="s">
        <v>238</v>
      </c>
      <c r="O65" s="78"/>
      <c r="P65" s="8" t="s">
        <v>237</v>
      </c>
    </row>
    <row r="66" spans="1:18" x14ac:dyDescent="0.25">
      <c r="A66" s="301"/>
      <c r="B66" s="6" t="s">
        <v>291</v>
      </c>
      <c r="C66" s="78"/>
      <c r="D66" s="20" t="s">
        <v>213</v>
      </c>
      <c r="E66" s="78"/>
      <c r="F66" s="20" t="s">
        <v>460</v>
      </c>
      <c r="G66" s="78"/>
      <c r="H66" s="642" t="s">
        <v>529</v>
      </c>
      <c r="I66" s="78"/>
      <c r="J66" s="20" t="s">
        <v>338</v>
      </c>
      <c r="K66" s="78"/>
      <c r="L66" s="20" t="s">
        <v>575</v>
      </c>
      <c r="M66" s="299"/>
      <c r="N66" s="20" t="s">
        <v>213</v>
      </c>
      <c r="O66" s="78"/>
      <c r="P66" s="20" t="s">
        <v>213</v>
      </c>
    </row>
    <row r="67" spans="1:18" x14ac:dyDescent="0.25">
      <c r="A67" s="301"/>
      <c r="B67" s="303">
        <v>-1</v>
      </c>
      <c r="C67" s="78"/>
      <c r="D67" s="18">
        <v>-2</v>
      </c>
      <c r="E67" s="78"/>
      <c r="F67" s="303">
        <v>-3</v>
      </c>
      <c r="G67" s="78"/>
      <c r="H67" s="303">
        <v>-4</v>
      </c>
      <c r="I67" s="78"/>
      <c r="J67" s="303">
        <v>-5</v>
      </c>
      <c r="K67" s="78"/>
      <c r="L67" s="303">
        <v>-4</v>
      </c>
      <c r="M67" s="78"/>
      <c r="N67" s="303">
        <v>-5</v>
      </c>
      <c r="O67" s="78"/>
      <c r="P67" s="303">
        <v>-6</v>
      </c>
    </row>
    <row r="68" spans="1:18" x14ac:dyDescent="0.25">
      <c r="A68" s="301"/>
      <c r="B68" s="6"/>
      <c r="C68" s="78"/>
      <c r="D68" s="6"/>
      <c r="E68" s="78"/>
      <c r="F68" s="6"/>
      <c r="G68" s="78"/>
      <c r="H68" s="6"/>
      <c r="I68" s="78"/>
      <c r="J68" s="6" t="s">
        <v>339</v>
      </c>
      <c r="K68" s="78"/>
      <c r="L68" s="20" t="s">
        <v>572</v>
      </c>
      <c r="M68" s="78"/>
      <c r="N68" s="6"/>
      <c r="O68" s="78"/>
      <c r="P68" s="6" t="s">
        <v>576</v>
      </c>
    </row>
    <row r="69" spans="1:18" ht="21" customHeight="1" x14ac:dyDescent="0.25">
      <c r="A69" s="70" t="s">
        <v>170</v>
      </c>
      <c r="B69" s="2" t="s">
        <v>20</v>
      </c>
      <c r="G69" s="299"/>
      <c r="I69" s="299"/>
      <c r="K69" s="299"/>
      <c r="M69" s="299"/>
    </row>
    <row r="70" spans="1:18" ht="21" customHeight="1" x14ac:dyDescent="0.25">
      <c r="A70" s="70"/>
      <c r="B70" s="530" t="str">
        <f>"12 months ended "&amp;Inputs!B3&amp;""</f>
        <v>12 months ended March 31, 2012</v>
      </c>
      <c r="D70" s="329">
        <v>858787982.80655313</v>
      </c>
      <c r="F70" s="329">
        <f>ROUND('SuppSch-Ex 3(Page3)'!D40/0.125,0)</f>
        <v>19778040</v>
      </c>
      <c r="G70" s="337"/>
      <c r="H70" s="329">
        <f>ROUND('SuppSch-Ex 3(Page3)'!J40/0.125,0)</f>
        <v>10827008</v>
      </c>
      <c r="I70" s="337"/>
      <c r="J70" s="329">
        <f>F70-H70</f>
        <v>8951032</v>
      </c>
      <c r="K70" s="299"/>
      <c r="L70" s="119">
        <f>D70-J70</f>
        <v>849836950.80655313</v>
      </c>
      <c r="M70" s="299"/>
      <c r="N70" s="119">
        <f>P70-D70</f>
        <v>122073406.59344685</v>
      </c>
      <c r="P70" s="329">
        <v>980861389.39999998</v>
      </c>
    </row>
    <row r="71" spans="1:18" ht="15" customHeight="1" x14ac:dyDescent="0.25">
      <c r="A71" s="70"/>
      <c r="B71" s="2"/>
      <c r="G71" s="299"/>
      <c r="I71" s="299"/>
      <c r="K71" s="299"/>
      <c r="M71" s="299"/>
    </row>
    <row r="72" spans="1:18" ht="21" customHeight="1" x14ac:dyDescent="0.25">
      <c r="A72" s="312" t="s">
        <v>171</v>
      </c>
      <c r="B72" s="2" t="s">
        <v>293</v>
      </c>
      <c r="G72" s="299"/>
      <c r="I72" s="299"/>
      <c r="K72" s="299"/>
      <c r="M72" s="299"/>
    </row>
    <row r="73" spans="1:18" ht="21" customHeight="1" x14ac:dyDescent="0.25">
      <c r="A73" s="312" t="s">
        <v>172</v>
      </c>
      <c r="B73" s="313" t="s">
        <v>18</v>
      </c>
      <c r="D73" s="336">
        <v>90060700.788345426</v>
      </c>
      <c r="F73" s="91">
        <v>0</v>
      </c>
      <c r="G73" s="299"/>
      <c r="H73" s="91">
        <v>0</v>
      </c>
      <c r="I73" s="299"/>
      <c r="J73" s="91">
        <f>F73-H73</f>
        <v>0</v>
      </c>
      <c r="K73" s="299"/>
      <c r="L73" s="91">
        <f>D73-J73</f>
        <v>90060700.788345426</v>
      </c>
      <c r="M73" s="299"/>
      <c r="N73" s="91">
        <f>P73-D73</f>
        <v>13768569.021654591</v>
      </c>
      <c r="O73" s="89"/>
      <c r="P73" s="336">
        <v>103829269.81000002</v>
      </c>
      <c r="Q73" s="334"/>
    </row>
    <row r="74" spans="1:18" ht="21" customHeight="1" x14ac:dyDescent="0.25">
      <c r="A74" s="312" t="s">
        <v>173</v>
      </c>
      <c r="B74" s="296" t="s">
        <v>19</v>
      </c>
      <c r="D74" s="119">
        <f>SUM(D73)</f>
        <v>90060700.788345426</v>
      </c>
      <c r="F74" s="119">
        <f>SUM(F73)</f>
        <v>0</v>
      </c>
      <c r="G74" s="299"/>
      <c r="H74" s="119">
        <f>SUM(H73)</f>
        <v>0</v>
      </c>
      <c r="I74" s="299"/>
      <c r="J74" s="119">
        <f>SUM(J73)</f>
        <v>0</v>
      </c>
      <c r="K74" s="299"/>
      <c r="L74" s="119">
        <f>SUM(L73)</f>
        <v>90060700.788345426</v>
      </c>
      <c r="M74" s="299"/>
      <c r="N74" s="119">
        <f>SUM(N73)</f>
        <v>13768569.021654591</v>
      </c>
      <c r="P74" s="119">
        <f>SUM(P73)</f>
        <v>103829269.81000002</v>
      </c>
    </row>
    <row r="75" spans="1:18" ht="13.5" customHeight="1" x14ac:dyDescent="0.25">
      <c r="A75" s="312"/>
      <c r="B75" s="25"/>
      <c r="D75" s="314"/>
      <c r="F75" s="314"/>
      <c r="G75" s="299"/>
      <c r="H75" s="314"/>
      <c r="I75" s="299"/>
      <c r="J75" s="314"/>
      <c r="K75" s="299"/>
      <c r="L75" s="314"/>
      <c r="M75" s="299"/>
      <c r="N75" s="314"/>
      <c r="P75" s="314"/>
    </row>
    <row r="76" spans="1:18" ht="21" customHeight="1" thickBot="1" x14ac:dyDescent="0.3">
      <c r="A76" s="312" t="s">
        <v>174</v>
      </c>
      <c r="B76" s="25" t="s">
        <v>193</v>
      </c>
      <c r="D76" s="125">
        <f>D70-D74</f>
        <v>768727282.01820767</v>
      </c>
      <c r="F76" s="125">
        <f>F70-F74</f>
        <v>19778040</v>
      </c>
      <c r="G76" s="299"/>
      <c r="H76" s="125">
        <f>H70-H74</f>
        <v>10827008</v>
      </c>
      <c r="I76" s="299"/>
      <c r="J76" s="125">
        <f>J70-J74</f>
        <v>8951032</v>
      </c>
      <c r="K76" s="299"/>
      <c r="L76" s="125">
        <f>L70-L74</f>
        <v>759776250.01820767</v>
      </c>
      <c r="M76" s="299"/>
      <c r="N76" s="125">
        <f>N70-N74</f>
        <v>108304837.57179226</v>
      </c>
      <c r="P76" s="125">
        <f>P70-P74</f>
        <v>877032119.58999991</v>
      </c>
    </row>
    <row r="77" spans="1:18" ht="15" customHeight="1" thickTop="1" x14ac:dyDescent="0.25">
      <c r="A77" s="312"/>
      <c r="B77" s="25"/>
      <c r="G77" s="299"/>
      <c r="I77" s="299"/>
      <c r="K77" s="299"/>
      <c r="M77" s="299"/>
    </row>
    <row r="78" spans="1:18" ht="21" customHeight="1" thickBot="1" x14ac:dyDescent="0.3">
      <c r="A78" s="312" t="s">
        <v>14</v>
      </c>
      <c r="B78" s="25" t="s">
        <v>24</v>
      </c>
      <c r="D78" s="55">
        <f>ROUND(+D76*0.125,0)</f>
        <v>96090910</v>
      </c>
      <c r="E78" s="25"/>
      <c r="F78" s="55">
        <f>ROUND(+F76*0.125,0)</f>
        <v>2472255</v>
      </c>
      <c r="G78" s="299"/>
      <c r="H78" s="55">
        <f>ROUND(+H76*0.125,0)</f>
        <v>1353376</v>
      </c>
      <c r="I78" s="299"/>
      <c r="J78" s="55">
        <f>ROUND(+J76*0.125,0)</f>
        <v>1118879</v>
      </c>
      <c r="K78" s="299"/>
      <c r="L78" s="55">
        <f>ROUND(+L76*0.125,0)</f>
        <v>94972031</v>
      </c>
      <c r="M78" s="299"/>
      <c r="N78" s="55">
        <f>N40</f>
        <v>7976529</v>
      </c>
      <c r="O78" s="25"/>
      <c r="P78" s="55">
        <f>P40</f>
        <v>104067439</v>
      </c>
    </row>
    <row r="79" spans="1:18" ht="21" customHeight="1" thickTop="1" x14ac:dyDescent="0.25">
      <c r="A79" s="312"/>
      <c r="B79" s="25"/>
      <c r="D79" s="49"/>
      <c r="E79" s="25"/>
      <c r="F79" s="49"/>
      <c r="G79" s="299"/>
      <c r="H79" s="49"/>
      <c r="I79" s="299"/>
      <c r="J79" s="49"/>
      <c r="K79" s="299"/>
      <c r="L79" s="49"/>
      <c r="M79" s="299"/>
      <c r="N79" s="49"/>
      <c r="O79" s="25"/>
      <c r="P79" s="49"/>
    </row>
    <row r="80" spans="1:18" ht="18.95" customHeight="1" x14ac:dyDescent="0.25">
      <c r="B80" s="25" t="s">
        <v>23</v>
      </c>
      <c r="K80" s="299"/>
      <c r="M80" s="299"/>
      <c r="O80" s="299"/>
      <c r="R80" s="315"/>
    </row>
    <row r="81" spans="2:15" ht="18.95" customHeight="1" x14ac:dyDescent="0.25">
      <c r="B81" s="25" t="s">
        <v>25</v>
      </c>
      <c r="K81" s="299"/>
      <c r="M81" s="299"/>
      <c r="O81" s="299"/>
    </row>
    <row r="82" spans="2:15" ht="18.95" customHeight="1" x14ac:dyDescent="0.25">
      <c r="B82" s="299" t="s">
        <v>26</v>
      </c>
      <c r="K82" s="299"/>
      <c r="M82" s="299"/>
      <c r="O82" s="299"/>
    </row>
  </sheetData>
  <mergeCells count="6">
    <mergeCell ref="A56:P56"/>
    <mergeCell ref="A58:P58"/>
    <mergeCell ref="A59:P59"/>
    <mergeCell ref="A5:P5"/>
    <mergeCell ref="A7:P7"/>
    <mergeCell ref="A8:P8"/>
  </mergeCells>
  <phoneticPr fontId="5" type="noConversion"/>
  <printOptions horizontalCentered="1"/>
  <pageMargins left="0" right="0" top="0.75" bottom="0" header="0.75" footer="0.5"/>
  <pageSetup scale="51" orientation="landscape" r:id="rId1"/>
  <headerFooter alignWithMargins="0"/>
  <rowBreaks count="1" manualBreakCount="1">
    <brk id="51" max="15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4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3.625" style="144" customWidth="1"/>
    <col min="6" max="6" width="12.625" style="144" customWidth="1"/>
    <col min="7" max="7" width="3.75" style="148" customWidth="1"/>
    <col min="8" max="8" width="12.75" style="144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  <c r="F1" s="526"/>
      <c r="G1" s="531"/>
    </row>
    <row r="2" spans="1:8" ht="15.75" x14ac:dyDescent="0.25">
      <c r="A2" s="526"/>
      <c r="B2" s="526"/>
      <c r="C2" s="526"/>
      <c r="D2" s="526"/>
      <c r="E2" s="526"/>
      <c r="F2" s="526"/>
      <c r="G2" s="531"/>
    </row>
    <row r="3" spans="1:8" ht="15.75" x14ac:dyDescent="0.25">
      <c r="A3" s="526"/>
      <c r="B3" s="526"/>
      <c r="C3" s="526"/>
      <c r="D3" s="526"/>
      <c r="F3" s="526"/>
      <c r="G3" s="531"/>
      <c r="H3" s="528" t="str">
        <f>'Ex 1'!$K$1</f>
        <v>Revised Exhibit 1</v>
      </c>
    </row>
    <row r="4" spans="1:8" ht="15.75" x14ac:dyDescent="0.25">
      <c r="A4" s="526"/>
      <c r="B4" s="526"/>
      <c r="C4" s="526"/>
      <c r="D4" s="526"/>
      <c r="F4" s="526"/>
      <c r="G4" s="531"/>
      <c r="H4" s="30" t="str">
        <f>"Reference Schedule "&amp;Inputs!$A45&amp;""</f>
        <v>Reference Schedule 1.33</v>
      </c>
    </row>
    <row r="5" spans="1:8" ht="15.75" x14ac:dyDescent="0.25">
      <c r="A5" s="526"/>
      <c r="B5" s="526"/>
      <c r="C5" s="526"/>
      <c r="D5" s="526"/>
      <c r="E5" s="526"/>
      <c r="F5" s="526"/>
      <c r="G5" s="531"/>
      <c r="H5" s="529" t="str">
        <f>"Sponsoring Witness: "&amp;Inputs!$B45&amp;""</f>
        <v>Sponsoring Witness: Blake</v>
      </c>
    </row>
    <row r="6" spans="1:8" ht="15.75" x14ac:dyDescent="0.25">
      <c r="A6" s="526"/>
      <c r="B6" s="526"/>
      <c r="C6" s="526"/>
      <c r="D6" s="526"/>
      <c r="E6" s="526"/>
      <c r="F6" s="526"/>
      <c r="G6" s="531"/>
      <c r="H6" s="528"/>
    </row>
    <row r="7" spans="1:8" ht="15.75" x14ac:dyDescent="0.25">
      <c r="A7" s="526"/>
      <c r="B7" s="526"/>
      <c r="C7" s="526"/>
      <c r="D7" s="526"/>
      <c r="E7" s="526"/>
      <c r="F7" s="526"/>
      <c r="G7" s="531"/>
      <c r="H7" s="528"/>
    </row>
    <row r="8" spans="1:8" ht="15.75" x14ac:dyDescent="0.25">
      <c r="A8" s="801" t="s">
        <v>230</v>
      </c>
      <c r="B8" s="801"/>
      <c r="C8" s="801"/>
      <c r="D8" s="801"/>
      <c r="E8" s="801"/>
      <c r="F8" s="801"/>
      <c r="G8" s="801"/>
      <c r="H8" s="801"/>
    </row>
    <row r="9" spans="1:8" ht="15.75" x14ac:dyDescent="0.25">
      <c r="A9" s="15"/>
      <c r="B9" s="15"/>
      <c r="C9" s="15"/>
      <c r="D9" s="15"/>
      <c r="E9" s="15"/>
      <c r="F9" s="526"/>
      <c r="G9" s="531"/>
    </row>
    <row r="10" spans="1:8" ht="15.75" x14ac:dyDescent="0.25">
      <c r="A10" s="15"/>
      <c r="B10" s="15"/>
      <c r="C10" s="15"/>
      <c r="D10" s="15"/>
      <c r="E10" s="15"/>
      <c r="F10" s="526"/>
      <c r="G10" s="531"/>
    </row>
    <row r="11" spans="1:8" ht="15.75" x14ac:dyDescent="0.25">
      <c r="A11" s="527" t="s">
        <v>711</v>
      </c>
      <c r="B11" s="527"/>
      <c r="C11" s="527"/>
      <c r="D11" s="527"/>
      <c r="E11" s="527"/>
      <c r="F11" s="527"/>
      <c r="G11" s="527"/>
      <c r="H11" s="527"/>
    </row>
    <row r="12" spans="1:8" ht="15.75" x14ac:dyDescent="0.25">
      <c r="A12" s="1"/>
      <c r="B12" s="526"/>
      <c r="C12" s="526"/>
      <c r="D12" s="526"/>
      <c r="E12" s="526"/>
      <c r="F12" s="526"/>
      <c r="G12" s="531"/>
    </row>
    <row r="13" spans="1:8" ht="15.75" x14ac:dyDescent="0.25">
      <c r="A13" s="526"/>
      <c r="B13" s="526"/>
      <c r="C13" s="526"/>
      <c r="D13" s="526"/>
      <c r="E13" s="526"/>
      <c r="F13" s="148"/>
    </row>
    <row r="14" spans="1:8" ht="15.75" x14ac:dyDescent="0.25">
      <c r="B14" s="9"/>
      <c r="C14" s="9"/>
      <c r="D14" s="9"/>
      <c r="F14" s="56"/>
      <c r="G14" s="56"/>
      <c r="H14" s="46"/>
    </row>
  </sheetData>
  <mergeCells count="1">
    <mergeCell ref="A8:H8"/>
  </mergeCells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6" enableFormatConditionsCalculation="0">
    <pageSetUpPr fitToPage="1"/>
  </sheetPr>
  <dimension ref="A1:G50"/>
  <sheetViews>
    <sheetView showGridLines="0" zoomScaleNormal="100" zoomScaleSheetLayoutView="70" workbookViewId="0">
      <selection activeCell="G3" sqref="G3:G5"/>
    </sheetView>
  </sheetViews>
  <sheetFormatPr defaultColWidth="9.625" defaultRowHeight="12" x14ac:dyDescent="0.15"/>
  <cols>
    <col min="1" max="1" width="12.75" style="144" customWidth="1"/>
    <col min="2" max="2" width="34.75" style="144" customWidth="1"/>
    <col min="3" max="3" width="12.75" style="144" customWidth="1"/>
    <col min="4" max="4" width="12" style="144" customWidth="1"/>
    <col min="5" max="5" width="15.25" style="145" customWidth="1"/>
    <col min="6" max="6" width="3.625" style="145" customWidth="1"/>
    <col min="7" max="7" width="15.25" style="145" customWidth="1"/>
    <col min="8" max="16384" width="9.625" style="144"/>
  </cols>
  <sheetData>
    <row r="1" spans="1:7" ht="15.75" x14ac:dyDescent="0.25">
      <c r="A1" s="2"/>
      <c r="B1" s="1"/>
      <c r="C1" s="2"/>
      <c r="D1" s="2"/>
      <c r="E1" s="528"/>
      <c r="F1" s="528"/>
      <c r="G1" s="7"/>
    </row>
    <row r="2" spans="1:7" ht="15.75" x14ac:dyDescent="0.25">
      <c r="A2" s="2"/>
      <c r="B2" s="2"/>
      <c r="C2" s="2"/>
      <c r="D2" s="2"/>
      <c r="E2" s="528"/>
      <c r="F2" s="528"/>
      <c r="G2" s="7"/>
    </row>
    <row r="3" spans="1:7" ht="15.75" x14ac:dyDescent="0.25">
      <c r="A3" s="2"/>
      <c r="B3" s="2"/>
      <c r="C3" s="2"/>
      <c r="D3" s="1"/>
      <c r="E3" s="528"/>
      <c r="F3" s="528"/>
      <c r="G3" s="7" t="str">
        <f>'Ex 1'!$K$1</f>
        <v>Revised Exhibit 1</v>
      </c>
    </row>
    <row r="4" spans="1:7" ht="15.75" x14ac:dyDescent="0.25">
      <c r="A4" s="2"/>
      <c r="B4" s="2"/>
      <c r="C4" s="2"/>
      <c r="D4" s="1"/>
      <c r="E4" s="529"/>
      <c r="F4" s="529"/>
      <c r="G4" s="30" t="str">
        <f>"Reference Schedule "&amp;Inputs!$A46&amp;""</f>
        <v>Reference Schedule 1.34</v>
      </c>
    </row>
    <row r="5" spans="1:7" ht="15.75" x14ac:dyDescent="0.25">
      <c r="A5" s="2"/>
      <c r="B5" s="2"/>
      <c r="C5" s="2"/>
      <c r="D5" s="2"/>
      <c r="E5" s="528"/>
      <c r="F5" s="528"/>
      <c r="G5" s="529" t="str">
        <f>"Sponsoring Witness: "&amp;Inputs!$B46&amp;""</f>
        <v>Sponsoring Witness: Blake</v>
      </c>
    </row>
    <row r="6" spans="1:7" ht="15.75" x14ac:dyDescent="0.25">
      <c r="A6" s="2"/>
      <c r="B6" s="2"/>
      <c r="C6" s="2"/>
      <c r="D6" s="2"/>
      <c r="E6" s="58"/>
      <c r="F6" s="58"/>
      <c r="G6" s="58"/>
    </row>
    <row r="7" spans="1:7" ht="15.75" x14ac:dyDescent="0.25">
      <c r="A7" s="2"/>
      <c r="B7" s="2"/>
      <c r="C7" s="2"/>
      <c r="D7" s="2"/>
      <c r="E7" s="58"/>
      <c r="F7" s="58"/>
      <c r="G7" s="58"/>
    </row>
    <row r="8" spans="1:7" ht="15.75" x14ac:dyDescent="0.25">
      <c r="A8" s="800" t="s">
        <v>230</v>
      </c>
      <c r="B8" s="800"/>
      <c r="C8" s="800"/>
      <c r="D8" s="800"/>
      <c r="E8" s="800"/>
      <c r="F8" s="800"/>
      <c r="G8" s="800"/>
    </row>
    <row r="9" spans="1:7" ht="15.75" x14ac:dyDescent="0.25">
      <c r="A9" s="4"/>
      <c r="B9" s="4"/>
      <c r="C9" s="4"/>
      <c r="D9" s="2"/>
      <c r="E9" s="58"/>
      <c r="F9" s="58"/>
      <c r="G9" s="58"/>
    </row>
    <row r="10" spans="1:7" ht="15.75" x14ac:dyDescent="0.25">
      <c r="A10" s="807"/>
      <c r="B10" s="807"/>
      <c r="C10" s="807"/>
      <c r="D10" s="807"/>
      <c r="E10" s="58"/>
      <c r="F10" s="58"/>
      <c r="G10" s="58"/>
    </row>
    <row r="11" spans="1:7" ht="15.75" x14ac:dyDescent="0.25">
      <c r="A11" s="807" t="s">
        <v>188</v>
      </c>
      <c r="B11" s="807"/>
      <c r="C11" s="807"/>
      <c r="D11" s="807"/>
      <c r="E11" s="807"/>
      <c r="F11" s="807"/>
      <c r="G11" s="807"/>
    </row>
    <row r="12" spans="1:7" ht="15.75" x14ac:dyDescent="0.25">
      <c r="A12" s="801" t="s">
        <v>455</v>
      </c>
      <c r="B12" s="800"/>
      <c r="C12" s="800"/>
      <c r="D12" s="800"/>
      <c r="E12" s="800"/>
      <c r="F12" s="800"/>
      <c r="G12" s="800"/>
    </row>
    <row r="13" spans="1:7" ht="15.75" x14ac:dyDescent="0.25">
      <c r="A13" s="4"/>
      <c r="B13" s="4"/>
      <c r="C13" s="4"/>
      <c r="D13" s="6"/>
      <c r="E13" s="58"/>
      <c r="F13" s="58"/>
      <c r="G13" s="58"/>
    </row>
    <row r="14" spans="1:7" ht="15.75" x14ac:dyDescent="0.25">
      <c r="A14" s="1"/>
      <c r="B14" s="1"/>
      <c r="C14" s="2"/>
      <c r="D14" s="2"/>
      <c r="E14" s="58"/>
      <c r="F14" s="58"/>
      <c r="G14" s="58"/>
    </row>
    <row r="15" spans="1:7" ht="15.75" x14ac:dyDescent="0.25">
      <c r="A15" s="2"/>
      <c r="B15" s="2"/>
      <c r="C15" s="21"/>
      <c r="D15" s="21"/>
      <c r="E15" s="492" t="s">
        <v>695</v>
      </c>
      <c r="F15" s="511"/>
      <c r="G15" s="492" t="s">
        <v>696</v>
      </c>
    </row>
    <row r="16" spans="1:7" ht="15.75" x14ac:dyDescent="0.25">
      <c r="A16" s="526"/>
      <c r="B16" s="526"/>
      <c r="C16" s="511"/>
      <c r="D16" s="511"/>
      <c r="E16" s="555"/>
      <c r="F16" s="555"/>
      <c r="G16" s="555"/>
    </row>
    <row r="17" spans="1:7" ht="15.75" x14ac:dyDescent="0.25">
      <c r="A17" s="25" t="s">
        <v>180</v>
      </c>
      <c r="B17" s="25"/>
      <c r="C17" s="146"/>
      <c r="D17" s="49"/>
      <c r="E17" s="157">
        <v>100</v>
      </c>
      <c r="F17" s="157"/>
      <c r="G17" s="157">
        <v>100</v>
      </c>
    </row>
    <row r="18" spans="1:7" ht="15.75" x14ac:dyDescent="0.25">
      <c r="A18" s="29"/>
      <c r="B18" s="25"/>
      <c r="C18" s="36"/>
      <c r="D18" s="36"/>
      <c r="E18" s="62"/>
      <c r="F18" s="62"/>
      <c r="G18" s="62"/>
    </row>
    <row r="19" spans="1:7" ht="15.75" x14ac:dyDescent="0.25">
      <c r="A19" s="33" t="s">
        <v>647</v>
      </c>
      <c r="B19" s="25"/>
      <c r="C19" s="36"/>
      <c r="D19" s="36"/>
      <c r="E19" s="158">
        <f>ROUND(+E17*0.0042,6)</f>
        <v>0.42</v>
      </c>
      <c r="F19" s="158"/>
      <c r="G19" s="158">
        <f>E19</f>
        <v>0.42</v>
      </c>
    </row>
    <row r="20" spans="1:7" ht="15.75" x14ac:dyDescent="0.25">
      <c r="A20" s="29"/>
      <c r="B20" s="25"/>
      <c r="C20" s="36"/>
      <c r="D20" s="36"/>
      <c r="E20" s="158"/>
      <c r="F20" s="158"/>
      <c r="G20" s="158"/>
    </row>
    <row r="21" spans="1:7" ht="15.75" x14ac:dyDescent="0.25">
      <c r="A21" s="33" t="s">
        <v>448</v>
      </c>
      <c r="B21" s="25"/>
      <c r="C21" s="36"/>
      <c r="D21" s="36"/>
      <c r="E21" s="160">
        <f>ROUND(+E17*0.001529,6)</f>
        <v>0.15290000000000001</v>
      </c>
      <c r="F21" s="160"/>
      <c r="G21" s="160">
        <f>ROUND(+G17*0.001529,6)</f>
        <v>0.15290000000000001</v>
      </c>
    </row>
    <row r="22" spans="1:7" ht="15.75" x14ac:dyDescent="0.25">
      <c r="A22" s="29"/>
      <c r="B22" s="25"/>
      <c r="C22" s="36"/>
      <c r="D22" s="36"/>
      <c r="E22" s="158"/>
      <c r="F22" s="158"/>
      <c r="G22" s="158"/>
    </row>
    <row r="23" spans="1:7" ht="15.75" x14ac:dyDescent="0.25">
      <c r="A23" s="33" t="str">
        <f>"4. Production Tax Credit-State (Reference Schedule "&amp;Inputs!A41&amp;")"</f>
        <v>4. Production Tax Credit-State (Reference Schedule 1.29)</v>
      </c>
      <c r="B23" s="25"/>
      <c r="C23" s="36"/>
      <c r="D23" s="36"/>
      <c r="E23" s="159">
        <f>'1.29'!F42</f>
        <v>4.0301999999999998</v>
      </c>
      <c r="F23" s="511"/>
      <c r="G23" s="159"/>
    </row>
    <row r="24" spans="1:7" ht="15.75" x14ac:dyDescent="0.25">
      <c r="A24" s="29"/>
      <c r="B24" s="25"/>
      <c r="C24" s="36"/>
      <c r="D24" s="36"/>
      <c r="E24" s="158"/>
      <c r="F24" s="158"/>
      <c r="G24" s="158"/>
    </row>
    <row r="25" spans="1:7" ht="15.75" x14ac:dyDescent="0.25">
      <c r="A25" s="33" t="s">
        <v>86</v>
      </c>
      <c r="B25" s="25"/>
      <c r="C25" s="36"/>
      <c r="D25" s="36"/>
      <c r="E25" s="158">
        <f>+E17-E21-E19-E23</f>
        <v>95.396900000000002</v>
      </c>
      <c r="F25" s="158"/>
      <c r="G25" s="158">
        <f>+G17-G21-G19-G23</f>
        <v>99.427099999999996</v>
      </c>
    </row>
    <row r="26" spans="1:7" ht="15.75" x14ac:dyDescent="0.25">
      <c r="A26" s="29"/>
      <c r="B26" s="25"/>
      <c r="C26" s="36"/>
      <c r="D26" s="36"/>
      <c r="E26" s="158"/>
      <c r="F26" s="158"/>
      <c r="G26" s="158"/>
    </row>
    <row r="27" spans="1:7" ht="15.75" x14ac:dyDescent="0.25">
      <c r="A27" s="33" t="s">
        <v>87</v>
      </c>
      <c r="B27" s="25"/>
      <c r="C27" s="36"/>
      <c r="D27" s="36"/>
      <c r="E27" s="160">
        <f>ROUND(+E25*0.06,6)</f>
        <v>5.723814</v>
      </c>
      <c r="F27" s="160"/>
      <c r="G27" s="160">
        <f>E27</f>
        <v>5.723814</v>
      </c>
    </row>
    <row r="28" spans="1:7" ht="15.75" x14ac:dyDescent="0.25">
      <c r="A28" s="29"/>
      <c r="B28" s="531"/>
      <c r="C28" s="36"/>
      <c r="D28" s="36"/>
      <c r="E28" s="158"/>
      <c r="F28" s="158"/>
      <c r="G28" s="158"/>
    </row>
    <row r="29" spans="1:7" ht="15.75" x14ac:dyDescent="0.25">
      <c r="A29" s="33" t="str">
        <f>"7. Production Tax Credit-Federal (Reference Schedule "&amp;Inputs!A41&amp;")"</f>
        <v>7. Production Tax Credit-Federal (Reference Schedule 1.29)</v>
      </c>
      <c r="B29" s="531"/>
      <c r="C29" s="36"/>
      <c r="D29" s="36"/>
      <c r="E29" s="160"/>
      <c r="F29" s="160"/>
      <c r="G29" s="159">
        <f>'1.29'!F24</f>
        <v>5.7016296259999999</v>
      </c>
    </row>
    <row r="30" spans="1:7" ht="15.75" x14ac:dyDescent="0.25">
      <c r="A30" s="29"/>
      <c r="B30" s="25"/>
      <c r="C30" s="36"/>
      <c r="D30" s="36"/>
      <c r="E30" s="158"/>
      <c r="F30" s="158"/>
      <c r="G30" s="158"/>
    </row>
    <row r="31" spans="1:7" ht="15.75" x14ac:dyDescent="0.25">
      <c r="A31" s="33" t="s">
        <v>425</v>
      </c>
      <c r="B31" s="25"/>
      <c r="C31" s="56"/>
      <c r="D31" s="56"/>
      <c r="E31" s="160"/>
      <c r="F31" s="160"/>
      <c r="G31" s="160">
        <f>ROUND(+G25-G27-G29,6)</f>
        <v>88.001655999999997</v>
      </c>
    </row>
    <row r="32" spans="1:7" ht="15.75" x14ac:dyDescent="0.25">
      <c r="A32" s="33"/>
      <c r="B32" s="25"/>
      <c r="C32" s="81"/>
      <c r="D32" s="36"/>
      <c r="E32" s="160"/>
      <c r="F32" s="160"/>
      <c r="G32" s="158"/>
    </row>
    <row r="33" spans="1:7" ht="15.75" x14ac:dyDescent="0.25">
      <c r="A33" s="33" t="s">
        <v>426</v>
      </c>
      <c r="B33" s="25"/>
      <c r="C33" s="81"/>
      <c r="D33" s="36"/>
      <c r="E33" s="160"/>
      <c r="F33" s="160"/>
      <c r="G33" s="159">
        <f>ROUND(+G31*0.35,6)</f>
        <v>30.80058</v>
      </c>
    </row>
    <row r="34" spans="1:7" ht="15.75" x14ac:dyDescent="0.25">
      <c r="A34" s="33"/>
      <c r="B34" s="25"/>
      <c r="C34" s="81"/>
      <c r="D34" s="36"/>
      <c r="E34" s="160"/>
      <c r="F34" s="160"/>
      <c r="G34" s="158"/>
    </row>
    <row r="35" spans="1:7" ht="15.75" x14ac:dyDescent="0.25">
      <c r="A35" s="33" t="s">
        <v>427</v>
      </c>
      <c r="B35" s="25"/>
      <c r="C35" s="81"/>
      <c r="D35" s="36"/>
      <c r="E35" s="160"/>
      <c r="F35" s="160"/>
      <c r="G35" s="158"/>
    </row>
    <row r="36" spans="1:7" ht="15.75" x14ac:dyDescent="0.25">
      <c r="A36" s="33" t="s">
        <v>428</v>
      </c>
      <c r="B36" s="25"/>
      <c r="C36" s="81"/>
      <c r="D36" s="36"/>
      <c r="E36" s="161"/>
      <c r="F36" s="161"/>
      <c r="G36" s="161">
        <f>+G27+G33+G21+G19</f>
        <v>37.097294000000005</v>
      </c>
    </row>
    <row r="37" spans="1:7" ht="15.75" x14ac:dyDescent="0.25">
      <c r="A37" s="29"/>
      <c r="B37" s="25"/>
      <c r="C37" s="81"/>
      <c r="D37" s="36"/>
      <c r="E37" s="77"/>
      <c r="F37" s="77"/>
      <c r="G37" s="77"/>
    </row>
    <row r="38" spans="1:7" ht="15.75" x14ac:dyDescent="0.25">
      <c r="A38" s="33" t="s">
        <v>429</v>
      </c>
      <c r="B38" s="25"/>
      <c r="C38" s="81"/>
      <c r="D38" s="36"/>
      <c r="E38" s="556"/>
      <c r="F38" s="556"/>
      <c r="G38" s="162">
        <f>+G17</f>
        <v>100</v>
      </c>
    </row>
    <row r="39" spans="1:7" ht="15.75" x14ac:dyDescent="0.25">
      <c r="A39" s="29"/>
      <c r="B39" s="25"/>
      <c r="C39" s="81"/>
      <c r="D39" s="36"/>
      <c r="E39" s="77"/>
      <c r="F39" s="77"/>
      <c r="G39" s="77"/>
    </row>
    <row r="40" spans="1:7" ht="16.5" thickBot="1" x14ac:dyDescent="0.3">
      <c r="A40" s="33" t="s">
        <v>430</v>
      </c>
      <c r="B40" s="25"/>
      <c r="C40" s="39"/>
      <c r="D40" s="36"/>
      <c r="E40" s="557"/>
      <c r="F40" s="557"/>
      <c r="G40" s="156">
        <f>+G38-G36</f>
        <v>62.902705999999995</v>
      </c>
    </row>
    <row r="41" spans="1:7" ht="12.75" thickTop="1" x14ac:dyDescent="0.15">
      <c r="E41" s="144"/>
      <c r="F41" s="144"/>
      <c r="G41" s="144"/>
    </row>
    <row r="42" spans="1:7" x14ac:dyDescent="0.15">
      <c r="E42" s="144"/>
      <c r="F42" s="144"/>
      <c r="G42" s="144"/>
    </row>
    <row r="43" spans="1:7" x14ac:dyDescent="0.15">
      <c r="E43" s="144"/>
      <c r="F43" s="144"/>
      <c r="G43" s="144"/>
    </row>
    <row r="44" spans="1:7" x14ac:dyDescent="0.15">
      <c r="E44" s="144"/>
      <c r="F44" s="144"/>
      <c r="G44" s="144"/>
    </row>
    <row r="45" spans="1:7" x14ac:dyDescent="0.15">
      <c r="E45" s="144"/>
      <c r="F45" s="144"/>
      <c r="G45" s="144"/>
    </row>
    <row r="46" spans="1:7" x14ac:dyDescent="0.15">
      <c r="E46" s="144"/>
      <c r="F46" s="144"/>
      <c r="G46" s="144"/>
    </row>
    <row r="47" spans="1:7" ht="15.75" x14ac:dyDescent="0.25">
      <c r="A47" s="25"/>
      <c r="B47" s="25"/>
      <c r="C47" s="64"/>
      <c r="D47" s="36"/>
      <c r="E47" s="163"/>
      <c r="F47" s="163"/>
      <c r="G47" s="163"/>
    </row>
    <row r="48" spans="1:7" ht="15.75" x14ac:dyDescent="0.25">
      <c r="A48" s="26"/>
      <c r="B48" s="26"/>
      <c r="C48" s="37"/>
      <c r="D48" s="37"/>
      <c r="E48" s="60"/>
      <c r="F48" s="60"/>
      <c r="G48" s="60"/>
    </row>
    <row r="49" spans="5:7" x14ac:dyDescent="0.15">
      <c r="E49" s="144"/>
      <c r="F49" s="144"/>
      <c r="G49" s="144"/>
    </row>
    <row r="50" spans="5:7" x14ac:dyDescent="0.15">
      <c r="E50" s="144"/>
      <c r="F50" s="144"/>
      <c r="G50" s="144"/>
    </row>
  </sheetData>
  <mergeCells count="4">
    <mergeCell ref="A8:G8"/>
    <mergeCell ref="A11:G11"/>
    <mergeCell ref="A10:D10"/>
    <mergeCell ref="A12:G12"/>
  </mergeCells>
  <phoneticPr fontId="0" type="noConversion"/>
  <printOptions horizontalCentered="1" gridLinesSet="0"/>
  <pageMargins left="1.25" right="0.75" top="1" bottom="1" header="0.5" footer="0.5"/>
  <pageSetup scale="73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H27"/>
  <sheetViews>
    <sheetView showGridLines="0" zoomScaleNormal="100" zoomScaleSheetLayoutView="70" workbookViewId="0">
      <selection activeCell="G31" sqref="G31"/>
    </sheetView>
  </sheetViews>
  <sheetFormatPr defaultColWidth="9.625" defaultRowHeight="15.75" x14ac:dyDescent="0.25"/>
  <cols>
    <col min="1" max="2" width="9.625" style="440"/>
    <col min="3" max="3" width="10.625" style="440" customWidth="1"/>
    <col min="4" max="4" width="9.625" style="440"/>
    <col min="5" max="5" width="14.625" style="440" customWidth="1"/>
    <col min="6" max="6" width="13" style="440" customWidth="1"/>
    <col min="7" max="7" width="3" style="440" customWidth="1"/>
    <col min="8" max="8" width="13" style="440" customWidth="1"/>
    <col min="9" max="16384" width="9.625" style="440"/>
  </cols>
  <sheetData>
    <row r="3" spans="1:8" x14ac:dyDescent="0.25">
      <c r="F3" s="441"/>
      <c r="H3" s="528" t="str">
        <f>'Ex 1'!$K$1</f>
        <v>Revised Exhibit 1</v>
      </c>
    </row>
    <row r="4" spans="1:8" x14ac:dyDescent="0.25">
      <c r="F4" s="721"/>
      <c r="H4" s="30" t="str">
        <f>"Reference Schedule "&amp;Inputs!$A47&amp;""</f>
        <v>Reference Schedule 1.35</v>
      </c>
    </row>
    <row r="5" spans="1:8" x14ac:dyDescent="0.25">
      <c r="F5" s="721"/>
      <c r="H5" s="529" t="str">
        <f>"Sponsoring Witness: "&amp;Inputs!$B47&amp;""</f>
        <v>Sponsoring Witness: Scott</v>
      </c>
    </row>
    <row r="8" spans="1:8" x14ac:dyDescent="0.25">
      <c r="A8" s="817" t="s">
        <v>230</v>
      </c>
      <c r="B8" s="817"/>
      <c r="C8" s="817"/>
      <c r="D8" s="817"/>
      <c r="E8" s="817"/>
      <c r="F8" s="817"/>
      <c r="G8" s="817"/>
      <c r="H8" s="817"/>
    </row>
    <row r="9" spans="1:8" x14ac:dyDescent="0.25">
      <c r="A9" s="443"/>
      <c r="B9" s="443"/>
      <c r="C9" s="443"/>
      <c r="D9" s="443"/>
      <c r="E9" s="443"/>
      <c r="F9" s="443"/>
      <c r="H9" s="443"/>
    </row>
    <row r="10" spans="1:8" x14ac:dyDescent="0.25">
      <c r="A10" s="789"/>
      <c r="B10" s="443"/>
      <c r="C10" s="443"/>
      <c r="D10" s="443"/>
      <c r="E10" s="443"/>
      <c r="F10" s="443"/>
      <c r="H10" s="443"/>
    </row>
    <row r="11" spans="1:8" x14ac:dyDescent="0.25">
      <c r="A11" s="831" t="s">
        <v>745</v>
      </c>
      <c r="B11" s="831"/>
      <c r="C11" s="831"/>
      <c r="D11" s="831"/>
      <c r="E11" s="831"/>
      <c r="F11" s="831"/>
      <c r="G11" s="831"/>
      <c r="H11" s="831"/>
    </row>
    <row r="12" spans="1:8" x14ac:dyDescent="0.25">
      <c r="A12" s="830" t="str">
        <f>"For the Twelve Months Ended "&amp;Inputs!B3&amp;""</f>
        <v>For the Twelve Months Ended March 31, 2012</v>
      </c>
      <c r="B12" s="830"/>
      <c r="C12" s="830"/>
      <c r="D12" s="830"/>
      <c r="E12" s="830"/>
      <c r="F12" s="830"/>
      <c r="G12" s="830"/>
      <c r="H12" s="830"/>
    </row>
    <row r="13" spans="1:8" x14ac:dyDescent="0.25">
      <c r="A13" s="444"/>
      <c r="B13" s="445"/>
    </row>
    <row r="14" spans="1:8" ht="18" x14ac:dyDescent="0.4">
      <c r="F14" s="53"/>
      <c r="H14" s="53"/>
    </row>
    <row r="15" spans="1:8" x14ac:dyDescent="0.25">
      <c r="E15" s="718"/>
      <c r="F15" s="448"/>
    </row>
    <row r="16" spans="1:8" x14ac:dyDescent="0.25">
      <c r="A16" s="712" t="s">
        <v>746</v>
      </c>
      <c r="B16" s="713"/>
      <c r="C16" s="713"/>
      <c r="D16" s="713"/>
      <c r="E16" s="790"/>
      <c r="F16" s="49"/>
      <c r="H16" s="49">
        <v>2729</v>
      </c>
    </row>
    <row r="17" spans="1:8" x14ac:dyDescent="0.25">
      <c r="E17" s="797"/>
      <c r="F17" s="448"/>
    </row>
    <row r="18" spans="1:8" x14ac:dyDescent="0.25">
      <c r="A18" s="712" t="s">
        <v>770</v>
      </c>
      <c r="B18" s="713"/>
      <c r="C18" s="713"/>
      <c r="D18" s="713"/>
      <c r="E18" s="790"/>
      <c r="F18" s="49"/>
      <c r="H18" s="425">
        <v>796</v>
      </c>
    </row>
    <row r="19" spans="1:8" x14ac:dyDescent="0.25">
      <c r="A19" s="445"/>
      <c r="E19" s="448"/>
      <c r="F19" s="448"/>
    </row>
    <row r="20" spans="1:8" ht="16.5" thickBot="1" x14ac:dyDescent="0.3">
      <c r="A20" s="445" t="s">
        <v>178</v>
      </c>
      <c r="F20" s="49"/>
      <c r="H20" s="55">
        <f>SUM(H16:H18)</f>
        <v>3525</v>
      </c>
    </row>
    <row r="21" spans="1:8" ht="16.5" thickTop="1" x14ac:dyDescent="0.25">
      <c r="A21" s="445"/>
      <c r="E21" s="448"/>
      <c r="F21" s="448"/>
    </row>
    <row r="22" spans="1:8" ht="16.5" thickBot="1" x14ac:dyDescent="0.3">
      <c r="A22" s="445" t="s">
        <v>771</v>
      </c>
      <c r="F22" s="49"/>
      <c r="H22" s="55">
        <f>-H20</f>
        <v>-3525</v>
      </c>
    </row>
    <row r="23" spans="1:8" ht="16.5" thickTop="1" x14ac:dyDescent="0.25">
      <c r="F23" s="448"/>
    </row>
    <row r="24" spans="1:8" x14ac:dyDescent="0.25">
      <c r="A24" s="447" t="s">
        <v>622</v>
      </c>
      <c r="H24" s="351">
        <f>Allocators!C47</f>
        <v>0.86002000000000001</v>
      </c>
    </row>
    <row r="25" spans="1:8" x14ac:dyDescent="0.25">
      <c r="A25" s="445"/>
    </row>
    <row r="26" spans="1:8" ht="16.5" thickBot="1" x14ac:dyDescent="0.3">
      <c r="A26" s="447" t="s">
        <v>331</v>
      </c>
      <c r="H26" s="55">
        <f>ROUND(H22*H24,0)</f>
        <v>-3032</v>
      </c>
    </row>
    <row r="27" spans="1:8" ht="16.5" thickTop="1" x14ac:dyDescent="0.25"/>
  </sheetData>
  <mergeCells count="3">
    <mergeCell ref="A8:H8"/>
    <mergeCell ref="A11:H11"/>
    <mergeCell ref="A12:H12"/>
  </mergeCells>
  <printOptions horizontalCentered="1" gridLinesSet="0"/>
  <pageMargins left="1.25" right="0.75" top="1" bottom="1" header="0.5" footer="0.5"/>
  <pageSetup scale="93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7" enableFormatConditionsCalculation="0">
    <pageSetUpPr fitToPage="1"/>
  </sheetPr>
  <dimension ref="A1:H1606"/>
  <sheetViews>
    <sheetView showGridLines="0" topLeftCell="A16" zoomScaleNormal="100" zoomScaleSheetLayoutView="70" workbookViewId="0">
      <selection activeCell="C51" sqref="C51"/>
    </sheetView>
  </sheetViews>
  <sheetFormatPr defaultColWidth="9.625" defaultRowHeight="12" x14ac:dyDescent="0.15"/>
  <cols>
    <col min="1" max="1" width="38.625" style="144" customWidth="1"/>
    <col min="2" max="2" width="21.625" style="144" customWidth="1"/>
    <col min="3" max="3" width="11.5" style="391" customWidth="1"/>
    <col min="4" max="4" width="2.125" style="144" customWidth="1"/>
    <col min="5" max="5" width="57.625" style="144" customWidth="1"/>
    <col min="6" max="6" width="12" style="144" customWidth="1"/>
    <col min="7" max="7" width="11.75" style="145" customWidth="1"/>
    <col min="8" max="8" width="21.625" style="144" customWidth="1"/>
    <col min="9" max="16384" width="9.625" style="144"/>
  </cols>
  <sheetData>
    <row r="1" spans="1:8" ht="15.75" x14ac:dyDescent="0.25">
      <c r="A1" s="2"/>
      <c r="B1" s="2"/>
      <c r="C1" s="8"/>
      <c r="D1" s="2"/>
      <c r="E1" s="2"/>
      <c r="F1" s="2"/>
      <c r="G1" s="7"/>
      <c r="H1" s="2"/>
    </row>
    <row r="2" spans="1:8" ht="15.75" x14ac:dyDescent="0.25">
      <c r="A2" s="2"/>
      <c r="B2" s="2"/>
      <c r="C2" s="8"/>
      <c r="D2" s="2"/>
      <c r="E2" s="2"/>
      <c r="F2" s="2"/>
      <c r="G2" s="7"/>
      <c r="H2" s="1"/>
    </row>
    <row r="3" spans="1:8" ht="15.75" x14ac:dyDescent="0.25">
      <c r="A3" s="2"/>
      <c r="B3" s="2"/>
      <c r="C3" s="8"/>
      <c r="D3" s="2"/>
      <c r="E3" s="7" t="str">
        <f>'Ex 1'!$K$1</f>
        <v>Revised Exhibit 1</v>
      </c>
      <c r="H3" s="1"/>
    </row>
    <row r="4" spans="1:8" ht="15.75" x14ac:dyDescent="0.25">
      <c r="A4" s="2"/>
      <c r="B4" s="2"/>
      <c r="C4" s="8"/>
      <c r="D4" s="2"/>
      <c r="E4" s="30" t="str">
        <f>"Reference Schedule "&amp;Inputs!$A48&amp;""</f>
        <v>Reference Schedule Allocators</v>
      </c>
      <c r="H4" s="1"/>
    </row>
    <row r="5" spans="1:8" ht="15.75" x14ac:dyDescent="0.25">
      <c r="A5" s="2"/>
      <c r="B5" s="2"/>
      <c r="C5" s="8"/>
      <c r="D5" s="2"/>
      <c r="E5" s="529" t="str">
        <f>"Sponsoring Witness: "&amp;Inputs!$B48&amp;""</f>
        <v>Sponsoring Witness: Conroy</v>
      </c>
      <c r="H5" s="1"/>
    </row>
    <row r="6" spans="1:8" ht="15.75" x14ac:dyDescent="0.25">
      <c r="A6" s="2"/>
      <c r="B6" s="2"/>
      <c r="C6" s="8"/>
      <c r="D6" s="2"/>
      <c r="E6" s="2"/>
      <c r="F6" s="2"/>
      <c r="G6" s="58"/>
      <c r="H6" s="1"/>
    </row>
    <row r="7" spans="1:8" ht="15.75" x14ac:dyDescent="0.25">
      <c r="A7" s="2"/>
      <c r="B7" s="2"/>
      <c r="C7" s="8"/>
      <c r="D7" s="2"/>
      <c r="E7" s="2"/>
      <c r="F7" s="2"/>
      <c r="G7" s="58"/>
      <c r="H7" s="1"/>
    </row>
    <row r="8" spans="1:8" ht="15.75" x14ac:dyDescent="0.25">
      <c r="A8" s="800" t="s">
        <v>230</v>
      </c>
      <c r="B8" s="800"/>
      <c r="C8" s="800"/>
      <c r="D8" s="800"/>
      <c r="E8" s="800"/>
      <c r="F8" s="82"/>
      <c r="G8" s="82"/>
      <c r="H8" s="1"/>
    </row>
    <row r="9" spans="1:8" ht="15.75" x14ac:dyDescent="0.25">
      <c r="A9" s="4"/>
      <c r="B9" s="4"/>
      <c r="C9" s="82"/>
      <c r="D9" s="4"/>
      <c r="E9" s="4"/>
      <c r="F9" s="2"/>
      <c r="G9" s="58"/>
      <c r="H9" s="1"/>
    </row>
    <row r="10" spans="1:8" ht="15.75" x14ac:dyDescent="0.25">
      <c r="A10" s="102"/>
      <c r="B10" s="102"/>
      <c r="C10" s="102"/>
      <c r="D10" s="102"/>
      <c r="E10" s="102"/>
      <c r="F10" s="102"/>
      <c r="G10" s="58"/>
      <c r="H10" s="1"/>
    </row>
    <row r="11" spans="1:8" ht="15.75" x14ac:dyDescent="0.25">
      <c r="A11" s="807" t="s">
        <v>278</v>
      </c>
      <c r="B11" s="807"/>
      <c r="C11" s="807"/>
      <c r="D11" s="807"/>
      <c r="E11" s="807"/>
      <c r="F11" s="102"/>
      <c r="G11" s="102"/>
      <c r="H11" s="1"/>
    </row>
    <row r="12" spans="1:8" ht="15.75" x14ac:dyDescent="0.25">
      <c r="A12" s="832" t="str">
        <f>"At "&amp;Inputs!B3&amp;""</f>
        <v>At March 31, 2012</v>
      </c>
      <c r="B12" s="832"/>
      <c r="C12" s="832"/>
      <c r="D12" s="832"/>
      <c r="E12" s="832"/>
      <c r="F12" s="82"/>
      <c r="G12" s="82"/>
      <c r="H12" s="1"/>
    </row>
    <row r="13" spans="1:8" ht="15.75" x14ac:dyDescent="0.25">
      <c r="A13" s="832"/>
      <c r="B13" s="832"/>
      <c r="C13" s="832"/>
      <c r="D13" s="832"/>
      <c r="E13" s="832"/>
      <c r="F13" s="6"/>
      <c r="G13" s="58"/>
      <c r="H13" s="1"/>
    </row>
    <row r="14" spans="1:8" ht="15.75" x14ac:dyDescent="0.25">
      <c r="A14" s="1"/>
      <c r="B14" s="1"/>
      <c r="C14" s="8"/>
      <c r="D14" s="1"/>
      <c r="E14" s="319"/>
      <c r="F14" s="1"/>
      <c r="G14" s="58"/>
      <c r="H14" s="1"/>
    </row>
    <row r="15" spans="1:8" ht="15.75" x14ac:dyDescent="0.25">
      <c r="A15" s="1"/>
      <c r="B15" s="8" t="s">
        <v>153</v>
      </c>
      <c r="C15" s="530"/>
      <c r="D15" s="1"/>
      <c r="E15" s="1"/>
      <c r="F15" s="1"/>
      <c r="G15" s="58"/>
      <c r="H15" s="1"/>
    </row>
    <row r="16" spans="1:8" ht="27" customHeight="1" x14ac:dyDescent="0.4">
      <c r="A16" s="53" t="s">
        <v>287</v>
      </c>
      <c r="B16" s="53" t="s">
        <v>155</v>
      </c>
      <c r="C16" s="53" t="s">
        <v>249</v>
      </c>
      <c r="D16" s="1"/>
      <c r="E16" s="53" t="s">
        <v>305</v>
      </c>
      <c r="F16" s="1"/>
      <c r="G16" s="58"/>
      <c r="H16" s="1"/>
    </row>
    <row r="17" spans="1:8" ht="15.75" x14ac:dyDescent="0.25">
      <c r="A17" s="1" t="s">
        <v>279</v>
      </c>
      <c r="B17" s="388" t="str">
        <f>Inputs!A20</f>
        <v>1.04</v>
      </c>
      <c r="C17" s="389">
        <f>ROUND(((0.86549)+(0.85898)+(0.86757)+(0.87436))/4,5)</f>
        <v>0.86660000000000004</v>
      </c>
      <c r="D17" s="1"/>
      <c r="E17" s="1" t="s">
        <v>280</v>
      </c>
      <c r="G17" s="319"/>
      <c r="H17" s="1"/>
    </row>
    <row r="18" spans="1:8" ht="15.75" x14ac:dyDescent="0.25">
      <c r="A18" s="1"/>
      <c r="B18" s="134"/>
      <c r="C18" s="390"/>
      <c r="D18" s="1"/>
      <c r="E18" s="530" t="s">
        <v>603</v>
      </c>
      <c r="G18" s="319"/>
      <c r="H18" s="1"/>
    </row>
    <row r="19" spans="1:8" ht="15.75" x14ac:dyDescent="0.25">
      <c r="A19" s="1"/>
      <c r="B19" s="134"/>
      <c r="C19" s="390"/>
      <c r="D19" s="1"/>
      <c r="E19" s="530" t="s">
        <v>604</v>
      </c>
      <c r="G19" s="624"/>
      <c r="H19" s="1"/>
    </row>
    <row r="20" spans="1:8" ht="15.75" x14ac:dyDescent="0.25">
      <c r="A20" s="1"/>
      <c r="B20" s="134"/>
      <c r="C20" s="390"/>
      <c r="D20" s="1"/>
      <c r="E20" s="1"/>
      <c r="G20" s="624"/>
      <c r="H20" s="1"/>
    </row>
    <row r="21" spans="1:8" ht="15.75" x14ac:dyDescent="0.25">
      <c r="A21" s="14" t="s">
        <v>340</v>
      </c>
      <c r="B21" s="388" t="str">
        <f>Inputs!A21&amp;", "&amp;Inputs!A24&amp;", "&amp;Inputs!A25</f>
        <v>1.05, 1.08, 1.09</v>
      </c>
      <c r="C21" s="390">
        <v>0.86756999999999995</v>
      </c>
      <c r="D21" s="1"/>
      <c r="E21" s="1" t="s">
        <v>281</v>
      </c>
      <c r="F21" s="1"/>
      <c r="G21" s="132"/>
      <c r="H21" s="1"/>
    </row>
    <row r="22" spans="1:8" ht="15.75" x14ac:dyDescent="0.25">
      <c r="A22" s="1"/>
      <c r="B22" s="134"/>
      <c r="C22" s="390"/>
      <c r="D22" s="1"/>
      <c r="E22" s="1" t="s">
        <v>282</v>
      </c>
      <c r="F22" s="1"/>
      <c r="G22" s="132"/>
      <c r="H22" s="1"/>
    </row>
    <row r="23" spans="1:8" ht="15.75" x14ac:dyDescent="0.25">
      <c r="A23" s="1"/>
      <c r="B23" s="134"/>
      <c r="C23" s="390"/>
      <c r="D23" s="1"/>
      <c r="E23" s="1"/>
      <c r="F23" s="1"/>
      <c r="G23" s="132"/>
      <c r="H23" s="1"/>
    </row>
    <row r="24" spans="1:8" ht="15.75" x14ac:dyDescent="0.25">
      <c r="A24" s="1" t="s">
        <v>283</v>
      </c>
      <c r="B24" s="134" t="str">
        <f>Inputs!A28</f>
        <v>1.12</v>
      </c>
      <c r="C24" s="390">
        <f>167700749/192192743</f>
        <v>0.87256545893618886</v>
      </c>
      <c r="D24" s="1"/>
      <c r="E24" s="1" t="s">
        <v>309</v>
      </c>
      <c r="F24" s="1"/>
      <c r="G24" s="132"/>
      <c r="H24" s="1"/>
    </row>
    <row r="25" spans="1:8" ht="15.75" x14ac:dyDescent="0.25">
      <c r="A25" s="1"/>
      <c r="B25" s="134"/>
      <c r="C25" s="390"/>
      <c r="D25" s="1"/>
      <c r="E25" s="1" t="s">
        <v>310</v>
      </c>
      <c r="F25" s="1"/>
      <c r="G25" s="132"/>
      <c r="H25" s="1"/>
    </row>
    <row r="26" spans="1:8" ht="15.75" x14ac:dyDescent="0.25">
      <c r="A26" s="1"/>
      <c r="B26" s="134"/>
      <c r="C26" s="390"/>
      <c r="D26" s="1"/>
      <c r="E26" s="1"/>
      <c r="F26" s="1"/>
      <c r="G26" s="132"/>
      <c r="H26" s="1"/>
    </row>
    <row r="27" spans="1:8" ht="15.75" x14ac:dyDescent="0.25">
      <c r="A27" s="1" t="s">
        <v>284</v>
      </c>
      <c r="B27" s="388" t="str">
        <f>Inputs!A29&amp;""</f>
        <v>1.13</v>
      </c>
      <c r="C27" s="390">
        <v>0.88937999999999995</v>
      </c>
      <c r="D27" s="1"/>
      <c r="E27" s="1" t="s">
        <v>306</v>
      </c>
      <c r="F27" s="1"/>
      <c r="G27" s="132"/>
      <c r="H27" s="1"/>
    </row>
    <row r="28" spans="1:8" ht="15.75" x14ac:dyDescent="0.25">
      <c r="A28" s="1"/>
      <c r="B28" s="134"/>
      <c r="C28" s="390"/>
      <c r="D28" s="1"/>
      <c r="E28" s="1"/>
      <c r="F28" s="1"/>
      <c r="G28" s="127"/>
      <c r="H28" s="1"/>
    </row>
    <row r="29" spans="1:8" ht="15.75" x14ac:dyDescent="0.25">
      <c r="A29" s="1" t="s">
        <v>192</v>
      </c>
      <c r="B29" s="134" t="str">
        <f>Inputs!A30</f>
        <v>1.14</v>
      </c>
      <c r="C29" s="390">
        <f>C27</f>
        <v>0.88937999999999995</v>
      </c>
      <c r="D29" s="1"/>
      <c r="E29" s="1" t="s">
        <v>306</v>
      </c>
      <c r="F29" s="1"/>
      <c r="G29" s="58"/>
      <c r="H29" s="2"/>
    </row>
    <row r="30" spans="1:8" ht="15.75" x14ac:dyDescent="0.25">
      <c r="A30" s="1"/>
      <c r="B30" s="134"/>
      <c r="C30" s="390"/>
      <c r="D30" s="1"/>
      <c r="E30" s="1"/>
      <c r="F30" s="1"/>
      <c r="G30" s="132"/>
      <c r="H30" s="1"/>
    </row>
    <row r="31" spans="1:8" ht="15.75" x14ac:dyDescent="0.25">
      <c r="A31" s="14" t="s">
        <v>105</v>
      </c>
      <c r="B31" s="134" t="str">
        <f>Inputs!A31</f>
        <v>1.15</v>
      </c>
      <c r="C31" s="390">
        <v>0.94084999999999996</v>
      </c>
      <c r="D31" s="1"/>
      <c r="E31" s="1" t="s">
        <v>307</v>
      </c>
      <c r="F31" s="1"/>
      <c r="G31" s="132"/>
      <c r="H31" s="1"/>
    </row>
    <row r="32" spans="1:8" ht="15.75" x14ac:dyDescent="0.25">
      <c r="A32" s="1"/>
      <c r="B32" s="134"/>
      <c r="C32" s="390"/>
      <c r="D32" s="1"/>
      <c r="E32" s="1"/>
      <c r="F32" s="1"/>
      <c r="G32" s="132"/>
      <c r="H32" s="1"/>
    </row>
    <row r="33" spans="1:8" ht="15.75" x14ac:dyDescent="0.25">
      <c r="A33" s="1" t="s">
        <v>288</v>
      </c>
      <c r="B33" s="134" t="str">
        <f>Inputs!A32</f>
        <v>1.16</v>
      </c>
      <c r="C33" s="390">
        <f>C27</f>
        <v>0.88937999999999995</v>
      </c>
      <c r="D33" s="1"/>
      <c r="E33" s="1" t="s">
        <v>306</v>
      </c>
      <c r="F33" s="1"/>
      <c r="G33" s="133"/>
      <c r="H33" s="1"/>
    </row>
    <row r="34" spans="1:8" ht="15.75" x14ac:dyDescent="0.25">
      <c r="A34" s="1"/>
      <c r="B34" s="134"/>
      <c r="C34" s="390"/>
      <c r="D34" s="1"/>
      <c r="E34" s="1"/>
      <c r="F34" s="1"/>
      <c r="G34" s="133"/>
      <c r="H34" s="1"/>
    </row>
    <row r="35" spans="1:8" ht="15.75" x14ac:dyDescent="0.25">
      <c r="A35" s="1" t="s">
        <v>285</v>
      </c>
      <c r="B35" s="134" t="str">
        <f>Inputs!A33</f>
        <v>1.17</v>
      </c>
      <c r="C35" s="390">
        <v>0.94977999999999996</v>
      </c>
      <c r="D35" s="1"/>
      <c r="E35" s="1" t="s">
        <v>286</v>
      </c>
      <c r="F35" s="1"/>
      <c r="G35" s="77"/>
      <c r="H35" s="2"/>
    </row>
    <row r="36" spans="1:8" ht="15.75" x14ac:dyDescent="0.25">
      <c r="A36" s="1"/>
      <c r="B36" s="134"/>
      <c r="C36" s="390"/>
      <c r="D36" s="1"/>
      <c r="E36" s="1"/>
      <c r="F36" s="1"/>
      <c r="G36" s="133"/>
      <c r="H36" s="1"/>
    </row>
    <row r="37" spans="1:8" ht="15.75" x14ac:dyDescent="0.25">
      <c r="A37" s="530" t="s">
        <v>692</v>
      </c>
      <c r="B37" s="134" t="str">
        <f>Inputs!A34</f>
        <v>1.18</v>
      </c>
      <c r="C37" s="390">
        <v>0.94452000000000003</v>
      </c>
      <c r="D37" s="1"/>
      <c r="E37" s="1" t="s">
        <v>467</v>
      </c>
      <c r="F37" s="1"/>
      <c r="G37" s="77"/>
      <c r="H37" s="526"/>
    </row>
    <row r="38" spans="1:8" ht="15.75" x14ac:dyDescent="0.25">
      <c r="A38" s="1"/>
      <c r="B38" s="134"/>
      <c r="C38" s="390"/>
      <c r="D38" s="1"/>
      <c r="E38" s="1"/>
      <c r="F38" s="1"/>
      <c r="G38" s="133"/>
      <c r="H38" s="1"/>
    </row>
    <row r="39" spans="1:8" ht="15.75" x14ac:dyDescent="0.25">
      <c r="A39" s="530" t="s">
        <v>468</v>
      </c>
      <c r="B39" s="134" t="str">
        <f>Inputs!A34</f>
        <v>1.18</v>
      </c>
      <c r="C39" s="390">
        <f>858787983/980861389</f>
        <v>0.87554469227863552</v>
      </c>
      <c r="D39" s="1"/>
      <c r="E39" s="1" t="s">
        <v>469</v>
      </c>
      <c r="F39" s="1"/>
      <c r="G39" s="77"/>
      <c r="H39" s="526"/>
    </row>
    <row r="40" spans="1:8" ht="15.75" x14ac:dyDescent="0.25">
      <c r="A40" s="1"/>
      <c r="B40" s="134"/>
      <c r="C40" s="390"/>
      <c r="D40" s="1"/>
      <c r="E40" s="1"/>
      <c r="F40" s="1"/>
      <c r="G40" s="133"/>
      <c r="H40" s="1"/>
    </row>
    <row r="41" spans="1:8" ht="15.75" x14ac:dyDescent="0.25">
      <c r="A41" s="1" t="s">
        <v>547</v>
      </c>
      <c r="B41" s="134" t="str">
        <f>Inputs!A35</f>
        <v>1.19</v>
      </c>
      <c r="C41" s="390">
        <v>0.87070000000000003</v>
      </c>
      <c r="D41" s="1"/>
      <c r="E41" s="1" t="s">
        <v>548</v>
      </c>
      <c r="F41" s="1"/>
      <c r="G41" s="77"/>
      <c r="H41" s="526"/>
    </row>
    <row r="42" spans="1:8" ht="15.75" x14ac:dyDescent="0.25">
      <c r="A42" s="1"/>
      <c r="B42" s="134"/>
      <c r="C42" s="390"/>
      <c r="D42" s="1"/>
      <c r="E42" s="1"/>
      <c r="F42" s="1"/>
      <c r="G42" s="133"/>
      <c r="H42" s="1"/>
    </row>
    <row r="43" spans="1:8" ht="15.75" x14ac:dyDescent="0.25">
      <c r="A43" s="1" t="s">
        <v>555</v>
      </c>
      <c r="B43" s="134" t="str">
        <f>Inputs!A36</f>
        <v>1.20</v>
      </c>
      <c r="C43" s="390">
        <v>0.86548999999999998</v>
      </c>
      <c r="D43" s="1"/>
      <c r="E43" s="1" t="s">
        <v>556</v>
      </c>
      <c r="F43" s="1"/>
      <c r="G43" s="77"/>
      <c r="H43" s="526"/>
    </row>
    <row r="44" spans="1:8" ht="15.75" x14ac:dyDescent="0.25">
      <c r="A44" s="1"/>
      <c r="B44" s="134"/>
      <c r="C44" s="390"/>
      <c r="D44" s="1"/>
      <c r="E44" s="1"/>
      <c r="F44" s="1"/>
      <c r="G44" s="133"/>
      <c r="H44" s="1"/>
    </row>
    <row r="45" spans="1:8" ht="15.75" x14ac:dyDescent="0.25">
      <c r="A45" s="1" t="s">
        <v>374</v>
      </c>
      <c r="B45" s="388" t="str">
        <f>Inputs!A43&amp;", "&amp;Inputs!A44&amp;""</f>
        <v>1.31, 1.32</v>
      </c>
      <c r="C45" s="390">
        <f>89659334/98561045</f>
        <v>0.90968327294013573</v>
      </c>
      <c r="D45" s="1"/>
      <c r="E45" s="1" t="s">
        <v>308</v>
      </c>
      <c r="F45" s="1"/>
      <c r="G45" s="133"/>
      <c r="H45" s="2"/>
    </row>
    <row r="46" spans="1:8" ht="15.75" x14ac:dyDescent="0.25">
      <c r="A46" s="1"/>
      <c r="B46" s="134"/>
      <c r="C46" s="390"/>
      <c r="D46" s="1"/>
      <c r="E46" s="1"/>
      <c r="F46" s="1"/>
      <c r="G46" s="133"/>
      <c r="H46" s="1"/>
    </row>
    <row r="47" spans="1:8" ht="15.75" x14ac:dyDescent="0.25">
      <c r="A47" s="530" t="s">
        <v>768</v>
      </c>
      <c r="B47" s="134" t="str">
        <f>Inputs!A47</f>
        <v>1.35</v>
      </c>
      <c r="C47" s="390">
        <v>0.86002000000000001</v>
      </c>
      <c r="D47" s="1"/>
      <c r="E47" s="1" t="s">
        <v>769</v>
      </c>
      <c r="F47" s="1"/>
      <c r="G47" s="77"/>
      <c r="H47" s="526"/>
    </row>
    <row r="48" spans="1:8" ht="15.75" x14ac:dyDescent="0.25">
      <c r="A48" s="1"/>
      <c r="B48" s="1"/>
      <c r="C48" s="8"/>
      <c r="D48" s="1"/>
      <c r="E48" s="1"/>
      <c r="F48" s="1"/>
      <c r="G48" s="58"/>
      <c r="H48" s="2"/>
    </row>
    <row r="49" spans="1:8" ht="15.75" x14ac:dyDescent="0.25">
      <c r="A49" s="1"/>
      <c r="B49" s="1"/>
      <c r="C49" s="8"/>
      <c r="D49" s="1"/>
      <c r="E49" s="1"/>
      <c r="F49" s="1"/>
      <c r="G49" s="58"/>
      <c r="H49" s="2"/>
    </row>
    <row r="50" spans="1:8" ht="15.75" x14ac:dyDescent="0.25">
      <c r="A50" s="1"/>
      <c r="B50" s="1"/>
      <c r="C50" s="8"/>
      <c r="D50" s="1"/>
      <c r="E50" s="1"/>
      <c r="F50" s="1"/>
      <c r="G50" s="58"/>
      <c r="H50" s="2"/>
    </row>
    <row r="51" spans="1:8" ht="15.75" x14ac:dyDescent="0.25">
      <c r="A51" s="1"/>
      <c r="B51" s="1"/>
      <c r="C51" s="8"/>
      <c r="D51" s="1"/>
      <c r="E51" s="1"/>
      <c r="F51" s="1"/>
      <c r="G51" s="58"/>
      <c r="H51" s="2"/>
    </row>
    <row r="52" spans="1:8" ht="15.75" x14ac:dyDescent="0.25">
      <c r="A52" s="1"/>
      <c r="B52" s="1"/>
      <c r="C52" s="8"/>
      <c r="D52" s="1"/>
      <c r="E52" s="1"/>
      <c r="F52" s="1"/>
      <c r="G52" s="58"/>
      <c r="H52" s="2"/>
    </row>
    <row r="53" spans="1:8" ht="15.75" x14ac:dyDescent="0.25">
      <c r="A53" s="1"/>
      <c r="B53" s="1"/>
      <c r="C53" s="8"/>
      <c r="D53" s="1"/>
      <c r="E53" s="1"/>
      <c r="F53" s="1"/>
      <c r="G53" s="58"/>
      <c r="H53" s="2"/>
    </row>
    <row r="54" spans="1:8" ht="15.75" x14ac:dyDescent="0.25">
      <c r="A54" s="1"/>
      <c r="B54" s="1"/>
      <c r="C54" s="8"/>
      <c r="D54" s="1"/>
      <c r="E54" s="1"/>
      <c r="F54" s="1"/>
      <c r="G54" s="58"/>
      <c r="H54" s="2"/>
    </row>
    <row r="55" spans="1:8" ht="15.75" x14ac:dyDescent="0.25">
      <c r="A55" s="1"/>
      <c r="B55" s="1"/>
      <c r="C55" s="8"/>
      <c r="D55" s="1"/>
      <c r="E55" s="1"/>
      <c r="F55" s="1"/>
      <c r="G55" s="58"/>
      <c r="H55" s="2"/>
    </row>
    <row r="56" spans="1:8" ht="15.75" x14ac:dyDescent="0.25">
      <c r="A56" s="1"/>
      <c r="B56" s="1"/>
      <c r="C56" s="8"/>
      <c r="D56" s="1"/>
      <c r="E56" s="1"/>
      <c r="F56" s="1"/>
      <c r="G56" s="58"/>
      <c r="H56" s="2"/>
    </row>
    <row r="57" spans="1:8" ht="15.75" x14ac:dyDescent="0.25">
      <c r="A57" s="1"/>
      <c r="B57" s="1"/>
      <c r="C57" s="8"/>
      <c r="D57" s="1"/>
      <c r="E57" s="1"/>
      <c r="F57" s="1"/>
      <c r="G57" s="58"/>
      <c r="H57" s="2"/>
    </row>
    <row r="58" spans="1:8" ht="15.75" x14ac:dyDescent="0.25">
      <c r="A58" s="1"/>
      <c r="B58" s="1"/>
      <c r="C58" s="8"/>
      <c r="D58" s="1"/>
      <c r="E58" s="1"/>
      <c r="F58" s="1"/>
      <c r="G58" s="58"/>
      <c r="H58" s="2"/>
    </row>
    <row r="59" spans="1:8" ht="15.75" x14ac:dyDescent="0.25">
      <c r="A59" s="1"/>
      <c r="B59" s="1"/>
      <c r="C59" s="8"/>
      <c r="D59" s="1"/>
      <c r="E59" s="1"/>
      <c r="F59" s="1"/>
      <c r="G59" s="58"/>
      <c r="H59" s="2"/>
    </row>
    <row r="60" spans="1:8" ht="15.75" x14ac:dyDescent="0.25">
      <c r="A60" s="1"/>
      <c r="B60" s="1"/>
      <c r="C60" s="8"/>
      <c r="D60" s="1"/>
      <c r="E60" s="1"/>
      <c r="F60" s="1"/>
    </row>
    <row r="61" spans="1:8" ht="15.75" x14ac:dyDescent="0.25">
      <c r="A61" s="1"/>
      <c r="B61" s="1"/>
      <c r="C61" s="8"/>
      <c r="D61" s="1"/>
      <c r="E61" s="1"/>
      <c r="F61" s="1"/>
    </row>
    <row r="62" spans="1:8" ht="15.75" x14ac:dyDescent="0.25">
      <c r="A62" s="1"/>
      <c r="B62" s="1"/>
      <c r="C62" s="8"/>
      <c r="D62" s="1"/>
      <c r="E62" s="1"/>
      <c r="F62" s="1"/>
    </row>
    <row r="63" spans="1:8" ht="15.75" x14ac:dyDescent="0.25">
      <c r="A63" s="1"/>
      <c r="B63" s="1"/>
      <c r="C63" s="8"/>
      <c r="D63" s="1"/>
      <c r="E63" s="1"/>
      <c r="F63" s="1"/>
    </row>
    <row r="64" spans="1:8" ht="15.75" x14ac:dyDescent="0.25">
      <c r="A64" s="1"/>
      <c r="B64" s="1"/>
      <c r="C64" s="8"/>
      <c r="D64" s="1"/>
      <c r="E64" s="1"/>
      <c r="F64" s="1"/>
    </row>
    <row r="65" spans="1:6" ht="15.75" x14ac:dyDescent="0.25">
      <c r="A65" s="1"/>
      <c r="B65" s="1"/>
      <c r="C65" s="8"/>
      <c r="D65" s="1"/>
      <c r="E65" s="1"/>
      <c r="F65" s="1"/>
    </row>
    <row r="66" spans="1:6" ht="15.75" x14ac:dyDescent="0.25">
      <c r="A66" s="1"/>
      <c r="B66" s="1"/>
      <c r="C66" s="8"/>
      <c r="D66" s="1"/>
      <c r="E66" s="1"/>
      <c r="F66" s="1"/>
    </row>
    <row r="67" spans="1:6" ht="15.75" x14ac:dyDescent="0.25">
      <c r="A67" s="1"/>
      <c r="B67" s="1"/>
      <c r="C67" s="8"/>
      <c r="D67" s="1"/>
      <c r="E67" s="1"/>
      <c r="F67" s="1"/>
    </row>
    <row r="68" spans="1:6" ht="15.75" x14ac:dyDescent="0.25">
      <c r="A68" s="1"/>
      <c r="B68" s="1"/>
      <c r="C68" s="8"/>
      <c r="D68" s="1"/>
      <c r="E68" s="1"/>
      <c r="F68" s="1"/>
    </row>
    <row r="69" spans="1:6" ht="15.75" x14ac:dyDescent="0.25">
      <c r="A69" s="1"/>
      <c r="B69" s="1"/>
      <c r="C69" s="8"/>
      <c r="D69" s="1"/>
      <c r="E69" s="1"/>
      <c r="F69" s="1"/>
    </row>
    <row r="70" spans="1:6" ht="15.75" x14ac:dyDescent="0.25">
      <c r="A70" s="1"/>
      <c r="B70" s="1"/>
      <c r="C70" s="8"/>
      <c r="D70" s="1"/>
      <c r="E70" s="1"/>
      <c r="F70" s="1"/>
    </row>
    <row r="71" spans="1:6" ht="15.75" x14ac:dyDescent="0.25">
      <c r="A71" s="1"/>
      <c r="B71" s="1"/>
      <c r="C71" s="8"/>
      <c r="D71" s="1"/>
      <c r="E71" s="1"/>
      <c r="F71" s="1"/>
    </row>
    <row r="72" spans="1:6" ht="15.75" x14ac:dyDescent="0.25">
      <c r="A72" s="1"/>
      <c r="B72" s="1"/>
      <c r="C72" s="8"/>
      <c r="D72" s="1"/>
      <c r="E72" s="1"/>
      <c r="F72" s="1"/>
    </row>
    <row r="73" spans="1:6" ht="15.75" x14ac:dyDescent="0.25">
      <c r="A73" s="1"/>
      <c r="B73" s="1"/>
      <c r="C73" s="8"/>
      <c r="D73" s="1"/>
      <c r="E73" s="1"/>
      <c r="F73" s="1"/>
    </row>
    <row r="74" spans="1:6" ht="15.75" x14ac:dyDescent="0.25">
      <c r="A74" s="1"/>
      <c r="B74" s="1"/>
      <c r="C74" s="8"/>
      <c r="D74" s="1"/>
      <c r="E74" s="1"/>
      <c r="F74" s="1"/>
    </row>
    <row r="75" spans="1:6" ht="15.75" x14ac:dyDescent="0.25">
      <c r="A75" s="1"/>
      <c r="B75" s="1"/>
      <c r="C75" s="8"/>
      <c r="D75" s="1"/>
      <c r="E75" s="1"/>
      <c r="F75" s="1"/>
    </row>
    <row r="76" spans="1:6" ht="15.75" x14ac:dyDescent="0.25">
      <c r="A76" s="1"/>
      <c r="B76" s="1"/>
      <c r="C76" s="8"/>
      <c r="D76" s="1"/>
      <c r="E76" s="1"/>
      <c r="F76" s="1"/>
    </row>
    <row r="77" spans="1:6" ht="15.75" x14ac:dyDescent="0.25">
      <c r="A77" s="1"/>
      <c r="B77" s="1"/>
      <c r="C77" s="8"/>
      <c r="D77" s="1"/>
      <c r="E77" s="1"/>
      <c r="F77" s="1"/>
    </row>
    <row r="78" spans="1:6" ht="15.75" x14ac:dyDescent="0.25">
      <c r="A78" s="1"/>
      <c r="B78" s="1"/>
      <c r="C78" s="8"/>
      <c r="D78" s="1"/>
      <c r="E78" s="1"/>
      <c r="F78" s="1"/>
    </row>
    <row r="79" spans="1:6" ht="15.75" x14ac:dyDescent="0.25">
      <c r="A79" s="1"/>
      <c r="B79" s="1"/>
      <c r="C79" s="8"/>
      <c r="D79" s="1"/>
      <c r="E79" s="1"/>
      <c r="F79" s="1"/>
    </row>
    <row r="80" spans="1:6" ht="15.75" x14ac:dyDescent="0.25">
      <c r="A80" s="1"/>
      <c r="B80" s="1"/>
      <c r="C80" s="8"/>
      <c r="D80" s="1"/>
      <c r="E80" s="1"/>
      <c r="F80" s="1"/>
    </row>
    <row r="81" spans="1:6" ht="15.75" x14ac:dyDescent="0.25">
      <c r="A81" s="1"/>
      <c r="B81" s="1"/>
      <c r="C81" s="8"/>
      <c r="D81" s="1"/>
      <c r="E81" s="1"/>
      <c r="F81" s="1"/>
    </row>
    <row r="82" spans="1:6" ht="15.75" x14ac:dyDescent="0.25">
      <c r="A82" s="1"/>
      <c r="B82" s="1"/>
      <c r="C82" s="8"/>
      <c r="D82" s="1"/>
      <c r="E82" s="1"/>
      <c r="F82" s="1"/>
    </row>
    <row r="83" spans="1:6" ht="15.75" x14ac:dyDescent="0.25">
      <c r="A83" s="1"/>
      <c r="B83" s="1"/>
      <c r="C83" s="8"/>
      <c r="D83" s="1"/>
      <c r="E83" s="1"/>
      <c r="F83" s="1"/>
    </row>
    <row r="84" spans="1:6" ht="15.75" x14ac:dyDescent="0.25">
      <c r="A84" s="1"/>
      <c r="B84" s="1"/>
      <c r="C84" s="8"/>
      <c r="D84" s="1"/>
      <c r="E84" s="1"/>
      <c r="F84" s="1"/>
    </row>
    <row r="85" spans="1:6" ht="15.75" x14ac:dyDescent="0.25">
      <c r="A85" s="1"/>
      <c r="B85" s="1"/>
      <c r="C85" s="8"/>
      <c r="D85" s="1"/>
      <c r="E85" s="1"/>
      <c r="F85" s="1"/>
    </row>
    <row r="86" spans="1:6" ht="15.75" x14ac:dyDescent="0.25">
      <c r="A86" s="1"/>
      <c r="B86" s="1"/>
      <c r="C86" s="8"/>
      <c r="D86" s="1"/>
      <c r="E86" s="1"/>
      <c r="F86" s="1"/>
    </row>
    <row r="87" spans="1:6" ht="15.75" x14ac:dyDescent="0.25">
      <c r="A87" s="1"/>
      <c r="B87" s="1"/>
      <c r="C87" s="8"/>
      <c r="D87" s="1"/>
      <c r="E87" s="1"/>
      <c r="F87" s="1"/>
    </row>
    <row r="88" spans="1:6" ht="15.75" x14ac:dyDescent="0.25">
      <c r="A88" s="1"/>
      <c r="B88" s="1"/>
      <c r="C88" s="8"/>
      <c r="D88" s="1"/>
      <c r="E88" s="1"/>
      <c r="F88" s="1"/>
    </row>
    <row r="89" spans="1:6" ht="15.75" x14ac:dyDescent="0.25">
      <c r="A89" s="1"/>
      <c r="B89" s="1"/>
      <c r="C89" s="8"/>
      <c r="D89" s="1"/>
      <c r="E89" s="1"/>
      <c r="F89" s="1"/>
    </row>
    <row r="90" spans="1:6" ht="15.75" x14ac:dyDescent="0.25">
      <c r="A90" s="1"/>
      <c r="B90" s="1"/>
      <c r="C90" s="8"/>
      <c r="D90" s="1"/>
      <c r="E90" s="1"/>
      <c r="F90" s="1"/>
    </row>
    <row r="91" spans="1:6" ht="15.75" x14ac:dyDescent="0.25">
      <c r="A91" s="1"/>
      <c r="B91" s="1"/>
      <c r="C91" s="8"/>
      <c r="D91" s="1"/>
      <c r="E91" s="1"/>
      <c r="F91" s="1"/>
    </row>
    <row r="92" spans="1:6" ht="15.75" x14ac:dyDescent="0.25">
      <c r="A92" s="1"/>
      <c r="B92" s="1"/>
      <c r="C92" s="8"/>
      <c r="D92" s="1"/>
      <c r="E92" s="1"/>
      <c r="F92" s="1"/>
    </row>
    <row r="93" spans="1:6" ht="15.75" x14ac:dyDescent="0.25">
      <c r="A93" s="1"/>
      <c r="B93" s="1"/>
      <c r="C93" s="8"/>
      <c r="D93" s="1"/>
      <c r="E93" s="1"/>
      <c r="F93" s="1"/>
    </row>
    <row r="94" spans="1:6" ht="15.75" x14ac:dyDescent="0.25">
      <c r="A94" s="1"/>
      <c r="B94" s="1"/>
      <c r="C94" s="8"/>
      <c r="D94" s="1"/>
      <c r="E94" s="1"/>
      <c r="F94" s="1"/>
    </row>
    <row r="95" spans="1:6" ht="15.75" x14ac:dyDescent="0.25">
      <c r="A95" s="1"/>
      <c r="B95" s="1"/>
      <c r="C95" s="8"/>
      <c r="D95" s="1"/>
      <c r="E95" s="1"/>
      <c r="F95" s="1"/>
    </row>
    <row r="96" spans="1:6" ht="15.75" x14ac:dyDescent="0.25">
      <c r="A96" s="1"/>
      <c r="B96" s="1"/>
      <c r="C96" s="8"/>
      <c r="D96" s="1"/>
      <c r="E96" s="1"/>
      <c r="F96" s="1"/>
    </row>
    <row r="97" spans="1:6" ht="15.75" x14ac:dyDescent="0.25">
      <c r="A97" s="1"/>
      <c r="B97" s="1"/>
      <c r="C97" s="8"/>
      <c r="D97" s="1"/>
      <c r="E97" s="1"/>
      <c r="F97" s="1"/>
    </row>
    <row r="98" spans="1:6" ht="15.75" x14ac:dyDescent="0.25">
      <c r="A98" s="1"/>
      <c r="B98" s="1"/>
      <c r="C98" s="8"/>
      <c r="D98" s="1"/>
      <c r="E98" s="1"/>
      <c r="F98" s="1"/>
    </row>
    <row r="99" spans="1:6" ht="15.75" x14ac:dyDescent="0.25">
      <c r="A99" s="1"/>
      <c r="B99" s="1"/>
      <c r="C99" s="8"/>
      <c r="D99" s="1"/>
      <c r="E99" s="1"/>
      <c r="F99" s="1"/>
    </row>
    <row r="100" spans="1:6" ht="15.75" x14ac:dyDescent="0.25">
      <c r="A100" s="1"/>
      <c r="B100" s="1"/>
      <c r="C100" s="8"/>
      <c r="D100" s="1"/>
      <c r="E100" s="1"/>
      <c r="F100" s="1"/>
    </row>
    <row r="101" spans="1:6" ht="15.75" x14ac:dyDescent="0.25">
      <c r="A101" s="1"/>
      <c r="B101" s="1"/>
      <c r="C101" s="8"/>
      <c r="D101" s="1"/>
      <c r="E101" s="1"/>
      <c r="F101" s="1"/>
    </row>
    <row r="102" spans="1:6" ht="15.75" x14ac:dyDescent="0.25">
      <c r="A102" s="1"/>
      <c r="B102" s="1"/>
      <c r="C102" s="8"/>
      <c r="D102" s="1"/>
      <c r="E102" s="1"/>
      <c r="F102" s="1"/>
    </row>
    <row r="103" spans="1:6" ht="15.75" x14ac:dyDescent="0.25">
      <c r="A103" s="1"/>
      <c r="B103" s="1"/>
      <c r="C103" s="8"/>
      <c r="D103" s="1"/>
      <c r="E103" s="1"/>
      <c r="F103" s="1"/>
    </row>
    <row r="104" spans="1:6" ht="15.75" x14ac:dyDescent="0.25">
      <c r="A104" s="1"/>
      <c r="B104" s="1"/>
      <c r="C104" s="8"/>
      <c r="D104" s="1"/>
      <c r="E104" s="1"/>
      <c r="F104" s="1"/>
    </row>
    <row r="105" spans="1:6" ht="15.75" x14ac:dyDescent="0.25">
      <c r="A105" s="1"/>
      <c r="B105" s="1"/>
      <c r="C105" s="8"/>
      <c r="D105" s="1"/>
      <c r="E105" s="1"/>
      <c r="F105" s="1"/>
    </row>
    <row r="106" spans="1:6" ht="15.75" x14ac:dyDescent="0.25">
      <c r="A106" s="1"/>
      <c r="B106" s="1"/>
      <c r="C106" s="8"/>
      <c r="D106" s="1"/>
      <c r="E106" s="1"/>
      <c r="F106" s="1"/>
    </row>
    <row r="107" spans="1:6" ht="15.75" x14ac:dyDescent="0.25">
      <c r="A107" s="1"/>
      <c r="B107" s="1"/>
      <c r="C107" s="8"/>
      <c r="D107" s="1"/>
      <c r="E107" s="1"/>
      <c r="F107" s="1"/>
    </row>
    <row r="108" spans="1:6" ht="15.75" x14ac:dyDescent="0.25">
      <c r="A108" s="1"/>
      <c r="B108" s="1"/>
      <c r="C108" s="8"/>
      <c r="D108" s="1"/>
      <c r="E108" s="1"/>
      <c r="F108" s="1"/>
    </row>
    <row r="109" spans="1:6" ht="15.75" x14ac:dyDescent="0.25">
      <c r="A109" s="1"/>
      <c r="B109" s="1"/>
      <c r="C109" s="8"/>
      <c r="D109" s="1"/>
      <c r="E109" s="1"/>
      <c r="F109" s="1"/>
    </row>
    <row r="110" spans="1:6" ht="15.75" x14ac:dyDescent="0.25">
      <c r="A110" s="1"/>
      <c r="B110" s="1"/>
      <c r="C110" s="8"/>
      <c r="D110" s="1"/>
      <c r="E110" s="1"/>
      <c r="F110" s="1"/>
    </row>
    <row r="111" spans="1:6" ht="15.75" x14ac:dyDescent="0.25">
      <c r="A111" s="1"/>
      <c r="B111" s="1"/>
      <c r="C111" s="8"/>
      <c r="D111" s="1"/>
      <c r="E111" s="1"/>
      <c r="F111" s="1"/>
    </row>
    <row r="112" spans="1:6" ht="15.75" x14ac:dyDescent="0.25">
      <c r="A112" s="1"/>
      <c r="B112" s="1"/>
      <c r="C112" s="8"/>
      <c r="D112" s="1"/>
      <c r="E112" s="1"/>
      <c r="F112" s="1"/>
    </row>
    <row r="113" spans="1:6" ht="15.75" x14ac:dyDescent="0.25">
      <c r="A113" s="1"/>
      <c r="B113" s="1"/>
      <c r="C113" s="8"/>
      <c r="D113" s="1"/>
      <c r="E113" s="1"/>
      <c r="F113" s="1"/>
    </row>
    <row r="114" spans="1:6" ht="15.75" x14ac:dyDescent="0.25">
      <c r="A114" s="1"/>
      <c r="B114" s="1"/>
      <c r="C114" s="8"/>
      <c r="D114" s="1"/>
      <c r="E114" s="1"/>
      <c r="F114" s="1"/>
    </row>
    <row r="115" spans="1:6" ht="15.75" x14ac:dyDescent="0.25">
      <c r="A115" s="1"/>
      <c r="B115" s="1"/>
      <c r="C115" s="8"/>
      <c r="D115" s="1"/>
      <c r="E115" s="1"/>
      <c r="F115" s="1"/>
    </row>
    <row r="116" spans="1:6" ht="15.75" x14ac:dyDescent="0.25">
      <c r="A116" s="1"/>
      <c r="B116" s="1"/>
      <c r="C116" s="8"/>
      <c r="D116" s="1"/>
      <c r="E116" s="1"/>
      <c r="F116" s="1"/>
    </row>
    <row r="117" spans="1:6" ht="15.75" x14ac:dyDescent="0.25">
      <c r="A117" s="1"/>
      <c r="B117" s="1"/>
      <c r="C117" s="8"/>
      <c r="D117" s="1"/>
      <c r="E117" s="1"/>
      <c r="F117" s="1"/>
    </row>
    <row r="118" spans="1:6" ht="15.75" x14ac:dyDescent="0.25">
      <c r="A118" s="1"/>
      <c r="B118" s="1"/>
      <c r="C118" s="8"/>
      <c r="D118" s="1"/>
      <c r="E118" s="1"/>
      <c r="F118" s="1"/>
    </row>
    <row r="119" spans="1:6" ht="15.75" x14ac:dyDescent="0.25">
      <c r="A119" s="1"/>
      <c r="B119" s="1"/>
      <c r="C119" s="8"/>
      <c r="D119" s="1"/>
      <c r="E119" s="1"/>
      <c r="F119" s="1"/>
    </row>
    <row r="120" spans="1:6" ht="15.75" x14ac:dyDescent="0.25">
      <c r="A120" s="1"/>
      <c r="B120" s="1"/>
      <c r="C120" s="8"/>
      <c r="D120" s="1"/>
      <c r="E120" s="1"/>
      <c r="F120" s="1"/>
    </row>
    <row r="121" spans="1:6" ht="15.75" x14ac:dyDescent="0.25">
      <c r="A121" s="1"/>
      <c r="B121" s="1"/>
      <c r="C121" s="8"/>
      <c r="D121" s="1"/>
      <c r="E121" s="1"/>
      <c r="F121" s="1"/>
    </row>
    <row r="122" spans="1:6" ht="15.75" x14ac:dyDescent="0.25">
      <c r="A122" s="1"/>
      <c r="B122" s="1"/>
      <c r="C122" s="8"/>
      <c r="D122" s="1"/>
      <c r="E122" s="1"/>
      <c r="F122" s="1"/>
    </row>
    <row r="123" spans="1:6" ht="15.75" x14ac:dyDescent="0.25">
      <c r="A123" s="1"/>
      <c r="B123" s="1"/>
      <c r="C123" s="8"/>
      <c r="D123" s="1"/>
      <c r="E123" s="1"/>
      <c r="F123" s="1"/>
    </row>
    <row r="124" spans="1:6" ht="15.75" x14ac:dyDescent="0.25">
      <c r="A124" s="1"/>
      <c r="B124" s="1"/>
      <c r="C124" s="8"/>
      <c r="D124" s="1"/>
      <c r="E124" s="1"/>
      <c r="F124" s="1"/>
    </row>
    <row r="125" spans="1:6" ht="15.75" x14ac:dyDescent="0.25">
      <c r="A125" s="1"/>
      <c r="B125" s="1"/>
      <c r="C125" s="8"/>
      <c r="D125" s="1"/>
      <c r="E125" s="1"/>
      <c r="F125" s="1"/>
    </row>
    <row r="126" spans="1:6" ht="15.75" x14ac:dyDescent="0.25">
      <c r="A126" s="1"/>
      <c r="B126" s="1"/>
      <c r="C126" s="8"/>
      <c r="D126" s="1"/>
      <c r="E126" s="1"/>
      <c r="F126" s="1"/>
    </row>
    <row r="127" spans="1:6" ht="15.75" x14ac:dyDescent="0.25">
      <c r="A127" s="1"/>
      <c r="B127" s="1"/>
      <c r="C127" s="8"/>
      <c r="D127" s="1"/>
      <c r="E127" s="1"/>
      <c r="F127" s="1"/>
    </row>
    <row r="128" spans="1:6" ht="15.75" x14ac:dyDescent="0.25">
      <c r="A128" s="1"/>
      <c r="B128" s="1"/>
      <c r="C128" s="8"/>
      <c r="D128" s="1"/>
      <c r="E128" s="1"/>
      <c r="F128" s="1"/>
    </row>
    <row r="129" spans="1:6" ht="15.75" x14ac:dyDescent="0.25">
      <c r="A129" s="1"/>
      <c r="B129" s="1"/>
      <c r="C129" s="8"/>
      <c r="D129" s="1"/>
      <c r="E129" s="1"/>
      <c r="F129" s="1"/>
    </row>
    <row r="130" spans="1:6" ht="15.75" x14ac:dyDescent="0.25">
      <c r="A130" s="1"/>
      <c r="B130" s="1"/>
      <c r="C130" s="8"/>
      <c r="D130" s="1"/>
      <c r="E130" s="1"/>
      <c r="F130" s="1"/>
    </row>
    <row r="131" spans="1:6" ht="15.75" x14ac:dyDescent="0.25">
      <c r="A131" s="1"/>
      <c r="B131" s="1"/>
      <c r="C131" s="8"/>
      <c r="D131" s="1"/>
      <c r="E131" s="1"/>
      <c r="F131" s="1"/>
    </row>
    <row r="132" spans="1:6" ht="15.75" x14ac:dyDescent="0.25">
      <c r="A132" s="1"/>
      <c r="B132" s="1"/>
      <c r="C132" s="8"/>
      <c r="D132" s="1"/>
      <c r="E132" s="1"/>
      <c r="F132" s="1"/>
    </row>
    <row r="133" spans="1:6" ht="15.75" x14ac:dyDescent="0.25">
      <c r="A133" s="1"/>
      <c r="B133" s="1"/>
      <c r="C133" s="8"/>
      <c r="D133" s="1"/>
      <c r="E133" s="1"/>
      <c r="F133" s="1"/>
    </row>
    <row r="134" spans="1:6" ht="15.75" x14ac:dyDescent="0.25">
      <c r="A134" s="1"/>
      <c r="B134" s="1"/>
      <c r="C134" s="8"/>
      <c r="D134" s="1"/>
      <c r="E134" s="1"/>
      <c r="F134" s="1"/>
    </row>
    <row r="135" spans="1:6" ht="15.75" x14ac:dyDescent="0.25">
      <c r="A135" s="1"/>
      <c r="B135" s="1"/>
      <c r="C135" s="8"/>
      <c r="D135" s="1"/>
      <c r="E135" s="1"/>
      <c r="F135" s="1"/>
    </row>
    <row r="136" spans="1:6" ht="15.75" x14ac:dyDescent="0.25">
      <c r="A136" s="1"/>
      <c r="B136" s="1"/>
      <c r="C136" s="8"/>
      <c r="D136" s="1"/>
      <c r="E136" s="1"/>
      <c r="F136" s="1"/>
    </row>
    <row r="137" spans="1:6" ht="15.75" x14ac:dyDescent="0.25">
      <c r="A137" s="1"/>
      <c r="B137" s="1"/>
      <c r="C137" s="8"/>
      <c r="D137" s="1"/>
      <c r="E137" s="1"/>
      <c r="F137" s="1"/>
    </row>
    <row r="138" spans="1:6" ht="15.75" x14ac:dyDescent="0.25">
      <c r="A138" s="1"/>
      <c r="B138" s="1"/>
      <c r="C138" s="8"/>
      <c r="D138" s="1"/>
      <c r="E138" s="1"/>
      <c r="F138" s="1"/>
    </row>
    <row r="139" spans="1:6" ht="15.75" x14ac:dyDescent="0.25">
      <c r="A139" s="1"/>
      <c r="B139" s="1"/>
      <c r="C139" s="8"/>
      <c r="D139" s="1"/>
      <c r="E139" s="1"/>
      <c r="F139" s="1"/>
    </row>
    <row r="140" spans="1:6" ht="15.75" x14ac:dyDescent="0.25">
      <c r="A140" s="1"/>
      <c r="B140" s="1"/>
      <c r="C140" s="8"/>
      <c r="D140" s="1"/>
      <c r="E140" s="1"/>
      <c r="F140" s="1"/>
    </row>
    <row r="141" spans="1:6" ht="15.75" x14ac:dyDescent="0.25">
      <c r="A141" s="1"/>
      <c r="B141" s="1"/>
      <c r="C141" s="8"/>
      <c r="D141" s="1"/>
      <c r="E141" s="1"/>
      <c r="F141" s="1"/>
    </row>
    <row r="142" spans="1:6" ht="15.75" x14ac:dyDescent="0.25">
      <c r="A142" s="1"/>
      <c r="B142" s="1"/>
      <c r="C142" s="8"/>
      <c r="D142" s="1"/>
      <c r="E142" s="1"/>
      <c r="F142" s="1"/>
    </row>
    <row r="143" spans="1:6" ht="15.75" x14ac:dyDescent="0.25">
      <c r="A143" s="1"/>
      <c r="B143" s="1"/>
      <c r="C143" s="8"/>
      <c r="D143" s="1"/>
      <c r="E143" s="1"/>
      <c r="F143" s="1"/>
    </row>
    <row r="144" spans="1:6" ht="15.75" x14ac:dyDescent="0.25">
      <c r="A144" s="1"/>
      <c r="B144" s="1"/>
      <c r="C144" s="8"/>
      <c r="D144" s="1"/>
      <c r="E144" s="1"/>
      <c r="F144" s="1"/>
    </row>
    <row r="145" spans="1:6" ht="15.75" x14ac:dyDescent="0.25">
      <c r="A145" s="1"/>
      <c r="B145" s="1"/>
      <c r="C145" s="8"/>
      <c r="D145" s="1"/>
      <c r="E145" s="1"/>
      <c r="F145" s="1"/>
    </row>
    <row r="146" spans="1:6" ht="15.75" x14ac:dyDescent="0.25">
      <c r="A146" s="1"/>
      <c r="B146" s="1"/>
      <c r="C146" s="8"/>
      <c r="D146" s="1"/>
      <c r="E146" s="1"/>
      <c r="F146" s="1"/>
    </row>
    <row r="147" spans="1:6" ht="15.75" x14ac:dyDescent="0.25">
      <c r="A147" s="1"/>
      <c r="B147" s="1"/>
      <c r="C147" s="8"/>
      <c r="D147" s="1"/>
      <c r="E147" s="1"/>
      <c r="F147" s="1"/>
    </row>
    <row r="148" spans="1:6" ht="15.75" x14ac:dyDescent="0.25">
      <c r="A148" s="1"/>
      <c r="B148" s="1"/>
      <c r="C148" s="8"/>
      <c r="D148" s="1"/>
      <c r="E148" s="1"/>
      <c r="F148" s="1"/>
    </row>
    <row r="149" spans="1:6" ht="15.75" x14ac:dyDescent="0.25">
      <c r="A149" s="1"/>
      <c r="B149" s="1"/>
      <c r="C149" s="8"/>
      <c r="D149" s="1"/>
      <c r="E149" s="1"/>
      <c r="F149" s="1"/>
    </row>
    <row r="150" spans="1:6" ht="15.75" x14ac:dyDescent="0.25">
      <c r="A150" s="1"/>
      <c r="B150" s="1"/>
      <c r="C150" s="8"/>
      <c r="D150" s="1"/>
      <c r="E150" s="1"/>
      <c r="F150" s="1"/>
    </row>
    <row r="151" spans="1:6" ht="15.75" x14ac:dyDescent="0.25">
      <c r="A151" s="1"/>
      <c r="B151" s="1"/>
      <c r="C151" s="8"/>
      <c r="D151" s="1"/>
      <c r="E151" s="1"/>
      <c r="F151" s="1"/>
    </row>
    <row r="152" spans="1:6" ht="15.75" x14ac:dyDescent="0.25">
      <c r="A152" s="1"/>
      <c r="B152" s="1"/>
      <c r="C152" s="8"/>
      <c r="D152" s="1"/>
      <c r="E152" s="1"/>
      <c r="F152" s="1"/>
    </row>
    <row r="153" spans="1:6" ht="15.75" x14ac:dyDescent="0.25">
      <c r="A153" s="1"/>
      <c r="B153" s="1"/>
      <c r="C153" s="8"/>
      <c r="D153" s="1"/>
      <c r="E153" s="1"/>
      <c r="F153" s="1"/>
    </row>
    <row r="154" spans="1:6" ht="15.75" x14ac:dyDescent="0.25">
      <c r="A154" s="1"/>
      <c r="B154" s="1"/>
      <c r="C154" s="8"/>
      <c r="D154" s="1"/>
      <c r="E154" s="1"/>
      <c r="F154" s="1"/>
    </row>
    <row r="155" spans="1:6" ht="15.75" x14ac:dyDescent="0.25">
      <c r="A155" s="1"/>
      <c r="B155" s="1"/>
      <c r="C155" s="8"/>
      <c r="D155" s="1"/>
      <c r="E155" s="1"/>
      <c r="F155" s="1"/>
    </row>
    <row r="156" spans="1:6" ht="15.75" x14ac:dyDescent="0.25">
      <c r="A156" s="1"/>
      <c r="B156" s="1"/>
      <c r="C156" s="8"/>
      <c r="D156" s="1"/>
      <c r="E156" s="1"/>
      <c r="F156" s="1"/>
    </row>
    <row r="157" spans="1:6" ht="15.75" x14ac:dyDescent="0.25">
      <c r="A157" s="1"/>
      <c r="B157" s="1"/>
      <c r="C157" s="8"/>
      <c r="D157" s="1"/>
      <c r="E157" s="1"/>
      <c r="F157" s="1"/>
    </row>
    <row r="158" spans="1:6" ht="15.75" x14ac:dyDescent="0.25">
      <c r="A158" s="1"/>
      <c r="B158" s="1"/>
      <c r="C158" s="8"/>
      <c r="D158" s="1"/>
      <c r="E158" s="1"/>
      <c r="F158" s="1"/>
    </row>
    <row r="159" spans="1:6" ht="15.75" x14ac:dyDescent="0.25">
      <c r="A159" s="1"/>
      <c r="B159" s="1"/>
      <c r="C159" s="8"/>
      <c r="D159" s="1"/>
      <c r="E159" s="1"/>
      <c r="F159" s="1"/>
    </row>
    <row r="160" spans="1:6" ht="15.75" x14ac:dyDescent="0.25">
      <c r="A160" s="1"/>
      <c r="B160" s="1"/>
      <c r="C160" s="8"/>
      <c r="D160" s="1"/>
      <c r="E160" s="1"/>
      <c r="F160" s="1"/>
    </row>
    <row r="161" spans="1:6" ht="15.75" x14ac:dyDescent="0.25">
      <c r="A161" s="1"/>
      <c r="B161" s="1"/>
      <c r="C161" s="8"/>
      <c r="D161" s="1"/>
      <c r="E161" s="1"/>
      <c r="F161" s="1"/>
    </row>
    <row r="162" spans="1:6" ht="15.75" x14ac:dyDescent="0.25">
      <c r="A162" s="1"/>
      <c r="B162" s="1"/>
      <c r="C162" s="8"/>
      <c r="D162" s="1"/>
      <c r="E162" s="1"/>
      <c r="F162" s="1"/>
    </row>
    <row r="163" spans="1:6" ht="15.75" x14ac:dyDescent="0.25">
      <c r="A163" s="1"/>
      <c r="B163" s="1"/>
      <c r="C163" s="8"/>
      <c r="D163" s="1"/>
      <c r="E163" s="1"/>
      <c r="F163" s="1"/>
    </row>
    <row r="164" spans="1:6" ht="15.75" x14ac:dyDescent="0.25">
      <c r="A164" s="1"/>
      <c r="B164" s="1"/>
      <c r="C164" s="8"/>
      <c r="D164" s="1"/>
      <c r="E164" s="1"/>
      <c r="F164" s="1"/>
    </row>
    <row r="165" spans="1:6" ht="15.75" x14ac:dyDescent="0.25">
      <c r="A165" s="1"/>
      <c r="B165" s="1"/>
      <c r="C165" s="8"/>
      <c r="D165" s="1"/>
      <c r="E165" s="1"/>
      <c r="F165" s="1"/>
    </row>
    <row r="166" spans="1:6" ht="15.75" x14ac:dyDescent="0.25">
      <c r="A166" s="1"/>
      <c r="B166" s="1"/>
      <c r="C166" s="8"/>
      <c r="D166" s="1"/>
      <c r="E166" s="1"/>
      <c r="F166" s="1"/>
    </row>
    <row r="167" spans="1:6" ht="15.75" x14ac:dyDescent="0.25">
      <c r="A167" s="1"/>
      <c r="B167" s="1"/>
      <c r="C167" s="8"/>
      <c r="D167" s="1"/>
      <c r="E167" s="1"/>
      <c r="F167" s="1"/>
    </row>
    <row r="168" spans="1:6" ht="15.75" x14ac:dyDescent="0.25">
      <c r="A168" s="1"/>
      <c r="B168" s="1"/>
      <c r="C168" s="8"/>
      <c r="D168" s="1"/>
      <c r="E168" s="1"/>
      <c r="F168" s="1"/>
    </row>
    <row r="169" spans="1:6" ht="15.75" x14ac:dyDescent="0.25">
      <c r="A169" s="1"/>
      <c r="B169" s="1"/>
      <c r="C169" s="8"/>
      <c r="D169" s="1"/>
      <c r="E169" s="1"/>
      <c r="F169" s="1"/>
    </row>
    <row r="170" spans="1:6" ht="15.75" x14ac:dyDescent="0.25">
      <c r="A170" s="1"/>
      <c r="B170" s="1"/>
      <c r="C170" s="8"/>
      <c r="D170" s="1"/>
      <c r="E170" s="1"/>
      <c r="F170" s="1"/>
    </row>
    <row r="171" spans="1:6" ht="15.75" x14ac:dyDescent="0.25">
      <c r="A171" s="1"/>
      <c r="B171" s="1"/>
      <c r="C171" s="8"/>
      <c r="D171" s="1"/>
      <c r="E171" s="1"/>
      <c r="F171" s="1"/>
    </row>
    <row r="172" spans="1:6" ht="15.75" x14ac:dyDescent="0.25">
      <c r="A172" s="1"/>
      <c r="B172" s="1"/>
      <c r="C172" s="8"/>
      <c r="D172" s="1"/>
      <c r="E172" s="1"/>
      <c r="F172" s="1"/>
    </row>
    <row r="173" spans="1:6" ht="15.75" x14ac:dyDescent="0.25">
      <c r="A173" s="1"/>
      <c r="B173" s="1"/>
      <c r="C173" s="8"/>
      <c r="D173" s="1"/>
      <c r="E173" s="1"/>
      <c r="F173" s="1"/>
    </row>
    <row r="174" spans="1:6" ht="15.75" x14ac:dyDescent="0.25">
      <c r="A174" s="1"/>
      <c r="B174" s="1"/>
      <c r="C174" s="8"/>
      <c r="D174" s="1"/>
      <c r="E174" s="1"/>
      <c r="F174" s="1"/>
    </row>
    <row r="175" spans="1:6" ht="15.75" x14ac:dyDescent="0.25">
      <c r="A175" s="1"/>
      <c r="B175" s="1"/>
      <c r="C175" s="8"/>
      <c r="D175" s="1"/>
      <c r="E175" s="1"/>
      <c r="F175" s="1"/>
    </row>
    <row r="176" spans="1:6" ht="15.75" x14ac:dyDescent="0.25">
      <c r="A176" s="1"/>
      <c r="B176" s="1"/>
      <c r="C176" s="8"/>
      <c r="D176" s="1"/>
      <c r="E176" s="1"/>
      <c r="F176" s="1"/>
    </row>
    <row r="177" spans="1:6" ht="15.75" x14ac:dyDescent="0.25">
      <c r="A177" s="1"/>
      <c r="B177" s="1"/>
      <c r="C177" s="8"/>
      <c r="D177" s="1"/>
      <c r="E177" s="1"/>
      <c r="F177" s="1"/>
    </row>
    <row r="178" spans="1:6" ht="15.75" x14ac:dyDescent="0.25">
      <c r="A178" s="1"/>
      <c r="B178" s="1"/>
      <c r="C178" s="8"/>
      <c r="D178" s="1"/>
      <c r="E178" s="1"/>
      <c r="F178" s="1"/>
    </row>
    <row r="179" spans="1:6" ht="15.75" x14ac:dyDescent="0.25">
      <c r="A179" s="1"/>
      <c r="B179" s="1"/>
      <c r="C179" s="8"/>
      <c r="D179" s="1"/>
      <c r="E179" s="1"/>
      <c r="F179" s="1"/>
    </row>
    <row r="180" spans="1:6" ht="15.75" x14ac:dyDescent="0.25">
      <c r="A180" s="1"/>
      <c r="B180" s="1"/>
      <c r="C180" s="8"/>
      <c r="D180" s="1"/>
      <c r="E180" s="1"/>
      <c r="F180" s="1"/>
    </row>
    <row r="181" spans="1:6" ht="15.75" x14ac:dyDescent="0.25">
      <c r="A181" s="1"/>
      <c r="B181" s="1"/>
      <c r="C181" s="8"/>
      <c r="D181" s="1"/>
      <c r="E181" s="1"/>
      <c r="F181" s="1"/>
    </row>
    <row r="182" spans="1:6" ht="15.75" x14ac:dyDescent="0.25">
      <c r="A182" s="1"/>
      <c r="B182" s="1"/>
      <c r="C182" s="8"/>
      <c r="D182" s="1"/>
      <c r="E182" s="1"/>
      <c r="F182" s="1"/>
    </row>
    <row r="183" spans="1:6" ht="15.75" x14ac:dyDescent="0.25">
      <c r="A183" s="1"/>
      <c r="B183" s="1"/>
      <c r="C183" s="8"/>
      <c r="D183" s="1"/>
      <c r="E183" s="1"/>
      <c r="F183" s="1"/>
    </row>
    <row r="184" spans="1:6" ht="15.75" x14ac:dyDescent="0.25">
      <c r="A184" s="1"/>
      <c r="B184" s="1"/>
      <c r="C184" s="8"/>
      <c r="D184" s="1"/>
      <c r="E184" s="1"/>
      <c r="F184" s="1"/>
    </row>
    <row r="185" spans="1:6" ht="15.75" x14ac:dyDescent="0.25">
      <c r="A185" s="1"/>
      <c r="B185" s="1"/>
      <c r="C185" s="8"/>
      <c r="D185" s="1"/>
      <c r="E185" s="1"/>
      <c r="F185" s="1"/>
    </row>
    <row r="186" spans="1:6" ht="15.75" x14ac:dyDescent="0.25">
      <c r="A186" s="1"/>
      <c r="B186" s="1"/>
      <c r="C186" s="8"/>
      <c r="D186" s="1"/>
      <c r="E186" s="1"/>
      <c r="F186" s="1"/>
    </row>
    <row r="187" spans="1:6" ht="15.75" x14ac:dyDescent="0.25">
      <c r="A187" s="1"/>
      <c r="B187" s="1"/>
      <c r="C187" s="8"/>
      <c r="D187" s="1"/>
      <c r="E187" s="1"/>
      <c r="F187" s="1"/>
    </row>
    <row r="188" spans="1:6" ht="15.75" x14ac:dyDescent="0.25">
      <c r="A188" s="1"/>
      <c r="B188" s="1"/>
      <c r="C188" s="8"/>
      <c r="D188" s="1"/>
      <c r="E188" s="1"/>
      <c r="F188" s="1"/>
    </row>
    <row r="189" spans="1:6" ht="15.75" x14ac:dyDescent="0.25">
      <c r="A189" s="1"/>
      <c r="B189" s="1"/>
      <c r="C189" s="8"/>
      <c r="D189" s="1"/>
      <c r="E189" s="1"/>
      <c r="F189" s="1"/>
    </row>
    <row r="190" spans="1:6" ht="15.75" x14ac:dyDescent="0.25">
      <c r="A190" s="1"/>
      <c r="B190" s="1"/>
      <c r="C190" s="8"/>
      <c r="D190" s="1"/>
      <c r="E190" s="1"/>
      <c r="F190" s="1"/>
    </row>
    <row r="191" spans="1:6" ht="15.75" x14ac:dyDescent="0.25">
      <c r="A191" s="1"/>
      <c r="B191" s="1"/>
      <c r="C191" s="8"/>
      <c r="D191" s="1"/>
      <c r="E191" s="1"/>
      <c r="F191" s="1"/>
    </row>
    <row r="192" spans="1:6" ht="15.75" x14ac:dyDescent="0.25">
      <c r="A192" s="1"/>
      <c r="B192" s="1"/>
      <c r="C192" s="8"/>
      <c r="D192" s="1"/>
      <c r="E192" s="1"/>
      <c r="F192" s="1"/>
    </row>
    <row r="193" spans="1:6" ht="15.75" x14ac:dyDescent="0.25">
      <c r="A193" s="1"/>
      <c r="B193" s="1"/>
      <c r="C193" s="8"/>
      <c r="D193" s="1"/>
      <c r="E193" s="1"/>
      <c r="F193" s="1"/>
    </row>
    <row r="194" spans="1:6" ht="15.75" x14ac:dyDescent="0.25">
      <c r="A194" s="1"/>
      <c r="B194" s="1"/>
      <c r="C194" s="8"/>
      <c r="D194" s="1"/>
      <c r="E194" s="1"/>
      <c r="F194" s="1"/>
    </row>
    <row r="195" spans="1:6" ht="15.75" x14ac:dyDescent="0.25">
      <c r="A195" s="1"/>
      <c r="B195" s="1"/>
      <c r="C195" s="8"/>
      <c r="D195" s="1"/>
      <c r="E195" s="1"/>
      <c r="F195" s="1"/>
    </row>
    <row r="196" spans="1:6" ht="15.75" x14ac:dyDescent="0.25">
      <c r="A196" s="1"/>
      <c r="B196" s="1"/>
      <c r="C196" s="8"/>
      <c r="D196" s="1"/>
      <c r="E196" s="1"/>
      <c r="F196" s="1"/>
    </row>
    <row r="197" spans="1:6" ht="15.75" x14ac:dyDescent="0.25">
      <c r="A197" s="1"/>
      <c r="B197" s="1"/>
      <c r="C197" s="8"/>
      <c r="D197" s="1"/>
      <c r="E197" s="1"/>
      <c r="F197" s="1"/>
    </row>
    <row r="198" spans="1:6" ht="15.75" x14ac:dyDescent="0.25">
      <c r="A198" s="1"/>
      <c r="B198" s="1"/>
      <c r="C198" s="8"/>
      <c r="D198" s="1"/>
      <c r="E198" s="1"/>
      <c r="F198" s="1"/>
    </row>
    <row r="199" spans="1:6" ht="15.75" x14ac:dyDescent="0.25">
      <c r="A199" s="1"/>
      <c r="B199" s="1"/>
      <c r="C199" s="8"/>
      <c r="D199" s="1"/>
      <c r="E199" s="1"/>
      <c r="F199" s="1"/>
    </row>
    <row r="200" spans="1:6" ht="15.75" x14ac:dyDescent="0.25">
      <c r="A200" s="1"/>
      <c r="B200" s="1"/>
      <c r="C200" s="8"/>
      <c r="D200" s="1"/>
      <c r="E200" s="1"/>
      <c r="F200" s="1"/>
    </row>
    <row r="201" spans="1:6" ht="15.75" x14ac:dyDescent="0.25">
      <c r="A201" s="1"/>
      <c r="B201" s="1"/>
      <c r="C201" s="8"/>
      <c r="D201" s="1"/>
      <c r="E201" s="1"/>
      <c r="F201" s="1"/>
    </row>
    <row r="202" spans="1:6" ht="15.75" x14ac:dyDescent="0.25">
      <c r="A202" s="1"/>
      <c r="B202" s="1"/>
      <c r="C202" s="8"/>
      <c r="D202" s="1"/>
      <c r="E202" s="1"/>
      <c r="F202" s="1"/>
    </row>
    <row r="203" spans="1:6" ht="15.75" x14ac:dyDescent="0.25">
      <c r="A203" s="1"/>
      <c r="B203" s="1"/>
      <c r="C203" s="8"/>
      <c r="D203" s="1"/>
      <c r="E203" s="1"/>
      <c r="F203" s="1"/>
    </row>
    <row r="204" spans="1:6" ht="15.75" x14ac:dyDescent="0.25">
      <c r="A204" s="1"/>
      <c r="B204" s="1"/>
      <c r="C204" s="8"/>
      <c r="D204" s="1"/>
      <c r="E204" s="1"/>
      <c r="F204" s="1"/>
    </row>
    <row r="205" spans="1:6" ht="15.75" x14ac:dyDescent="0.25">
      <c r="A205" s="1"/>
      <c r="B205" s="1"/>
      <c r="C205" s="8"/>
      <c r="D205" s="1"/>
      <c r="E205" s="1"/>
      <c r="F205" s="1"/>
    </row>
    <row r="206" spans="1:6" ht="15.75" x14ac:dyDescent="0.25">
      <c r="A206" s="1"/>
      <c r="B206" s="1"/>
      <c r="C206" s="8"/>
      <c r="D206" s="1"/>
      <c r="E206" s="1"/>
      <c r="F206" s="1"/>
    </row>
    <row r="207" spans="1:6" ht="15.75" x14ac:dyDescent="0.25">
      <c r="A207" s="1"/>
      <c r="B207" s="1"/>
      <c r="C207" s="8"/>
      <c r="D207" s="1"/>
      <c r="E207" s="1"/>
      <c r="F207" s="1"/>
    </row>
    <row r="208" spans="1:6" ht="15.75" x14ac:dyDescent="0.25">
      <c r="A208" s="1"/>
      <c r="B208" s="1"/>
      <c r="C208" s="8"/>
      <c r="D208" s="1"/>
      <c r="E208" s="1"/>
      <c r="F208" s="1"/>
    </row>
    <row r="209" spans="1:6" ht="15.75" x14ac:dyDescent="0.25">
      <c r="A209" s="1"/>
      <c r="B209" s="1"/>
      <c r="C209" s="8"/>
      <c r="D209" s="1"/>
      <c r="E209" s="1"/>
      <c r="F209" s="1"/>
    </row>
    <row r="210" spans="1:6" ht="15.75" x14ac:dyDescent="0.25">
      <c r="A210" s="1"/>
      <c r="B210" s="1"/>
      <c r="C210" s="8"/>
      <c r="D210" s="1"/>
      <c r="E210" s="1"/>
      <c r="F210" s="1"/>
    </row>
    <row r="211" spans="1:6" ht="15.75" x14ac:dyDescent="0.25">
      <c r="A211" s="1"/>
      <c r="B211" s="1"/>
      <c r="C211" s="8"/>
      <c r="D211" s="1"/>
      <c r="E211" s="1"/>
      <c r="F211" s="1"/>
    </row>
    <row r="212" spans="1:6" ht="15.75" x14ac:dyDescent="0.25">
      <c r="A212" s="1"/>
      <c r="B212" s="1"/>
      <c r="C212" s="8"/>
      <c r="D212" s="1"/>
      <c r="E212" s="1"/>
      <c r="F212" s="1"/>
    </row>
    <row r="213" spans="1:6" ht="15.75" x14ac:dyDescent="0.25">
      <c r="A213" s="1"/>
      <c r="B213" s="1"/>
      <c r="C213" s="8"/>
      <c r="D213" s="1"/>
      <c r="E213" s="1"/>
      <c r="F213" s="1"/>
    </row>
    <row r="214" spans="1:6" ht="15.75" x14ac:dyDescent="0.25">
      <c r="A214" s="1"/>
      <c r="B214" s="1"/>
      <c r="C214" s="8"/>
      <c r="D214" s="1"/>
      <c r="E214" s="1"/>
      <c r="F214" s="1"/>
    </row>
    <row r="215" spans="1:6" ht="15.75" x14ac:dyDescent="0.25">
      <c r="A215" s="1"/>
      <c r="B215" s="1"/>
      <c r="C215" s="8"/>
      <c r="D215" s="1"/>
      <c r="E215" s="1"/>
      <c r="F215" s="1"/>
    </row>
    <row r="216" spans="1:6" ht="15.75" x14ac:dyDescent="0.25">
      <c r="A216" s="1"/>
      <c r="B216" s="1"/>
      <c r="C216" s="8"/>
      <c r="D216" s="1"/>
      <c r="E216" s="1"/>
      <c r="F216" s="1"/>
    </row>
    <row r="217" spans="1:6" ht="15.75" x14ac:dyDescent="0.25">
      <c r="A217" s="1"/>
      <c r="B217" s="1"/>
      <c r="C217" s="8"/>
      <c r="D217" s="1"/>
      <c r="E217" s="1"/>
      <c r="F217" s="1"/>
    </row>
    <row r="218" spans="1:6" ht="15.75" x14ac:dyDescent="0.25">
      <c r="A218" s="1"/>
      <c r="B218" s="1"/>
      <c r="C218" s="8"/>
      <c r="D218" s="1"/>
      <c r="E218" s="1"/>
      <c r="F218" s="1"/>
    </row>
    <row r="219" spans="1:6" ht="15.75" x14ac:dyDescent="0.25">
      <c r="A219" s="1"/>
      <c r="B219" s="1"/>
      <c r="C219" s="8"/>
      <c r="D219" s="1"/>
      <c r="E219" s="1"/>
      <c r="F219" s="1"/>
    </row>
    <row r="220" spans="1:6" ht="15.75" x14ac:dyDescent="0.25">
      <c r="A220" s="1"/>
      <c r="B220" s="1"/>
      <c r="C220" s="8"/>
      <c r="D220" s="1"/>
      <c r="E220" s="1"/>
      <c r="F220" s="1"/>
    </row>
    <row r="221" spans="1:6" ht="15.75" x14ac:dyDescent="0.25">
      <c r="A221" s="1"/>
      <c r="B221" s="1"/>
      <c r="C221" s="8"/>
      <c r="D221" s="1"/>
      <c r="E221" s="1"/>
      <c r="F221" s="1"/>
    </row>
    <row r="222" spans="1:6" ht="15.75" x14ac:dyDescent="0.25">
      <c r="A222" s="1"/>
      <c r="B222" s="1"/>
      <c r="C222" s="8"/>
      <c r="D222" s="1"/>
      <c r="E222" s="1"/>
      <c r="F222" s="1"/>
    </row>
    <row r="223" spans="1:6" ht="15.75" x14ac:dyDescent="0.25">
      <c r="A223" s="1"/>
      <c r="B223" s="1"/>
      <c r="C223" s="8"/>
      <c r="D223" s="1"/>
      <c r="E223" s="1"/>
      <c r="F223" s="1"/>
    </row>
    <row r="224" spans="1:6" ht="15.75" x14ac:dyDescent="0.25">
      <c r="A224" s="1"/>
      <c r="B224" s="1"/>
      <c r="C224" s="8"/>
      <c r="D224" s="1"/>
      <c r="E224" s="1"/>
      <c r="F224" s="1"/>
    </row>
    <row r="225" spans="1:6" ht="15.75" x14ac:dyDescent="0.25">
      <c r="A225" s="1"/>
      <c r="B225" s="1"/>
      <c r="C225" s="8"/>
      <c r="D225" s="1"/>
      <c r="E225" s="1"/>
      <c r="F225" s="1"/>
    </row>
    <row r="226" spans="1:6" ht="15.75" x14ac:dyDescent="0.25">
      <c r="A226" s="1"/>
      <c r="B226" s="1"/>
      <c r="C226" s="8"/>
      <c r="D226" s="1"/>
      <c r="E226" s="1"/>
      <c r="F226" s="1"/>
    </row>
    <row r="227" spans="1:6" ht="15.75" x14ac:dyDescent="0.25">
      <c r="A227" s="1"/>
      <c r="B227" s="1"/>
      <c r="C227" s="8"/>
      <c r="D227" s="1"/>
      <c r="E227" s="1"/>
      <c r="F227" s="1"/>
    </row>
    <row r="228" spans="1:6" ht="15.75" x14ac:dyDescent="0.25">
      <c r="A228" s="1"/>
      <c r="B228" s="1"/>
      <c r="C228" s="8"/>
      <c r="D228" s="1"/>
      <c r="E228" s="1"/>
      <c r="F228" s="1"/>
    </row>
    <row r="229" spans="1:6" ht="15.75" x14ac:dyDescent="0.25">
      <c r="A229" s="1"/>
      <c r="B229" s="1"/>
      <c r="C229" s="8"/>
      <c r="D229" s="1"/>
      <c r="E229" s="1"/>
      <c r="F229" s="1"/>
    </row>
    <row r="230" spans="1:6" ht="15.75" x14ac:dyDescent="0.25">
      <c r="A230" s="1"/>
      <c r="B230" s="1"/>
      <c r="C230" s="8"/>
      <c r="D230" s="1"/>
      <c r="E230" s="1"/>
      <c r="F230" s="1"/>
    </row>
    <row r="231" spans="1:6" ht="15.75" x14ac:dyDescent="0.25">
      <c r="A231" s="1"/>
      <c r="B231" s="1"/>
      <c r="C231" s="8"/>
      <c r="D231" s="1"/>
      <c r="E231" s="1"/>
      <c r="F231" s="1"/>
    </row>
    <row r="232" spans="1:6" ht="15.75" x14ac:dyDescent="0.25">
      <c r="A232" s="1"/>
      <c r="B232" s="1"/>
      <c r="C232" s="8"/>
      <c r="D232" s="1"/>
      <c r="E232" s="1"/>
      <c r="F232" s="1"/>
    </row>
    <row r="233" spans="1:6" ht="15.75" x14ac:dyDescent="0.25">
      <c r="A233" s="1"/>
      <c r="B233" s="1"/>
      <c r="C233" s="8"/>
      <c r="D233" s="1"/>
      <c r="E233" s="1"/>
      <c r="F233" s="1"/>
    </row>
    <row r="234" spans="1:6" ht="15.75" x14ac:dyDescent="0.25">
      <c r="A234" s="1"/>
      <c r="B234" s="1"/>
      <c r="C234" s="8"/>
      <c r="D234" s="1"/>
      <c r="E234" s="1"/>
      <c r="F234" s="1"/>
    </row>
    <row r="235" spans="1:6" ht="15.75" x14ac:dyDescent="0.25">
      <c r="A235" s="1"/>
      <c r="B235" s="1"/>
      <c r="C235" s="8"/>
      <c r="D235" s="1"/>
      <c r="E235" s="1"/>
      <c r="F235" s="1"/>
    </row>
    <row r="236" spans="1:6" ht="15.75" x14ac:dyDescent="0.25">
      <c r="A236" s="1"/>
      <c r="B236" s="1"/>
      <c r="C236" s="8"/>
      <c r="D236" s="1"/>
      <c r="E236" s="1"/>
      <c r="F236" s="1"/>
    </row>
    <row r="237" spans="1:6" ht="15.75" x14ac:dyDescent="0.25">
      <c r="A237" s="1"/>
      <c r="B237" s="1"/>
      <c r="C237" s="8"/>
      <c r="D237" s="1"/>
      <c r="E237" s="1"/>
      <c r="F237" s="1"/>
    </row>
    <row r="238" spans="1:6" ht="15.75" x14ac:dyDescent="0.25">
      <c r="A238" s="1"/>
      <c r="B238" s="1"/>
      <c r="C238" s="8"/>
      <c r="D238" s="1"/>
      <c r="E238" s="1"/>
      <c r="F238" s="1"/>
    </row>
    <row r="239" spans="1:6" ht="15.75" x14ac:dyDescent="0.25">
      <c r="A239" s="1"/>
      <c r="B239" s="1"/>
      <c r="C239" s="8"/>
      <c r="D239" s="1"/>
      <c r="E239" s="1"/>
      <c r="F239" s="1"/>
    </row>
    <row r="240" spans="1:6" ht="15.75" x14ac:dyDescent="0.25">
      <c r="A240" s="1"/>
      <c r="B240" s="1"/>
      <c r="C240" s="8"/>
      <c r="D240" s="1"/>
      <c r="E240" s="1"/>
      <c r="F240" s="1"/>
    </row>
    <row r="241" spans="1:6" ht="15.75" x14ac:dyDescent="0.25">
      <c r="A241" s="1"/>
      <c r="B241" s="1"/>
      <c r="C241" s="8"/>
      <c r="D241" s="1"/>
      <c r="E241" s="1"/>
      <c r="F241" s="1"/>
    </row>
    <row r="242" spans="1:6" ht="15.75" x14ac:dyDescent="0.25">
      <c r="A242" s="1"/>
      <c r="B242" s="1"/>
      <c r="C242" s="8"/>
      <c r="D242" s="1"/>
      <c r="E242" s="1"/>
      <c r="F242" s="1"/>
    </row>
    <row r="243" spans="1:6" ht="15.75" x14ac:dyDescent="0.25">
      <c r="A243" s="1"/>
      <c r="B243" s="1"/>
      <c r="C243" s="8"/>
      <c r="D243" s="1"/>
      <c r="E243" s="1"/>
      <c r="F243" s="1"/>
    </row>
    <row r="244" spans="1:6" ht="15.75" x14ac:dyDescent="0.25">
      <c r="A244" s="1"/>
      <c r="B244" s="1"/>
      <c r="C244" s="8"/>
      <c r="D244" s="1"/>
      <c r="E244" s="1"/>
      <c r="F244" s="1"/>
    </row>
    <row r="245" spans="1:6" ht="15.75" x14ac:dyDescent="0.25">
      <c r="A245" s="1"/>
      <c r="B245" s="1"/>
      <c r="C245" s="8"/>
      <c r="D245" s="1"/>
      <c r="E245" s="1"/>
      <c r="F245" s="1"/>
    </row>
    <row r="246" spans="1:6" ht="15.75" x14ac:dyDescent="0.25">
      <c r="A246" s="1"/>
      <c r="B246" s="1"/>
      <c r="C246" s="8"/>
      <c r="D246" s="1"/>
      <c r="E246" s="1"/>
      <c r="F246" s="1"/>
    </row>
    <row r="247" spans="1:6" ht="15.75" x14ac:dyDescent="0.25">
      <c r="A247" s="1"/>
      <c r="B247" s="1"/>
      <c r="C247" s="8"/>
      <c r="D247" s="1"/>
      <c r="E247" s="1"/>
      <c r="F247" s="1"/>
    </row>
    <row r="248" spans="1:6" ht="15.75" x14ac:dyDescent="0.25">
      <c r="A248" s="1"/>
      <c r="B248" s="1"/>
      <c r="C248" s="8"/>
      <c r="D248" s="1"/>
      <c r="E248" s="1"/>
      <c r="F248" s="1"/>
    </row>
    <row r="249" spans="1:6" ht="15.75" x14ac:dyDescent="0.25">
      <c r="A249" s="1"/>
      <c r="B249" s="1"/>
      <c r="C249" s="8"/>
      <c r="D249" s="1"/>
      <c r="E249" s="1"/>
      <c r="F249" s="1"/>
    </row>
    <row r="250" spans="1:6" ht="15.75" x14ac:dyDescent="0.25">
      <c r="A250" s="1"/>
      <c r="B250" s="1"/>
      <c r="C250" s="8"/>
      <c r="D250" s="1"/>
      <c r="E250" s="1"/>
      <c r="F250" s="1"/>
    </row>
    <row r="251" spans="1:6" ht="15.75" x14ac:dyDescent="0.25">
      <c r="A251" s="1"/>
      <c r="B251" s="1"/>
      <c r="C251" s="8"/>
      <c r="D251" s="1"/>
      <c r="E251" s="1"/>
      <c r="F251" s="1"/>
    </row>
    <row r="252" spans="1:6" ht="15.75" x14ac:dyDescent="0.25">
      <c r="A252" s="1"/>
      <c r="B252" s="1"/>
      <c r="C252" s="8"/>
      <c r="D252" s="1"/>
      <c r="E252" s="1"/>
      <c r="F252" s="1"/>
    </row>
    <row r="253" spans="1:6" ht="15.75" x14ac:dyDescent="0.25">
      <c r="A253" s="1"/>
      <c r="B253" s="1"/>
      <c r="C253" s="8"/>
      <c r="D253" s="1"/>
      <c r="E253" s="1"/>
      <c r="F253" s="1"/>
    </row>
    <row r="254" spans="1:6" ht="15.75" x14ac:dyDescent="0.25">
      <c r="A254" s="1"/>
      <c r="B254" s="1"/>
      <c r="C254" s="8"/>
      <c r="D254" s="1"/>
      <c r="E254" s="1"/>
      <c r="F254" s="1"/>
    </row>
    <row r="255" spans="1:6" ht="15.75" x14ac:dyDescent="0.25">
      <c r="A255" s="1"/>
      <c r="B255" s="1"/>
      <c r="C255" s="8"/>
      <c r="D255" s="1"/>
      <c r="E255" s="1"/>
      <c r="F255" s="1"/>
    </row>
    <row r="256" spans="1:6" ht="15.75" x14ac:dyDescent="0.25">
      <c r="A256" s="1"/>
      <c r="B256" s="1"/>
      <c r="C256" s="8"/>
      <c r="D256" s="1"/>
      <c r="E256" s="1"/>
      <c r="F256" s="1"/>
    </row>
    <row r="257" spans="1:6" ht="15.75" x14ac:dyDescent="0.25">
      <c r="A257" s="1"/>
      <c r="B257" s="1"/>
      <c r="C257" s="8"/>
      <c r="D257" s="1"/>
      <c r="E257" s="1"/>
      <c r="F257" s="1"/>
    </row>
    <row r="258" spans="1:6" ht="15.75" x14ac:dyDescent="0.25">
      <c r="A258" s="1"/>
      <c r="B258" s="1"/>
      <c r="C258" s="8"/>
      <c r="D258" s="1"/>
      <c r="E258" s="1"/>
      <c r="F258" s="1"/>
    </row>
    <row r="259" spans="1:6" ht="15.75" x14ac:dyDescent="0.25">
      <c r="A259" s="1"/>
      <c r="B259" s="1"/>
      <c r="C259" s="8"/>
      <c r="D259" s="1"/>
      <c r="E259" s="1"/>
      <c r="F259" s="1"/>
    </row>
    <row r="260" spans="1:6" ht="15.75" x14ac:dyDescent="0.25">
      <c r="A260" s="1"/>
      <c r="B260" s="1"/>
      <c r="C260" s="8"/>
      <c r="D260" s="1"/>
      <c r="E260" s="1"/>
      <c r="F260" s="1"/>
    </row>
    <row r="261" spans="1:6" ht="15.75" x14ac:dyDescent="0.25">
      <c r="A261" s="1"/>
      <c r="B261" s="1"/>
      <c r="C261" s="8"/>
      <c r="D261" s="1"/>
      <c r="E261" s="1"/>
      <c r="F261" s="1"/>
    </row>
    <row r="262" spans="1:6" ht="15.75" x14ac:dyDescent="0.25">
      <c r="A262" s="1"/>
      <c r="B262" s="1"/>
      <c r="C262" s="8"/>
      <c r="D262" s="1"/>
      <c r="E262" s="1"/>
      <c r="F262" s="1"/>
    </row>
    <row r="263" spans="1:6" ht="15.75" x14ac:dyDescent="0.25">
      <c r="A263" s="1"/>
      <c r="B263" s="1"/>
      <c r="C263" s="8"/>
      <c r="D263" s="1"/>
      <c r="E263" s="1"/>
      <c r="F263" s="1"/>
    </row>
    <row r="264" spans="1:6" ht="15.75" x14ac:dyDescent="0.25">
      <c r="A264" s="1"/>
      <c r="B264" s="1"/>
      <c r="C264" s="8"/>
      <c r="D264" s="1"/>
      <c r="E264" s="1"/>
      <c r="F264" s="1"/>
    </row>
    <row r="265" spans="1:6" ht="15.75" x14ac:dyDescent="0.25">
      <c r="A265" s="1"/>
      <c r="B265" s="1"/>
      <c r="C265" s="8"/>
      <c r="D265" s="1"/>
      <c r="E265" s="1"/>
      <c r="F265" s="1"/>
    </row>
    <row r="266" spans="1:6" ht="15.75" x14ac:dyDescent="0.25">
      <c r="A266" s="1"/>
      <c r="B266" s="1"/>
      <c r="C266" s="8"/>
      <c r="D266" s="1"/>
      <c r="E266" s="1"/>
      <c r="F266" s="1"/>
    </row>
    <row r="267" spans="1:6" ht="15.75" x14ac:dyDescent="0.25">
      <c r="A267" s="1"/>
      <c r="B267" s="1"/>
      <c r="C267" s="8"/>
      <c r="D267" s="1"/>
      <c r="E267" s="1"/>
      <c r="F267" s="1"/>
    </row>
    <row r="268" spans="1:6" ht="15.75" x14ac:dyDescent="0.25">
      <c r="A268" s="1"/>
      <c r="B268" s="1"/>
      <c r="C268" s="8"/>
      <c r="D268" s="1"/>
      <c r="E268" s="1"/>
      <c r="F268" s="1"/>
    </row>
    <row r="269" spans="1:6" ht="15.75" x14ac:dyDescent="0.25">
      <c r="A269" s="1"/>
      <c r="B269" s="1"/>
      <c r="C269" s="8"/>
      <c r="D269" s="1"/>
      <c r="E269" s="1"/>
      <c r="F269" s="1"/>
    </row>
    <row r="270" spans="1:6" ht="15.75" x14ac:dyDescent="0.25">
      <c r="A270" s="1"/>
      <c r="B270" s="1"/>
      <c r="C270" s="8"/>
      <c r="D270" s="1"/>
      <c r="E270" s="1"/>
      <c r="F270" s="1"/>
    </row>
    <row r="271" spans="1:6" ht="15.75" x14ac:dyDescent="0.25">
      <c r="A271" s="1"/>
      <c r="B271" s="1"/>
      <c r="C271" s="8"/>
      <c r="D271" s="1"/>
      <c r="E271" s="1"/>
      <c r="F271" s="1"/>
    </row>
    <row r="272" spans="1:6" ht="15.75" x14ac:dyDescent="0.25">
      <c r="A272" s="1"/>
      <c r="B272" s="1"/>
      <c r="C272" s="8"/>
      <c r="D272" s="1"/>
      <c r="E272" s="1"/>
      <c r="F272" s="1"/>
    </row>
    <row r="273" spans="1:6" ht="15.75" x14ac:dyDescent="0.25">
      <c r="A273" s="1"/>
      <c r="B273" s="1"/>
      <c r="C273" s="8"/>
      <c r="D273" s="1"/>
      <c r="E273" s="1"/>
      <c r="F273" s="1"/>
    </row>
    <row r="274" spans="1:6" ht="15.75" x14ac:dyDescent="0.25">
      <c r="A274" s="1"/>
      <c r="B274" s="1"/>
      <c r="C274" s="8"/>
      <c r="D274" s="1"/>
      <c r="E274" s="1"/>
      <c r="F274" s="1"/>
    </row>
    <row r="275" spans="1:6" ht="15.75" x14ac:dyDescent="0.25">
      <c r="A275" s="1"/>
      <c r="B275" s="1"/>
      <c r="C275" s="8"/>
      <c r="D275" s="1"/>
      <c r="E275" s="1"/>
      <c r="F275" s="1"/>
    </row>
    <row r="276" spans="1:6" ht="15.75" x14ac:dyDescent="0.25">
      <c r="A276" s="1"/>
      <c r="B276" s="1"/>
      <c r="C276" s="8"/>
      <c r="D276" s="1"/>
      <c r="E276" s="1"/>
      <c r="F276" s="1"/>
    </row>
    <row r="277" spans="1:6" ht="15.75" x14ac:dyDescent="0.25">
      <c r="A277" s="1"/>
      <c r="B277" s="1"/>
      <c r="C277" s="8"/>
      <c r="D277" s="1"/>
      <c r="E277" s="1"/>
      <c r="F277" s="1"/>
    </row>
    <row r="278" spans="1:6" ht="15.75" x14ac:dyDescent="0.25">
      <c r="A278" s="1"/>
      <c r="B278" s="1"/>
      <c r="C278" s="8"/>
      <c r="D278" s="1"/>
      <c r="E278" s="1"/>
      <c r="F278" s="1"/>
    </row>
    <row r="279" spans="1:6" ht="15.75" x14ac:dyDescent="0.25">
      <c r="A279" s="1"/>
      <c r="B279" s="1"/>
      <c r="C279" s="8"/>
      <c r="D279" s="1"/>
      <c r="E279" s="1"/>
      <c r="F279" s="1"/>
    </row>
    <row r="280" spans="1:6" ht="15.75" x14ac:dyDescent="0.25">
      <c r="A280" s="1"/>
      <c r="B280" s="1"/>
      <c r="C280" s="8"/>
      <c r="D280" s="1"/>
      <c r="E280" s="1"/>
      <c r="F280" s="1"/>
    </row>
    <row r="281" spans="1:6" ht="15.75" x14ac:dyDescent="0.25">
      <c r="A281" s="1"/>
      <c r="B281" s="1"/>
      <c r="C281" s="8"/>
      <c r="D281" s="1"/>
      <c r="E281" s="1"/>
      <c r="F281" s="1"/>
    </row>
    <row r="282" spans="1:6" ht="15.75" x14ac:dyDescent="0.25">
      <c r="A282" s="1"/>
      <c r="B282" s="1"/>
      <c r="C282" s="8"/>
      <c r="D282" s="1"/>
      <c r="E282" s="1"/>
      <c r="F282" s="1"/>
    </row>
    <row r="283" spans="1:6" ht="15.75" x14ac:dyDescent="0.25">
      <c r="A283" s="1"/>
      <c r="B283" s="1"/>
      <c r="C283" s="8"/>
      <c r="D283" s="1"/>
      <c r="E283" s="1"/>
      <c r="F283" s="1"/>
    </row>
    <row r="284" spans="1:6" ht="15.75" x14ac:dyDescent="0.25">
      <c r="A284" s="1"/>
      <c r="B284" s="1"/>
      <c r="C284" s="8"/>
      <c r="D284" s="1"/>
      <c r="E284" s="1"/>
      <c r="F284" s="1"/>
    </row>
    <row r="285" spans="1:6" ht="15.75" x14ac:dyDescent="0.25">
      <c r="A285" s="1"/>
      <c r="B285" s="1"/>
      <c r="C285" s="8"/>
      <c r="D285" s="1"/>
      <c r="E285" s="1"/>
      <c r="F285" s="1"/>
    </row>
    <row r="286" spans="1:6" ht="15.75" x14ac:dyDescent="0.25">
      <c r="A286" s="1"/>
      <c r="B286" s="1"/>
      <c r="C286" s="8"/>
      <c r="D286" s="1"/>
      <c r="E286" s="1"/>
      <c r="F286" s="1"/>
    </row>
    <row r="287" spans="1:6" ht="15.75" x14ac:dyDescent="0.25">
      <c r="A287" s="1"/>
      <c r="B287" s="1"/>
      <c r="C287" s="8"/>
      <c r="D287" s="1"/>
      <c r="E287" s="1"/>
      <c r="F287" s="1"/>
    </row>
    <row r="288" spans="1:6" ht="15.75" x14ac:dyDescent="0.25">
      <c r="A288" s="1"/>
      <c r="B288" s="1"/>
      <c r="C288" s="8"/>
      <c r="D288" s="1"/>
      <c r="E288" s="1"/>
      <c r="F288" s="1"/>
    </row>
    <row r="289" spans="1:6" ht="15.75" x14ac:dyDescent="0.25">
      <c r="A289" s="1"/>
      <c r="B289" s="1"/>
      <c r="C289" s="8"/>
      <c r="D289" s="1"/>
      <c r="E289" s="1"/>
      <c r="F289" s="1"/>
    </row>
    <row r="290" spans="1:6" ht="15.75" x14ac:dyDescent="0.25">
      <c r="A290" s="1"/>
      <c r="B290" s="1"/>
      <c r="C290" s="8"/>
      <c r="D290" s="1"/>
      <c r="E290" s="1"/>
      <c r="F290" s="1"/>
    </row>
    <row r="291" spans="1:6" ht="15.75" x14ac:dyDescent="0.25">
      <c r="A291" s="1"/>
      <c r="B291" s="1"/>
      <c r="C291" s="8"/>
      <c r="D291" s="1"/>
      <c r="E291" s="1"/>
      <c r="F291" s="1"/>
    </row>
    <row r="292" spans="1:6" ht="15.75" x14ac:dyDescent="0.25">
      <c r="A292" s="1"/>
      <c r="B292" s="1"/>
      <c r="C292" s="8"/>
      <c r="D292" s="1"/>
      <c r="E292" s="1"/>
      <c r="F292" s="1"/>
    </row>
    <row r="293" spans="1:6" ht="15.75" x14ac:dyDescent="0.25">
      <c r="A293" s="1"/>
      <c r="B293" s="1"/>
      <c r="C293" s="8"/>
      <c r="D293" s="1"/>
      <c r="E293" s="1"/>
      <c r="F293" s="1"/>
    </row>
    <row r="294" spans="1:6" ht="15.75" x14ac:dyDescent="0.25">
      <c r="A294" s="1"/>
      <c r="B294" s="1"/>
      <c r="C294" s="8"/>
      <c r="D294" s="1"/>
      <c r="E294" s="1"/>
      <c r="F294" s="1"/>
    </row>
    <row r="295" spans="1:6" ht="15.75" x14ac:dyDescent="0.25">
      <c r="A295" s="1"/>
      <c r="B295" s="1"/>
      <c r="C295" s="8"/>
      <c r="D295" s="1"/>
      <c r="E295" s="1"/>
      <c r="F295" s="1"/>
    </row>
    <row r="296" spans="1:6" ht="15.75" x14ac:dyDescent="0.25">
      <c r="A296" s="1"/>
      <c r="B296" s="1"/>
      <c r="C296" s="8"/>
      <c r="D296" s="1"/>
      <c r="E296" s="1"/>
      <c r="F296" s="1"/>
    </row>
    <row r="297" spans="1:6" ht="15.75" x14ac:dyDescent="0.25">
      <c r="A297" s="1"/>
      <c r="B297" s="1"/>
      <c r="C297" s="8"/>
      <c r="D297" s="1"/>
      <c r="E297" s="1"/>
      <c r="F297" s="1"/>
    </row>
    <row r="298" spans="1:6" ht="15.75" x14ac:dyDescent="0.25">
      <c r="A298" s="1"/>
      <c r="B298" s="1"/>
      <c r="C298" s="8"/>
      <c r="D298" s="1"/>
      <c r="E298" s="1"/>
      <c r="F298" s="1"/>
    </row>
    <row r="299" spans="1:6" ht="15.75" x14ac:dyDescent="0.25">
      <c r="A299" s="1"/>
      <c r="B299" s="1"/>
      <c r="C299" s="8"/>
      <c r="D299" s="1"/>
      <c r="E299" s="1"/>
      <c r="F299" s="1"/>
    </row>
    <row r="300" spans="1:6" ht="15.75" x14ac:dyDescent="0.25">
      <c r="A300" s="1"/>
      <c r="B300" s="1"/>
      <c r="C300" s="8"/>
      <c r="D300" s="1"/>
      <c r="E300" s="1"/>
      <c r="F300" s="1"/>
    </row>
    <row r="301" spans="1:6" ht="15.75" x14ac:dyDescent="0.25">
      <c r="A301" s="1"/>
      <c r="B301" s="1"/>
      <c r="C301" s="8"/>
      <c r="D301" s="1"/>
      <c r="E301" s="1"/>
      <c r="F301" s="1"/>
    </row>
    <row r="302" spans="1:6" ht="15.75" x14ac:dyDescent="0.25">
      <c r="A302" s="1"/>
      <c r="B302" s="1"/>
      <c r="C302" s="8"/>
      <c r="D302" s="1"/>
      <c r="E302" s="1"/>
      <c r="F302" s="1"/>
    </row>
    <row r="303" spans="1:6" ht="15.75" x14ac:dyDescent="0.25">
      <c r="A303" s="1"/>
      <c r="B303" s="1"/>
      <c r="C303" s="8"/>
      <c r="D303" s="1"/>
      <c r="E303" s="1"/>
      <c r="F303" s="1"/>
    </row>
    <row r="304" spans="1:6" ht="15.75" x14ac:dyDescent="0.25">
      <c r="A304" s="1"/>
      <c r="B304" s="1"/>
      <c r="C304" s="8"/>
      <c r="D304" s="1"/>
      <c r="E304" s="1"/>
      <c r="F304" s="1"/>
    </row>
    <row r="305" spans="1:6" ht="15.75" x14ac:dyDescent="0.25">
      <c r="A305" s="1"/>
      <c r="B305" s="1"/>
      <c r="C305" s="8"/>
      <c r="D305" s="1"/>
      <c r="E305" s="1"/>
      <c r="F305" s="1"/>
    </row>
    <row r="306" spans="1:6" ht="15.75" x14ac:dyDescent="0.25">
      <c r="A306" s="1"/>
      <c r="B306" s="1"/>
      <c r="C306" s="8"/>
      <c r="D306" s="1"/>
      <c r="E306" s="1"/>
      <c r="F306" s="1"/>
    </row>
    <row r="307" spans="1:6" ht="15.75" x14ac:dyDescent="0.25">
      <c r="A307" s="1"/>
      <c r="B307" s="1"/>
      <c r="C307" s="8"/>
      <c r="D307" s="1"/>
      <c r="E307" s="1"/>
      <c r="F307" s="1"/>
    </row>
    <row r="308" spans="1:6" ht="15.75" x14ac:dyDescent="0.25">
      <c r="A308" s="1"/>
      <c r="B308" s="1"/>
      <c r="C308" s="8"/>
      <c r="D308" s="1"/>
      <c r="E308" s="1"/>
      <c r="F308" s="1"/>
    </row>
    <row r="309" spans="1:6" ht="15.75" x14ac:dyDescent="0.25">
      <c r="A309" s="1"/>
      <c r="B309" s="1"/>
      <c r="C309" s="8"/>
      <c r="D309" s="1"/>
      <c r="E309" s="1"/>
      <c r="F309" s="1"/>
    </row>
    <row r="310" spans="1:6" ht="15.75" x14ac:dyDescent="0.25">
      <c r="A310" s="1"/>
      <c r="B310" s="1"/>
      <c r="C310" s="8"/>
      <c r="D310" s="1"/>
      <c r="E310" s="1"/>
      <c r="F310" s="1"/>
    </row>
    <row r="311" spans="1:6" ht="15.75" x14ac:dyDescent="0.25">
      <c r="A311" s="1"/>
      <c r="B311" s="1"/>
      <c r="C311" s="8"/>
      <c r="D311" s="1"/>
      <c r="E311" s="1"/>
      <c r="F311" s="1"/>
    </row>
    <row r="312" spans="1:6" ht="15.75" x14ac:dyDescent="0.25">
      <c r="A312" s="1"/>
      <c r="B312" s="1"/>
      <c r="C312" s="8"/>
      <c r="D312" s="1"/>
      <c r="E312" s="1"/>
      <c r="F312" s="1"/>
    </row>
    <row r="313" spans="1:6" ht="15.75" x14ac:dyDescent="0.25">
      <c r="A313" s="1"/>
      <c r="B313" s="1"/>
      <c r="C313" s="8"/>
      <c r="D313" s="1"/>
      <c r="E313" s="1"/>
      <c r="F313" s="1"/>
    </row>
    <row r="314" spans="1:6" ht="15.75" x14ac:dyDescent="0.25">
      <c r="A314" s="1"/>
      <c r="B314" s="1"/>
      <c r="C314" s="8"/>
      <c r="D314" s="1"/>
      <c r="E314" s="1"/>
      <c r="F314" s="1"/>
    </row>
    <row r="315" spans="1:6" ht="15.75" x14ac:dyDescent="0.25">
      <c r="A315" s="1"/>
      <c r="B315" s="1"/>
      <c r="C315" s="8"/>
      <c r="D315" s="1"/>
      <c r="E315" s="1"/>
      <c r="F315" s="1"/>
    </row>
    <row r="316" spans="1:6" ht="15.75" x14ac:dyDescent="0.25">
      <c r="A316" s="1"/>
      <c r="B316" s="1"/>
      <c r="C316" s="8"/>
      <c r="D316" s="1"/>
      <c r="E316" s="1"/>
      <c r="F316" s="1"/>
    </row>
    <row r="317" spans="1:6" ht="15.75" x14ac:dyDescent="0.25">
      <c r="A317" s="1"/>
      <c r="B317" s="1"/>
      <c r="C317" s="8"/>
      <c r="D317" s="1"/>
      <c r="E317" s="1"/>
      <c r="F317" s="1"/>
    </row>
    <row r="318" spans="1:6" ht="15.75" x14ac:dyDescent="0.25">
      <c r="A318" s="1"/>
      <c r="B318" s="1"/>
      <c r="C318" s="8"/>
      <c r="D318" s="1"/>
      <c r="E318" s="1"/>
      <c r="F318" s="1"/>
    </row>
    <row r="319" spans="1:6" ht="15.75" x14ac:dyDescent="0.25">
      <c r="A319" s="1"/>
      <c r="B319" s="1"/>
      <c r="C319" s="8"/>
      <c r="D319" s="1"/>
      <c r="E319" s="1"/>
      <c r="F319" s="1"/>
    </row>
    <row r="320" spans="1:6" ht="15.75" x14ac:dyDescent="0.25">
      <c r="A320" s="1"/>
      <c r="B320" s="1"/>
      <c r="C320" s="8"/>
      <c r="D320" s="1"/>
      <c r="E320" s="1"/>
      <c r="F320" s="1"/>
    </row>
    <row r="321" spans="1:6" ht="15.75" x14ac:dyDescent="0.25">
      <c r="A321" s="1"/>
      <c r="B321" s="1"/>
      <c r="C321" s="8"/>
      <c r="D321" s="1"/>
      <c r="E321" s="1"/>
      <c r="F321" s="1"/>
    </row>
    <row r="322" spans="1:6" ht="15.75" x14ac:dyDescent="0.25">
      <c r="A322" s="1"/>
      <c r="B322" s="1"/>
      <c r="C322" s="8"/>
      <c r="D322" s="1"/>
      <c r="E322" s="1"/>
      <c r="F322" s="1"/>
    </row>
    <row r="323" spans="1:6" ht="15.75" x14ac:dyDescent="0.25">
      <c r="A323" s="1"/>
      <c r="B323" s="1"/>
      <c r="C323" s="8"/>
      <c r="D323" s="1"/>
      <c r="E323" s="1"/>
      <c r="F323" s="1"/>
    </row>
    <row r="324" spans="1:6" ht="15.75" x14ac:dyDescent="0.25">
      <c r="A324" s="1"/>
      <c r="B324" s="1"/>
      <c r="C324" s="8"/>
      <c r="D324" s="1"/>
      <c r="E324" s="1"/>
      <c r="F324" s="1"/>
    </row>
    <row r="325" spans="1:6" ht="15.75" x14ac:dyDescent="0.25">
      <c r="A325" s="1"/>
      <c r="B325" s="1"/>
      <c r="C325" s="8"/>
      <c r="D325" s="1"/>
      <c r="E325" s="1"/>
      <c r="F325" s="1"/>
    </row>
    <row r="326" spans="1:6" ht="15.75" x14ac:dyDescent="0.25">
      <c r="A326" s="1"/>
      <c r="B326" s="1"/>
      <c r="C326" s="8"/>
      <c r="D326" s="1"/>
      <c r="E326" s="1"/>
      <c r="F326" s="1"/>
    </row>
    <row r="327" spans="1:6" ht="15.75" x14ac:dyDescent="0.25">
      <c r="A327" s="1"/>
      <c r="B327" s="1"/>
      <c r="C327" s="8"/>
      <c r="D327" s="1"/>
      <c r="E327" s="1"/>
      <c r="F327" s="1"/>
    </row>
    <row r="328" spans="1:6" ht="15.75" x14ac:dyDescent="0.25">
      <c r="A328" s="1"/>
      <c r="B328" s="1"/>
      <c r="C328" s="8"/>
      <c r="D328" s="1"/>
      <c r="E328" s="1"/>
      <c r="F328" s="1"/>
    </row>
    <row r="329" spans="1:6" ht="15.75" x14ac:dyDescent="0.25">
      <c r="A329" s="1"/>
      <c r="B329" s="1"/>
      <c r="C329" s="8"/>
      <c r="D329" s="1"/>
      <c r="E329" s="1"/>
      <c r="F329" s="1"/>
    </row>
    <row r="330" spans="1:6" ht="15.75" x14ac:dyDescent="0.25">
      <c r="A330" s="1"/>
      <c r="B330" s="1"/>
      <c r="C330" s="8"/>
      <c r="D330" s="1"/>
      <c r="E330" s="1"/>
      <c r="F330" s="1"/>
    </row>
    <row r="331" spans="1:6" ht="15.75" x14ac:dyDescent="0.25">
      <c r="A331" s="1"/>
      <c r="B331" s="1"/>
      <c r="C331" s="8"/>
      <c r="D331" s="1"/>
      <c r="E331" s="1"/>
      <c r="F331" s="1"/>
    </row>
    <row r="332" spans="1:6" ht="15.75" x14ac:dyDescent="0.25">
      <c r="A332" s="1"/>
      <c r="B332" s="1"/>
      <c r="C332" s="8"/>
      <c r="D332" s="1"/>
      <c r="E332" s="1"/>
      <c r="F332" s="1"/>
    </row>
    <row r="333" spans="1:6" ht="15.75" x14ac:dyDescent="0.25">
      <c r="A333" s="1"/>
      <c r="B333" s="1"/>
      <c r="C333" s="8"/>
      <c r="D333" s="1"/>
      <c r="E333" s="1"/>
      <c r="F333" s="1"/>
    </row>
    <row r="334" spans="1:6" ht="15.75" x14ac:dyDescent="0.25">
      <c r="A334" s="1"/>
      <c r="B334" s="1"/>
      <c r="C334" s="8"/>
      <c r="D334" s="1"/>
      <c r="E334" s="1"/>
      <c r="F334" s="1"/>
    </row>
    <row r="335" spans="1:6" ht="15.75" x14ac:dyDescent="0.25">
      <c r="A335" s="1"/>
      <c r="B335" s="1"/>
      <c r="C335" s="8"/>
      <c r="D335" s="1"/>
      <c r="E335" s="1"/>
      <c r="F335" s="1"/>
    </row>
    <row r="336" spans="1:6" ht="15.75" x14ac:dyDescent="0.25">
      <c r="A336" s="1"/>
      <c r="B336" s="1"/>
      <c r="C336" s="8"/>
      <c r="D336" s="1"/>
      <c r="E336" s="1"/>
      <c r="F336" s="1"/>
    </row>
    <row r="337" spans="1:6" ht="15.75" x14ac:dyDescent="0.25">
      <c r="A337" s="1"/>
      <c r="B337" s="1"/>
      <c r="C337" s="8"/>
      <c r="D337" s="1"/>
      <c r="E337" s="1"/>
      <c r="F337" s="1"/>
    </row>
    <row r="338" spans="1:6" ht="15.75" x14ac:dyDescent="0.25">
      <c r="A338" s="1"/>
      <c r="B338" s="1"/>
      <c r="C338" s="8"/>
      <c r="D338" s="1"/>
      <c r="E338" s="1"/>
      <c r="F338" s="1"/>
    </row>
    <row r="339" spans="1:6" ht="15.75" x14ac:dyDescent="0.25">
      <c r="A339" s="1"/>
      <c r="B339" s="1"/>
      <c r="C339" s="8"/>
      <c r="D339" s="1"/>
      <c r="E339" s="1"/>
      <c r="F339" s="1"/>
    </row>
    <row r="340" spans="1:6" ht="15.75" x14ac:dyDescent="0.25">
      <c r="A340" s="1"/>
      <c r="B340" s="1"/>
      <c r="C340" s="8"/>
      <c r="D340" s="1"/>
      <c r="E340" s="1"/>
      <c r="F340" s="1"/>
    </row>
    <row r="341" spans="1:6" ht="15.75" x14ac:dyDescent="0.25">
      <c r="A341" s="1"/>
      <c r="B341" s="1"/>
      <c r="C341" s="8"/>
      <c r="D341" s="1"/>
      <c r="E341" s="1"/>
      <c r="F341" s="1"/>
    </row>
    <row r="342" spans="1:6" ht="15.75" x14ac:dyDescent="0.25">
      <c r="A342" s="1"/>
      <c r="B342" s="1"/>
      <c r="C342" s="8"/>
      <c r="D342" s="1"/>
      <c r="E342" s="1"/>
      <c r="F342" s="1"/>
    </row>
    <row r="343" spans="1:6" ht="15.75" x14ac:dyDescent="0.25">
      <c r="A343" s="1"/>
      <c r="B343" s="1"/>
      <c r="C343" s="8"/>
      <c r="D343" s="1"/>
      <c r="E343" s="1"/>
      <c r="F343" s="1"/>
    </row>
    <row r="344" spans="1:6" ht="15.75" x14ac:dyDescent="0.25">
      <c r="A344" s="1"/>
      <c r="B344" s="1"/>
      <c r="C344" s="8"/>
      <c r="D344" s="1"/>
      <c r="E344" s="1"/>
      <c r="F344" s="1"/>
    </row>
    <row r="345" spans="1:6" ht="15.75" x14ac:dyDescent="0.25">
      <c r="A345" s="1"/>
      <c r="B345" s="1"/>
      <c r="C345" s="8"/>
      <c r="D345" s="1"/>
      <c r="E345" s="1"/>
      <c r="F345" s="1"/>
    </row>
    <row r="346" spans="1:6" ht="15.75" x14ac:dyDescent="0.25">
      <c r="A346" s="1"/>
      <c r="B346" s="1"/>
      <c r="C346" s="8"/>
      <c r="D346" s="1"/>
      <c r="E346" s="1"/>
      <c r="F346" s="1"/>
    </row>
    <row r="347" spans="1:6" ht="15.75" x14ac:dyDescent="0.25">
      <c r="A347" s="1"/>
      <c r="B347" s="1"/>
      <c r="C347" s="8"/>
      <c r="D347" s="1"/>
      <c r="E347" s="1"/>
      <c r="F347" s="1"/>
    </row>
    <row r="348" spans="1:6" ht="15.75" x14ac:dyDescent="0.25">
      <c r="A348" s="1"/>
      <c r="B348" s="1"/>
      <c r="C348" s="8"/>
      <c r="D348" s="1"/>
      <c r="E348" s="1"/>
      <c r="F348" s="1"/>
    </row>
    <row r="349" spans="1:6" ht="15.75" x14ac:dyDescent="0.25">
      <c r="A349" s="1"/>
      <c r="B349" s="1"/>
      <c r="C349" s="8"/>
      <c r="D349" s="1"/>
      <c r="E349" s="1"/>
      <c r="F349" s="1"/>
    </row>
    <row r="350" spans="1:6" ht="15.75" x14ac:dyDescent="0.25">
      <c r="A350" s="1"/>
      <c r="B350" s="1"/>
      <c r="C350" s="8"/>
      <c r="D350" s="1"/>
      <c r="E350" s="1"/>
      <c r="F350" s="1"/>
    </row>
    <row r="351" spans="1:6" ht="15.75" x14ac:dyDescent="0.25">
      <c r="A351" s="1"/>
      <c r="B351" s="1"/>
      <c r="C351" s="8"/>
      <c r="D351" s="1"/>
      <c r="E351" s="1"/>
      <c r="F351" s="1"/>
    </row>
    <row r="352" spans="1:6" ht="15.75" x14ac:dyDescent="0.25">
      <c r="A352" s="1"/>
      <c r="B352" s="1"/>
      <c r="C352" s="8"/>
      <c r="D352" s="1"/>
      <c r="E352" s="1"/>
      <c r="F352" s="1"/>
    </row>
    <row r="353" spans="1:6" ht="15.75" x14ac:dyDescent="0.25">
      <c r="A353" s="1"/>
      <c r="B353" s="1"/>
      <c r="C353" s="8"/>
      <c r="D353" s="1"/>
      <c r="E353" s="1"/>
      <c r="F353" s="1"/>
    </row>
    <row r="354" spans="1:6" ht="15.75" x14ac:dyDescent="0.25">
      <c r="A354" s="1"/>
      <c r="B354" s="1"/>
      <c r="C354" s="8"/>
      <c r="D354" s="1"/>
      <c r="E354" s="1"/>
      <c r="F354" s="1"/>
    </row>
    <row r="355" spans="1:6" ht="15.75" x14ac:dyDescent="0.25">
      <c r="A355" s="1"/>
      <c r="B355" s="1"/>
      <c r="C355" s="8"/>
      <c r="D355" s="1"/>
      <c r="E355" s="1"/>
      <c r="F355" s="1"/>
    </row>
    <row r="356" spans="1:6" ht="15.75" x14ac:dyDescent="0.25">
      <c r="A356" s="1"/>
      <c r="B356" s="1"/>
      <c r="C356" s="8"/>
      <c r="D356" s="1"/>
      <c r="E356" s="1"/>
      <c r="F356" s="1"/>
    </row>
    <row r="357" spans="1:6" ht="15.75" x14ac:dyDescent="0.25">
      <c r="A357" s="1"/>
      <c r="B357" s="1"/>
      <c r="C357" s="8"/>
      <c r="D357" s="1"/>
      <c r="E357" s="1"/>
      <c r="F357" s="1"/>
    </row>
    <row r="358" spans="1:6" ht="15.75" x14ac:dyDescent="0.25">
      <c r="A358" s="1"/>
      <c r="B358" s="1"/>
      <c r="C358" s="8"/>
      <c r="D358" s="1"/>
      <c r="E358" s="1"/>
      <c r="F358" s="1"/>
    </row>
    <row r="359" spans="1:6" ht="15.75" x14ac:dyDescent="0.25">
      <c r="A359" s="1"/>
      <c r="B359" s="1"/>
      <c r="C359" s="8"/>
      <c r="D359" s="1"/>
      <c r="E359" s="1"/>
      <c r="F359" s="1"/>
    </row>
    <row r="360" spans="1:6" ht="15.75" x14ac:dyDescent="0.25">
      <c r="A360" s="1"/>
      <c r="B360" s="1"/>
      <c r="C360" s="8"/>
      <c r="D360" s="1"/>
      <c r="E360" s="1"/>
      <c r="F360" s="1"/>
    </row>
    <row r="361" spans="1:6" ht="15.75" x14ac:dyDescent="0.25">
      <c r="A361" s="1"/>
      <c r="B361" s="1"/>
      <c r="C361" s="8"/>
      <c r="D361" s="1"/>
      <c r="E361" s="1"/>
      <c r="F361" s="1"/>
    </row>
    <row r="362" spans="1:6" ht="15.75" x14ac:dyDescent="0.25">
      <c r="A362" s="1"/>
      <c r="B362" s="1"/>
      <c r="C362" s="8"/>
      <c r="D362" s="1"/>
      <c r="E362" s="1"/>
      <c r="F362" s="1"/>
    </row>
    <row r="363" spans="1:6" ht="15.75" x14ac:dyDescent="0.25">
      <c r="A363" s="1"/>
      <c r="B363" s="1"/>
      <c r="C363" s="8"/>
      <c r="D363" s="1"/>
      <c r="E363" s="1"/>
      <c r="F363" s="1"/>
    </row>
    <row r="364" spans="1:6" ht="15.75" x14ac:dyDescent="0.25">
      <c r="A364" s="1"/>
      <c r="B364" s="1"/>
      <c r="C364" s="8"/>
      <c r="D364" s="1"/>
      <c r="E364" s="1"/>
      <c r="F364" s="1"/>
    </row>
    <row r="365" spans="1:6" ht="15.75" x14ac:dyDescent="0.25">
      <c r="A365" s="1"/>
      <c r="B365" s="1"/>
      <c r="C365" s="8"/>
      <c r="D365" s="1"/>
      <c r="E365" s="1"/>
      <c r="F365" s="1"/>
    </row>
    <row r="366" spans="1:6" ht="15.75" x14ac:dyDescent="0.25">
      <c r="A366" s="1"/>
      <c r="B366" s="1"/>
      <c r="C366" s="8"/>
      <c r="D366" s="1"/>
      <c r="E366" s="1"/>
      <c r="F366" s="1"/>
    </row>
    <row r="367" spans="1:6" ht="15.75" x14ac:dyDescent="0.25">
      <c r="A367" s="1"/>
      <c r="B367" s="1"/>
      <c r="C367" s="8"/>
      <c r="D367" s="1"/>
      <c r="E367" s="1"/>
      <c r="F367" s="1"/>
    </row>
    <row r="368" spans="1:6" ht="15.75" x14ac:dyDescent="0.25">
      <c r="A368" s="1"/>
      <c r="B368" s="1"/>
      <c r="C368" s="8"/>
      <c r="D368" s="1"/>
      <c r="E368" s="1"/>
      <c r="F368" s="1"/>
    </row>
    <row r="369" spans="1:6" ht="15.75" x14ac:dyDescent="0.25">
      <c r="A369" s="1"/>
      <c r="B369" s="1"/>
      <c r="C369" s="8"/>
      <c r="D369" s="1"/>
      <c r="E369" s="1"/>
      <c r="F369" s="1"/>
    </row>
    <row r="370" spans="1:6" ht="15.75" x14ac:dyDescent="0.25">
      <c r="A370" s="1"/>
      <c r="B370" s="1"/>
      <c r="C370" s="8"/>
      <c r="D370" s="1"/>
      <c r="E370" s="1"/>
      <c r="F370" s="1"/>
    </row>
    <row r="371" spans="1:6" ht="15.75" x14ac:dyDescent="0.25">
      <c r="A371" s="1"/>
      <c r="B371" s="1"/>
      <c r="C371" s="8"/>
      <c r="D371" s="1"/>
      <c r="E371" s="1"/>
      <c r="F371" s="1"/>
    </row>
    <row r="372" spans="1:6" ht="15.75" x14ac:dyDescent="0.25">
      <c r="A372" s="1"/>
      <c r="B372" s="1"/>
      <c r="C372" s="8"/>
      <c r="D372" s="1"/>
      <c r="E372" s="1"/>
      <c r="F372" s="1"/>
    </row>
    <row r="373" spans="1:6" ht="15.75" x14ac:dyDescent="0.25">
      <c r="A373" s="1"/>
      <c r="B373" s="1"/>
      <c r="C373" s="8"/>
      <c r="D373" s="1"/>
      <c r="E373" s="1"/>
      <c r="F373" s="1"/>
    </row>
    <row r="374" spans="1:6" ht="15.75" x14ac:dyDescent="0.25">
      <c r="A374" s="1"/>
      <c r="B374" s="1"/>
      <c r="C374" s="8"/>
      <c r="D374" s="1"/>
      <c r="E374" s="1"/>
      <c r="F374" s="1"/>
    </row>
    <row r="375" spans="1:6" ht="15.75" x14ac:dyDescent="0.25">
      <c r="A375" s="1"/>
      <c r="B375" s="1"/>
      <c r="C375" s="8"/>
      <c r="D375" s="1"/>
      <c r="E375" s="1"/>
      <c r="F375" s="1"/>
    </row>
    <row r="376" spans="1:6" ht="15.75" x14ac:dyDescent="0.25">
      <c r="A376" s="1"/>
      <c r="B376" s="1"/>
      <c r="C376" s="8"/>
      <c r="D376" s="1"/>
      <c r="E376" s="1"/>
      <c r="F376" s="1"/>
    </row>
    <row r="377" spans="1:6" ht="15.75" x14ac:dyDescent="0.25">
      <c r="A377" s="1"/>
      <c r="B377" s="1"/>
      <c r="C377" s="8"/>
      <c r="D377" s="1"/>
      <c r="E377" s="1"/>
      <c r="F377" s="1"/>
    </row>
    <row r="378" spans="1:6" ht="15.75" x14ac:dyDescent="0.25">
      <c r="A378" s="1"/>
      <c r="B378" s="1"/>
      <c r="C378" s="8"/>
      <c r="D378" s="1"/>
      <c r="E378" s="1"/>
      <c r="F378" s="1"/>
    </row>
    <row r="379" spans="1:6" ht="15.75" x14ac:dyDescent="0.25">
      <c r="A379" s="1"/>
      <c r="B379" s="1"/>
      <c r="C379" s="8"/>
      <c r="D379" s="1"/>
      <c r="E379" s="1"/>
      <c r="F379" s="1"/>
    </row>
    <row r="380" spans="1:6" ht="15.75" x14ac:dyDescent="0.25">
      <c r="A380" s="1"/>
      <c r="B380" s="1"/>
      <c r="C380" s="8"/>
      <c r="D380" s="1"/>
      <c r="E380" s="1"/>
      <c r="F380" s="1"/>
    </row>
    <row r="381" spans="1:6" ht="15.75" x14ac:dyDescent="0.25">
      <c r="A381" s="1"/>
      <c r="B381" s="1"/>
      <c r="C381" s="8"/>
      <c r="D381" s="1"/>
      <c r="E381" s="1"/>
      <c r="F381" s="1"/>
    </row>
    <row r="382" spans="1:6" ht="15.75" x14ac:dyDescent="0.25">
      <c r="A382" s="1"/>
      <c r="B382" s="1"/>
      <c r="C382" s="8"/>
      <c r="D382" s="1"/>
      <c r="E382" s="1"/>
      <c r="F382" s="1"/>
    </row>
    <row r="383" spans="1:6" ht="15.75" x14ac:dyDescent="0.25">
      <c r="A383" s="1"/>
      <c r="B383" s="1"/>
      <c r="C383" s="8"/>
      <c r="D383" s="1"/>
      <c r="E383" s="1"/>
      <c r="F383" s="1"/>
    </row>
    <row r="384" spans="1:6" ht="15.75" x14ac:dyDescent="0.25">
      <c r="A384" s="1"/>
      <c r="B384" s="1"/>
      <c r="C384" s="8"/>
      <c r="D384" s="1"/>
      <c r="E384" s="1"/>
      <c r="F384" s="1"/>
    </row>
    <row r="385" spans="1:6" ht="15.75" x14ac:dyDescent="0.25">
      <c r="A385" s="1"/>
      <c r="B385" s="1"/>
      <c r="C385" s="8"/>
      <c r="D385" s="1"/>
      <c r="E385" s="1"/>
      <c r="F385" s="1"/>
    </row>
    <row r="386" spans="1:6" ht="15.75" x14ac:dyDescent="0.25">
      <c r="A386" s="1"/>
      <c r="B386" s="1"/>
      <c r="C386" s="8"/>
      <c r="D386" s="1"/>
      <c r="E386" s="1"/>
      <c r="F386" s="1"/>
    </row>
    <row r="387" spans="1:6" ht="15.75" x14ac:dyDescent="0.25">
      <c r="A387" s="1"/>
      <c r="B387" s="1"/>
      <c r="C387" s="8"/>
      <c r="D387" s="1"/>
      <c r="E387" s="1"/>
      <c r="F387" s="1"/>
    </row>
    <row r="388" spans="1:6" ht="15.75" x14ac:dyDescent="0.25">
      <c r="A388" s="1"/>
      <c r="B388" s="1"/>
      <c r="C388" s="8"/>
      <c r="D388" s="1"/>
      <c r="E388" s="1"/>
      <c r="F388" s="1"/>
    </row>
    <row r="389" spans="1:6" ht="15.75" x14ac:dyDescent="0.25">
      <c r="A389" s="1"/>
      <c r="B389" s="1"/>
      <c r="C389" s="8"/>
      <c r="D389" s="1"/>
      <c r="E389" s="1"/>
      <c r="F389" s="1"/>
    </row>
    <row r="390" spans="1:6" ht="15.75" x14ac:dyDescent="0.25">
      <c r="A390" s="1"/>
      <c r="B390" s="1"/>
      <c r="C390" s="8"/>
      <c r="D390" s="1"/>
      <c r="E390" s="1"/>
      <c r="F390" s="1"/>
    </row>
    <row r="391" spans="1:6" ht="15.75" x14ac:dyDescent="0.25">
      <c r="A391" s="1"/>
      <c r="B391" s="1"/>
      <c r="C391" s="8"/>
      <c r="D391" s="1"/>
      <c r="E391" s="1"/>
      <c r="F391" s="1"/>
    </row>
    <row r="392" spans="1:6" ht="15.75" x14ac:dyDescent="0.25">
      <c r="A392" s="1"/>
      <c r="B392" s="1"/>
      <c r="C392" s="8"/>
      <c r="D392" s="1"/>
      <c r="E392" s="1"/>
      <c r="F392" s="1"/>
    </row>
    <row r="393" spans="1:6" ht="15.75" x14ac:dyDescent="0.25">
      <c r="A393" s="1"/>
      <c r="B393" s="1"/>
      <c r="C393" s="8"/>
      <c r="D393" s="1"/>
      <c r="E393" s="1"/>
      <c r="F393" s="1"/>
    </row>
    <row r="394" spans="1:6" ht="15.75" x14ac:dyDescent="0.25">
      <c r="A394" s="1"/>
      <c r="B394" s="1"/>
      <c r="C394" s="8"/>
      <c r="D394" s="1"/>
      <c r="E394" s="1"/>
      <c r="F394" s="1"/>
    </row>
    <row r="395" spans="1:6" ht="15.75" x14ac:dyDescent="0.25">
      <c r="A395" s="1"/>
      <c r="B395" s="1"/>
      <c r="C395" s="8"/>
      <c r="D395" s="1"/>
      <c r="E395" s="1"/>
      <c r="F395" s="1"/>
    </row>
    <row r="396" spans="1:6" ht="15.75" x14ac:dyDescent="0.25">
      <c r="A396" s="1"/>
      <c r="B396" s="1"/>
      <c r="C396" s="8"/>
      <c r="D396" s="1"/>
      <c r="E396" s="1"/>
      <c r="F396" s="1"/>
    </row>
    <row r="397" spans="1:6" ht="15.75" x14ac:dyDescent="0.25">
      <c r="A397" s="1"/>
      <c r="B397" s="1"/>
      <c r="C397" s="8"/>
      <c r="D397" s="1"/>
      <c r="E397" s="1"/>
      <c r="F397" s="1"/>
    </row>
    <row r="398" spans="1:6" ht="15.75" x14ac:dyDescent="0.25">
      <c r="A398" s="1"/>
      <c r="B398" s="1"/>
      <c r="C398" s="8"/>
      <c r="D398" s="1"/>
      <c r="E398" s="1"/>
      <c r="F398" s="1"/>
    </row>
    <row r="399" spans="1:6" ht="15.75" x14ac:dyDescent="0.25">
      <c r="A399" s="1"/>
      <c r="B399" s="1"/>
      <c r="C399" s="8"/>
      <c r="D399" s="1"/>
      <c r="E399" s="1"/>
      <c r="F399" s="1"/>
    </row>
    <row r="400" spans="1:6" ht="15.75" x14ac:dyDescent="0.25">
      <c r="A400" s="1"/>
      <c r="B400" s="1"/>
      <c r="C400" s="8"/>
      <c r="D400" s="1"/>
      <c r="E400" s="1"/>
      <c r="F400" s="1"/>
    </row>
    <row r="401" spans="1:6" ht="15.75" x14ac:dyDescent="0.25">
      <c r="A401" s="1"/>
      <c r="B401" s="1"/>
      <c r="C401" s="8"/>
      <c r="D401" s="1"/>
      <c r="E401" s="1"/>
      <c r="F401" s="1"/>
    </row>
    <row r="402" spans="1:6" ht="15.75" x14ac:dyDescent="0.25">
      <c r="A402" s="1"/>
      <c r="B402" s="1"/>
      <c r="C402" s="8"/>
      <c r="D402" s="1"/>
      <c r="E402" s="1"/>
      <c r="F402" s="1"/>
    </row>
    <row r="403" spans="1:6" ht="15.75" x14ac:dyDescent="0.25">
      <c r="A403" s="1"/>
      <c r="B403" s="1"/>
      <c r="C403" s="8"/>
      <c r="D403" s="1"/>
      <c r="E403" s="1"/>
      <c r="F403" s="1"/>
    </row>
    <row r="404" spans="1:6" ht="15.75" x14ac:dyDescent="0.25">
      <c r="A404" s="1"/>
      <c r="B404" s="1"/>
      <c r="C404" s="8"/>
      <c r="D404" s="1"/>
      <c r="E404" s="1"/>
      <c r="F404" s="1"/>
    </row>
    <row r="405" spans="1:6" ht="15.75" x14ac:dyDescent="0.25">
      <c r="A405" s="1"/>
      <c r="B405" s="1"/>
      <c r="C405" s="8"/>
      <c r="D405" s="1"/>
      <c r="E405" s="1"/>
      <c r="F405" s="1"/>
    </row>
    <row r="406" spans="1:6" ht="15.75" x14ac:dyDescent="0.25">
      <c r="A406" s="1"/>
      <c r="B406" s="1"/>
      <c r="C406" s="8"/>
      <c r="D406" s="1"/>
      <c r="E406" s="1"/>
      <c r="F406" s="1"/>
    </row>
    <row r="407" spans="1:6" ht="15.75" x14ac:dyDescent="0.25">
      <c r="A407" s="1"/>
      <c r="B407" s="1"/>
      <c r="C407" s="8"/>
      <c r="D407" s="1"/>
      <c r="E407" s="1"/>
      <c r="F407" s="1"/>
    </row>
    <row r="408" spans="1:6" ht="15.75" x14ac:dyDescent="0.25">
      <c r="A408" s="1"/>
      <c r="B408" s="1"/>
      <c r="C408" s="8"/>
      <c r="D408" s="1"/>
      <c r="E408" s="1"/>
      <c r="F408" s="1"/>
    </row>
    <row r="409" spans="1:6" ht="15.75" x14ac:dyDescent="0.25">
      <c r="A409" s="1"/>
      <c r="B409" s="1"/>
      <c r="C409" s="8"/>
      <c r="D409" s="1"/>
      <c r="E409" s="1"/>
      <c r="F409" s="1"/>
    </row>
    <row r="410" spans="1:6" ht="15.75" x14ac:dyDescent="0.25">
      <c r="A410" s="1"/>
      <c r="B410" s="1"/>
      <c r="C410" s="8"/>
      <c r="D410" s="1"/>
      <c r="E410" s="1"/>
      <c r="F410" s="1"/>
    </row>
    <row r="411" spans="1:6" ht="15.75" x14ac:dyDescent="0.25">
      <c r="A411" s="1"/>
      <c r="B411" s="1"/>
      <c r="C411" s="8"/>
      <c r="D411" s="1"/>
      <c r="E411" s="1"/>
      <c r="F411" s="1"/>
    </row>
    <row r="412" spans="1:6" ht="15.75" x14ac:dyDescent="0.25">
      <c r="A412" s="1"/>
      <c r="B412" s="1"/>
      <c r="C412" s="8"/>
      <c r="D412" s="1"/>
      <c r="E412" s="1"/>
      <c r="F412" s="1"/>
    </row>
    <row r="413" spans="1:6" ht="15.75" x14ac:dyDescent="0.25">
      <c r="A413" s="1"/>
      <c r="B413" s="1"/>
      <c r="C413" s="8"/>
      <c r="D413" s="1"/>
      <c r="E413" s="1"/>
      <c r="F413" s="1"/>
    </row>
    <row r="414" spans="1:6" ht="15.75" x14ac:dyDescent="0.25">
      <c r="A414" s="1"/>
      <c r="B414" s="1"/>
      <c r="C414" s="8"/>
      <c r="D414" s="1"/>
      <c r="E414" s="1"/>
      <c r="F414" s="1"/>
    </row>
    <row r="415" spans="1:6" ht="15.75" x14ac:dyDescent="0.25">
      <c r="A415" s="1"/>
      <c r="B415" s="1"/>
      <c r="C415" s="8"/>
      <c r="D415" s="1"/>
      <c r="E415" s="1"/>
      <c r="F415" s="1"/>
    </row>
    <row r="416" spans="1:6" ht="15.75" x14ac:dyDescent="0.25">
      <c r="A416" s="1"/>
      <c r="B416" s="1"/>
      <c r="C416" s="8"/>
      <c r="D416" s="1"/>
      <c r="E416" s="1"/>
      <c r="F416" s="1"/>
    </row>
    <row r="417" spans="1:6" ht="15.75" x14ac:dyDescent="0.25">
      <c r="A417" s="1"/>
      <c r="B417" s="1"/>
      <c r="C417" s="8"/>
      <c r="D417" s="1"/>
      <c r="E417" s="1"/>
      <c r="F417" s="1"/>
    </row>
    <row r="418" spans="1:6" ht="15.75" x14ac:dyDescent="0.25">
      <c r="A418" s="1"/>
      <c r="B418" s="1"/>
      <c r="C418" s="8"/>
      <c r="D418" s="1"/>
      <c r="E418" s="1"/>
      <c r="F418" s="1"/>
    </row>
    <row r="419" spans="1:6" ht="15.75" x14ac:dyDescent="0.25">
      <c r="A419" s="1"/>
      <c r="B419" s="1"/>
      <c r="C419" s="8"/>
      <c r="D419" s="1"/>
      <c r="E419" s="1"/>
      <c r="F419" s="1"/>
    </row>
    <row r="420" spans="1:6" ht="15.75" x14ac:dyDescent="0.25">
      <c r="A420" s="1"/>
      <c r="B420" s="1"/>
      <c r="C420" s="8"/>
      <c r="D420" s="1"/>
      <c r="E420" s="1"/>
      <c r="F420" s="1"/>
    </row>
    <row r="421" spans="1:6" ht="15.75" x14ac:dyDescent="0.25">
      <c r="A421" s="1"/>
      <c r="B421" s="1"/>
      <c r="C421" s="8"/>
      <c r="D421" s="1"/>
      <c r="E421" s="1"/>
      <c r="F421" s="1"/>
    </row>
    <row r="422" spans="1:6" ht="15.75" x14ac:dyDescent="0.25">
      <c r="A422" s="1"/>
      <c r="B422" s="1"/>
      <c r="C422" s="8"/>
      <c r="D422" s="1"/>
      <c r="E422" s="1"/>
      <c r="F422" s="1"/>
    </row>
    <row r="423" spans="1:6" ht="15.75" x14ac:dyDescent="0.25">
      <c r="A423" s="1"/>
      <c r="B423" s="1"/>
      <c r="C423" s="8"/>
      <c r="D423" s="1"/>
      <c r="E423" s="1"/>
      <c r="F423" s="1"/>
    </row>
    <row r="424" spans="1:6" ht="15.75" x14ac:dyDescent="0.25">
      <c r="A424" s="1"/>
      <c r="B424" s="1"/>
      <c r="C424" s="8"/>
      <c r="D424" s="1"/>
      <c r="E424" s="1"/>
      <c r="F424" s="1"/>
    </row>
    <row r="425" spans="1:6" ht="15.75" x14ac:dyDescent="0.25">
      <c r="A425" s="1"/>
      <c r="B425" s="1"/>
      <c r="C425" s="8"/>
      <c r="D425" s="1"/>
      <c r="E425" s="1"/>
      <c r="F425" s="1"/>
    </row>
    <row r="426" spans="1:6" ht="15.75" x14ac:dyDescent="0.25">
      <c r="A426" s="1"/>
      <c r="B426" s="1"/>
      <c r="C426" s="8"/>
      <c r="D426" s="1"/>
      <c r="E426" s="1"/>
      <c r="F426" s="1"/>
    </row>
    <row r="427" spans="1:6" ht="15.75" x14ac:dyDescent="0.25">
      <c r="A427" s="1"/>
      <c r="B427" s="1"/>
      <c r="C427" s="8"/>
      <c r="D427" s="1"/>
      <c r="E427" s="1"/>
      <c r="F427" s="1"/>
    </row>
    <row r="428" spans="1:6" ht="15.75" x14ac:dyDescent="0.25">
      <c r="A428" s="1"/>
      <c r="B428" s="1"/>
      <c r="C428" s="8"/>
      <c r="D428" s="1"/>
      <c r="E428" s="1"/>
      <c r="F428" s="1"/>
    </row>
    <row r="429" spans="1:6" ht="15.75" x14ac:dyDescent="0.25">
      <c r="A429" s="1"/>
      <c r="B429" s="1"/>
      <c r="C429" s="8"/>
      <c r="D429" s="1"/>
      <c r="E429" s="1"/>
      <c r="F429" s="1"/>
    </row>
    <row r="430" spans="1:6" ht="15.75" x14ac:dyDescent="0.25">
      <c r="A430" s="1"/>
      <c r="B430" s="1"/>
      <c r="C430" s="8"/>
      <c r="D430" s="1"/>
      <c r="E430" s="1"/>
      <c r="F430" s="1"/>
    </row>
    <row r="431" spans="1:6" ht="15.75" x14ac:dyDescent="0.25">
      <c r="A431" s="1"/>
      <c r="B431" s="1"/>
      <c r="C431" s="8"/>
      <c r="D431" s="1"/>
      <c r="E431" s="1"/>
      <c r="F431" s="1"/>
    </row>
    <row r="432" spans="1:6" ht="15.75" x14ac:dyDescent="0.25">
      <c r="A432" s="1"/>
      <c r="B432" s="1"/>
      <c r="C432" s="8"/>
      <c r="D432" s="1"/>
      <c r="E432" s="1"/>
      <c r="F432" s="1"/>
    </row>
    <row r="433" spans="1:6" ht="15.75" x14ac:dyDescent="0.25">
      <c r="A433" s="1"/>
      <c r="B433" s="1"/>
      <c r="C433" s="8"/>
      <c r="D433" s="1"/>
      <c r="E433" s="1"/>
      <c r="F433" s="1"/>
    </row>
    <row r="434" spans="1:6" ht="15.75" x14ac:dyDescent="0.25">
      <c r="A434" s="1"/>
      <c r="B434" s="1"/>
      <c r="C434" s="8"/>
      <c r="D434" s="1"/>
      <c r="E434" s="1"/>
      <c r="F434" s="1"/>
    </row>
    <row r="435" spans="1:6" ht="15.75" x14ac:dyDescent="0.25">
      <c r="A435" s="1"/>
      <c r="B435" s="1"/>
      <c r="C435" s="8"/>
      <c r="D435" s="1"/>
      <c r="E435" s="1"/>
      <c r="F435" s="1"/>
    </row>
    <row r="436" spans="1:6" ht="15.75" x14ac:dyDescent="0.25">
      <c r="A436" s="1"/>
      <c r="B436" s="1"/>
      <c r="C436" s="8"/>
      <c r="D436" s="1"/>
      <c r="E436" s="1"/>
      <c r="F436" s="1"/>
    </row>
    <row r="437" spans="1:6" ht="15.75" x14ac:dyDescent="0.25">
      <c r="A437" s="1"/>
      <c r="B437" s="1"/>
      <c r="C437" s="8"/>
      <c r="D437" s="1"/>
      <c r="E437" s="1"/>
      <c r="F437" s="1"/>
    </row>
    <row r="438" spans="1:6" ht="15.75" x14ac:dyDescent="0.25">
      <c r="A438" s="1"/>
      <c r="B438" s="1"/>
      <c r="C438" s="8"/>
      <c r="D438" s="1"/>
      <c r="E438" s="1"/>
      <c r="F438" s="1"/>
    </row>
    <row r="439" spans="1:6" ht="15.75" x14ac:dyDescent="0.25">
      <c r="A439" s="1"/>
      <c r="B439" s="1"/>
      <c r="C439" s="8"/>
      <c r="D439" s="1"/>
      <c r="E439" s="1"/>
      <c r="F439" s="1"/>
    </row>
    <row r="440" spans="1:6" ht="15.75" x14ac:dyDescent="0.25">
      <c r="A440" s="1"/>
      <c r="B440" s="1"/>
      <c r="C440" s="8"/>
      <c r="D440" s="1"/>
      <c r="E440" s="1"/>
      <c r="F440" s="1"/>
    </row>
    <row r="441" spans="1:6" ht="15.75" x14ac:dyDescent="0.25">
      <c r="A441" s="1"/>
      <c r="B441" s="1"/>
      <c r="C441" s="8"/>
      <c r="D441" s="1"/>
      <c r="E441" s="1"/>
      <c r="F441" s="1"/>
    </row>
    <row r="442" spans="1:6" ht="15.75" x14ac:dyDescent="0.25">
      <c r="A442" s="1"/>
      <c r="B442" s="1"/>
      <c r="C442" s="8"/>
      <c r="D442" s="1"/>
      <c r="E442" s="1"/>
      <c r="F442" s="1"/>
    </row>
    <row r="443" spans="1:6" ht="15.75" x14ac:dyDescent="0.25">
      <c r="A443" s="1"/>
      <c r="B443" s="1"/>
      <c r="C443" s="8"/>
      <c r="D443" s="1"/>
      <c r="E443" s="1"/>
      <c r="F443" s="1"/>
    </row>
    <row r="444" spans="1:6" ht="15.75" x14ac:dyDescent="0.25">
      <c r="A444" s="1"/>
      <c r="B444" s="1"/>
      <c r="C444" s="8"/>
      <c r="D444" s="1"/>
      <c r="E444" s="1"/>
      <c r="F444" s="1"/>
    </row>
    <row r="445" spans="1:6" ht="15.75" x14ac:dyDescent="0.25">
      <c r="A445" s="1"/>
      <c r="B445" s="1"/>
      <c r="C445" s="8"/>
      <c r="D445" s="1"/>
      <c r="E445" s="1"/>
      <c r="F445" s="1"/>
    </row>
    <row r="446" spans="1:6" ht="15.75" x14ac:dyDescent="0.25">
      <c r="A446" s="1"/>
      <c r="B446" s="1"/>
      <c r="C446" s="8"/>
      <c r="D446" s="1"/>
      <c r="E446" s="1"/>
      <c r="F446" s="1"/>
    </row>
    <row r="447" spans="1:6" ht="15.75" x14ac:dyDescent="0.25">
      <c r="A447" s="1"/>
      <c r="B447" s="1"/>
      <c r="C447" s="8"/>
      <c r="D447" s="1"/>
      <c r="E447" s="1"/>
      <c r="F447" s="1"/>
    </row>
    <row r="448" spans="1:6" ht="15.75" x14ac:dyDescent="0.25">
      <c r="A448" s="1"/>
      <c r="B448" s="1"/>
      <c r="C448" s="8"/>
      <c r="D448" s="1"/>
      <c r="E448" s="1"/>
      <c r="F448" s="1"/>
    </row>
    <row r="449" spans="1:6" ht="15.75" x14ac:dyDescent="0.25">
      <c r="A449" s="1"/>
      <c r="B449" s="1"/>
      <c r="C449" s="8"/>
      <c r="D449" s="1"/>
      <c r="E449" s="1"/>
      <c r="F449" s="1"/>
    </row>
    <row r="450" spans="1:6" ht="15.75" x14ac:dyDescent="0.25">
      <c r="A450" s="1"/>
      <c r="B450" s="1"/>
      <c r="C450" s="8"/>
      <c r="D450" s="1"/>
      <c r="E450" s="1"/>
      <c r="F450" s="1"/>
    </row>
    <row r="451" spans="1:6" ht="15.75" x14ac:dyDescent="0.25">
      <c r="A451" s="1"/>
      <c r="B451" s="1"/>
      <c r="C451" s="8"/>
      <c r="D451" s="1"/>
      <c r="E451" s="1"/>
      <c r="F451" s="1"/>
    </row>
    <row r="452" spans="1:6" ht="15.75" x14ac:dyDescent="0.25">
      <c r="A452" s="1"/>
      <c r="B452" s="1"/>
      <c r="C452" s="8"/>
      <c r="D452" s="1"/>
      <c r="E452" s="1"/>
      <c r="F452" s="1"/>
    </row>
    <row r="453" spans="1:6" ht="15.75" x14ac:dyDescent="0.25">
      <c r="A453" s="1"/>
      <c r="B453" s="1"/>
      <c r="C453" s="8"/>
      <c r="D453" s="1"/>
      <c r="E453" s="1"/>
      <c r="F453" s="1"/>
    </row>
    <row r="454" spans="1:6" ht="15.75" x14ac:dyDescent="0.25">
      <c r="A454" s="1"/>
      <c r="B454" s="1"/>
      <c r="C454" s="8"/>
      <c r="D454" s="1"/>
      <c r="E454" s="1"/>
      <c r="F454" s="1"/>
    </row>
    <row r="455" spans="1:6" ht="15.75" x14ac:dyDescent="0.25">
      <c r="A455" s="1"/>
      <c r="B455" s="1"/>
      <c r="C455" s="8"/>
      <c r="D455" s="1"/>
      <c r="E455" s="1"/>
      <c r="F455" s="1"/>
    </row>
    <row r="456" spans="1:6" ht="15.75" x14ac:dyDescent="0.25">
      <c r="A456" s="1"/>
      <c r="B456" s="1"/>
      <c r="C456" s="8"/>
      <c r="D456" s="1"/>
      <c r="E456" s="1"/>
      <c r="F456" s="1"/>
    </row>
    <row r="457" spans="1:6" ht="15.75" x14ac:dyDescent="0.25">
      <c r="A457" s="1"/>
      <c r="B457" s="1"/>
      <c r="C457" s="8"/>
      <c r="D457" s="1"/>
      <c r="E457" s="1"/>
      <c r="F457" s="1"/>
    </row>
    <row r="458" spans="1:6" ht="15.75" x14ac:dyDescent="0.25">
      <c r="A458" s="1"/>
      <c r="B458" s="1"/>
      <c r="C458" s="8"/>
      <c r="D458" s="1"/>
      <c r="E458" s="1"/>
      <c r="F458" s="1"/>
    </row>
    <row r="459" spans="1:6" ht="15.75" x14ac:dyDescent="0.25">
      <c r="A459" s="1"/>
      <c r="B459" s="1"/>
      <c r="C459" s="8"/>
      <c r="D459" s="1"/>
      <c r="E459" s="1"/>
      <c r="F459" s="1"/>
    </row>
    <row r="460" spans="1:6" ht="15.75" x14ac:dyDescent="0.25">
      <c r="A460" s="1"/>
      <c r="B460" s="1"/>
      <c r="C460" s="8"/>
      <c r="D460" s="1"/>
      <c r="E460" s="1"/>
      <c r="F460" s="1"/>
    </row>
    <row r="461" spans="1:6" ht="15.75" x14ac:dyDescent="0.25">
      <c r="A461" s="1"/>
      <c r="B461" s="1"/>
      <c r="C461" s="8"/>
      <c r="D461" s="1"/>
      <c r="E461" s="1"/>
      <c r="F461" s="1"/>
    </row>
    <row r="462" spans="1:6" ht="15.75" x14ac:dyDescent="0.25">
      <c r="A462" s="1"/>
      <c r="B462" s="1"/>
      <c r="C462" s="8"/>
      <c r="D462" s="1"/>
      <c r="E462" s="1"/>
      <c r="F462" s="1"/>
    </row>
    <row r="463" spans="1:6" ht="15.75" x14ac:dyDescent="0.25">
      <c r="A463" s="1"/>
      <c r="B463" s="1"/>
      <c r="C463" s="8"/>
      <c r="D463" s="1"/>
      <c r="E463" s="1"/>
      <c r="F463" s="1"/>
    </row>
    <row r="464" spans="1:6" ht="15.75" x14ac:dyDescent="0.25">
      <c r="A464" s="1"/>
      <c r="B464" s="1"/>
      <c r="C464" s="8"/>
      <c r="D464" s="1"/>
      <c r="E464" s="1"/>
      <c r="F464" s="1"/>
    </row>
    <row r="465" spans="1:6" ht="15.75" x14ac:dyDescent="0.25">
      <c r="A465" s="1"/>
      <c r="B465" s="1"/>
      <c r="C465" s="8"/>
      <c r="D465" s="1"/>
      <c r="E465" s="1"/>
      <c r="F465" s="1"/>
    </row>
    <row r="466" spans="1:6" ht="15.75" x14ac:dyDescent="0.25">
      <c r="A466" s="1"/>
      <c r="B466" s="1"/>
      <c r="C466" s="8"/>
      <c r="D466" s="1"/>
      <c r="E466" s="1"/>
      <c r="F466" s="1"/>
    </row>
    <row r="467" spans="1:6" ht="15.75" x14ac:dyDescent="0.25">
      <c r="A467" s="1"/>
      <c r="B467" s="1"/>
      <c r="C467" s="8"/>
      <c r="D467" s="1"/>
      <c r="E467" s="1"/>
      <c r="F467" s="1"/>
    </row>
    <row r="468" spans="1:6" ht="15.75" x14ac:dyDescent="0.25">
      <c r="A468" s="1"/>
      <c r="B468" s="1"/>
      <c r="C468" s="8"/>
      <c r="D468" s="1"/>
      <c r="E468" s="1"/>
      <c r="F468" s="1"/>
    </row>
    <row r="469" spans="1:6" ht="15.75" x14ac:dyDescent="0.25">
      <c r="A469" s="1"/>
      <c r="B469" s="1"/>
      <c r="C469" s="8"/>
      <c r="D469" s="1"/>
      <c r="E469" s="1"/>
      <c r="F469" s="1"/>
    </row>
    <row r="470" spans="1:6" ht="15.75" x14ac:dyDescent="0.25">
      <c r="A470" s="1"/>
      <c r="B470" s="1"/>
      <c r="C470" s="8"/>
      <c r="D470" s="1"/>
      <c r="E470" s="1"/>
      <c r="F470" s="1"/>
    </row>
    <row r="471" spans="1:6" ht="15.75" x14ac:dyDescent="0.25">
      <c r="A471" s="1"/>
      <c r="B471" s="1"/>
      <c r="C471" s="8"/>
      <c r="D471" s="1"/>
      <c r="E471" s="1"/>
      <c r="F471" s="1"/>
    </row>
    <row r="472" spans="1:6" ht="15.75" x14ac:dyDescent="0.25">
      <c r="A472" s="1"/>
      <c r="B472" s="1"/>
      <c r="C472" s="8"/>
      <c r="D472" s="1"/>
      <c r="E472" s="1"/>
      <c r="F472" s="1"/>
    </row>
    <row r="473" spans="1:6" ht="15.75" x14ac:dyDescent="0.25">
      <c r="A473" s="1"/>
      <c r="B473" s="1"/>
      <c r="C473" s="8"/>
      <c r="D473" s="1"/>
      <c r="E473" s="1"/>
      <c r="F473" s="1"/>
    </row>
    <row r="474" spans="1:6" ht="15.75" x14ac:dyDescent="0.25">
      <c r="A474" s="1"/>
      <c r="B474" s="1"/>
      <c r="C474" s="8"/>
      <c r="D474" s="1"/>
      <c r="E474" s="1"/>
      <c r="F474" s="1"/>
    </row>
    <row r="475" spans="1:6" ht="15.75" x14ac:dyDescent="0.25">
      <c r="A475" s="1"/>
      <c r="B475" s="1"/>
      <c r="C475" s="8"/>
      <c r="D475" s="1"/>
      <c r="E475" s="1"/>
      <c r="F475" s="1"/>
    </row>
    <row r="476" spans="1:6" ht="15.75" x14ac:dyDescent="0.25">
      <c r="A476" s="1"/>
      <c r="B476" s="1"/>
      <c r="C476" s="8"/>
      <c r="D476" s="1"/>
      <c r="E476" s="1"/>
      <c r="F476" s="1"/>
    </row>
    <row r="477" spans="1:6" ht="15.75" x14ac:dyDescent="0.25">
      <c r="A477" s="1"/>
      <c r="B477" s="1"/>
      <c r="C477" s="8"/>
      <c r="D477" s="1"/>
      <c r="E477" s="1"/>
      <c r="F477" s="1"/>
    </row>
    <row r="478" spans="1:6" ht="15.75" x14ac:dyDescent="0.25">
      <c r="A478" s="1"/>
      <c r="B478" s="1"/>
      <c r="C478" s="8"/>
      <c r="D478" s="1"/>
      <c r="E478" s="1"/>
      <c r="F478" s="1"/>
    </row>
    <row r="479" spans="1:6" ht="15.75" x14ac:dyDescent="0.25">
      <c r="A479" s="1"/>
      <c r="B479" s="1"/>
      <c r="C479" s="8"/>
      <c r="D479" s="1"/>
      <c r="E479" s="1"/>
      <c r="F479" s="1"/>
    </row>
    <row r="480" spans="1:6" ht="15.75" x14ac:dyDescent="0.25">
      <c r="A480" s="1"/>
      <c r="B480" s="1"/>
      <c r="C480" s="8"/>
      <c r="D480" s="1"/>
      <c r="E480" s="1"/>
      <c r="F480" s="1"/>
    </row>
    <row r="481" spans="1:6" ht="15.75" x14ac:dyDescent="0.25">
      <c r="A481" s="1"/>
      <c r="B481" s="1"/>
      <c r="C481" s="8"/>
      <c r="D481" s="1"/>
      <c r="E481" s="1"/>
      <c r="F481" s="1"/>
    </row>
    <row r="482" spans="1:6" ht="15.75" x14ac:dyDescent="0.25">
      <c r="A482" s="1"/>
      <c r="B482" s="1"/>
      <c r="C482" s="8"/>
      <c r="D482" s="1"/>
      <c r="E482" s="1"/>
      <c r="F482" s="1"/>
    </row>
    <row r="483" spans="1:6" ht="15.75" x14ac:dyDescent="0.25">
      <c r="A483" s="1"/>
      <c r="B483" s="1"/>
      <c r="C483" s="8"/>
      <c r="D483" s="1"/>
      <c r="E483" s="1"/>
      <c r="F483" s="1"/>
    </row>
    <row r="484" spans="1:6" ht="15.75" x14ac:dyDescent="0.25">
      <c r="A484" s="1"/>
      <c r="B484" s="1"/>
      <c r="C484" s="8"/>
      <c r="D484" s="1"/>
      <c r="E484" s="1"/>
      <c r="F484" s="1"/>
    </row>
    <row r="485" spans="1:6" ht="15.75" x14ac:dyDescent="0.25">
      <c r="A485" s="1"/>
      <c r="B485" s="1"/>
      <c r="C485" s="8"/>
      <c r="D485" s="1"/>
      <c r="E485" s="1"/>
      <c r="F485" s="1"/>
    </row>
    <row r="486" spans="1:6" ht="15.75" x14ac:dyDescent="0.25">
      <c r="A486" s="1"/>
      <c r="B486" s="1"/>
      <c r="C486" s="8"/>
      <c r="D486" s="1"/>
      <c r="E486" s="1"/>
      <c r="F486" s="1"/>
    </row>
    <row r="487" spans="1:6" ht="15.75" x14ac:dyDescent="0.25">
      <c r="A487" s="1"/>
      <c r="B487" s="1"/>
      <c r="C487" s="8"/>
      <c r="D487" s="1"/>
      <c r="E487" s="1"/>
      <c r="F487" s="1"/>
    </row>
    <row r="488" spans="1:6" ht="15.75" x14ac:dyDescent="0.25">
      <c r="A488" s="1"/>
      <c r="B488" s="1"/>
      <c r="C488" s="8"/>
      <c r="D488" s="1"/>
      <c r="E488" s="1"/>
      <c r="F488" s="1"/>
    </row>
    <row r="489" spans="1:6" ht="15.75" x14ac:dyDescent="0.25">
      <c r="A489" s="1"/>
      <c r="B489" s="1"/>
      <c r="C489" s="8"/>
      <c r="D489" s="1"/>
      <c r="E489" s="1"/>
      <c r="F489" s="1"/>
    </row>
    <row r="490" spans="1:6" ht="15.75" x14ac:dyDescent="0.25">
      <c r="A490" s="1"/>
      <c r="B490" s="1"/>
      <c r="C490" s="8"/>
      <c r="D490" s="1"/>
      <c r="E490" s="1"/>
      <c r="F490" s="1"/>
    </row>
    <row r="491" spans="1:6" ht="15.75" x14ac:dyDescent="0.25">
      <c r="A491" s="1"/>
      <c r="B491" s="1"/>
      <c r="C491" s="8"/>
      <c r="D491" s="1"/>
      <c r="E491" s="1"/>
      <c r="F491" s="1"/>
    </row>
    <row r="492" spans="1:6" ht="15.75" x14ac:dyDescent="0.25">
      <c r="A492" s="1"/>
      <c r="B492" s="1"/>
      <c r="C492" s="8"/>
      <c r="D492" s="1"/>
      <c r="E492" s="1"/>
      <c r="F492" s="1"/>
    </row>
    <row r="493" spans="1:6" ht="15.75" x14ac:dyDescent="0.25">
      <c r="A493" s="1"/>
      <c r="B493" s="1"/>
      <c r="C493" s="8"/>
      <c r="D493" s="1"/>
      <c r="E493" s="1"/>
      <c r="F493" s="1"/>
    </row>
    <row r="494" spans="1:6" ht="15.75" x14ac:dyDescent="0.25">
      <c r="A494" s="1"/>
      <c r="B494" s="1"/>
      <c r="C494" s="8"/>
      <c r="D494" s="1"/>
      <c r="E494" s="1"/>
      <c r="F494" s="1"/>
    </row>
    <row r="495" spans="1:6" ht="15.75" x14ac:dyDescent="0.25">
      <c r="A495" s="1"/>
      <c r="B495" s="1"/>
      <c r="C495" s="8"/>
      <c r="D495" s="1"/>
      <c r="E495" s="1"/>
      <c r="F495" s="1"/>
    </row>
    <row r="496" spans="1:6" ht="15.75" x14ac:dyDescent="0.25">
      <c r="A496" s="1"/>
      <c r="B496" s="1"/>
      <c r="C496" s="8"/>
      <c r="D496" s="1"/>
      <c r="E496" s="1"/>
      <c r="F496" s="1"/>
    </row>
    <row r="497" spans="1:6" ht="15.75" x14ac:dyDescent="0.25">
      <c r="A497" s="1"/>
      <c r="B497" s="1"/>
      <c r="C497" s="8"/>
      <c r="D497" s="1"/>
      <c r="E497" s="1"/>
      <c r="F497" s="1"/>
    </row>
    <row r="498" spans="1:6" ht="15.75" x14ac:dyDescent="0.25">
      <c r="A498" s="1"/>
      <c r="B498" s="1"/>
      <c r="C498" s="8"/>
      <c r="D498" s="1"/>
      <c r="E498" s="1"/>
      <c r="F498" s="1"/>
    </row>
    <row r="499" spans="1:6" ht="15.75" x14ac:dyDescent="0.25">
      <c r="A499" s="1"/>
      <c r="B499" s="1"/>
      <c r="C499" s="8"/>
      <c r="D499" s="1"/>
      <c r="E499" s="1"/>
      <c r="F499" s="1"/>
    </row>
    <row r="500" spans="1:6" ht="15.75" x14ac:dyDescent="0.25">
      <c r="A500" s="1"/>
      <c r="B500" s="1"/>
      <c r="C500" s="8"/>
      <c r="D500" s="1"/>
      <c r="E500" s="1"/>
      <c r="F500" s="1"/>
    </row>
    <row r="501" spans="1:6" ht="15.75" x14ac:dyDescent="0.25">
      <c r="A501" s="1"/>
      <c r="B501" s="1"/>
      <c r="C501" s="8"/>
      <c r="D501" s="1"/>
      <c r="E501" s="1"/>
      <c r="F501" s="1"/>
    </row>
    <row r="502" spans="1:6" ht="15.75" x14ac:dyDescent="0.25">
      <c r="A502" s="1"/>
      <c r="B502" s="1"/>
      <c r="C502" s="8"/>
      <c r="D502" s="1"/>
      <c r="E502" s="1"/>
      <c r="F502" s="1"/>
    </row>
    <row r="503" spans="1:6" ht="15.75" x14ac:dyDescent="0.25">
      <c r="A503" s="1"/>
      <c r="B503" s="1"/>
      <c r="C503" s="8"/>
      <c r="D503" s="1"/>
      <c r="E503" s="1"/>
      <c r="F503" s="1"/>
    </row>
    <row r="504" spans="1:6" ht="15.75" x14ac:dyDescent="0.25">
      <c r="A504" s="1"/>
      <c r="B504" s="1"/>
      <c r="C504" s="8"/>
      <c r="D504" s="1"/>
      <c r="E504" s="1"/>
      <c r="F504" s="1"/>
    </row>
    <row r="505" spans="1:6" ht="15.75" x14ac:dyDescent="0.25">
      <c r="A505" s="1"/>
      <c r="B505" s="1"/>
      <c r="C505" s="8"/>
      <c r="D505" s="1"/>
      <c r="E505" s="1"/>
      <c r="F505" s="1"/>
    </row>
    <row r="506" spans="1:6" ht="15.75" x14ac:dyDescent="0.25">
      <c r="A506" s="1"/>
      <c r="B506" s="1"/>
      <c r="C506" s="8"/>
      <c r="D506" s="1"/>
      <c r="E506" s="1"/>
      <c r="F506" s="1"/>
    </row>
    <row r="507" spans="1:6" ht="15.75" x14ac:dyDescent="0.25">
      <c r="A507" s="1"/>
      <c r="B507" s="1"/>
      <c r="C507" s="8"/>
      <c r="D507" s="1"/>
      <c r="E507" s="1"/>
      <c r="F507" s="1"/>
    </row>
    <row r="508" spans="1:6" ht="15.75" x14ac:dyDescent="0.25">
      <c r="A508" s="1"/>
      <c r="B508" s="1"/>
      <c r="C508" s="8"/>
      <c r="D508" s="1"/>
      <c r="E508" s="1"/>
      <c r="F508" s="1"/>
    </row>
    <row r="509" spans="1:6" ht="15.75" x14ac:dyDescent="0.25">
      <c r="A509" s="1"/>
      <c r="B509" s="1"/>
      <c r="C509" s="8"/>
      <c r="D509" s="1"/>
      <c r="E509" s="1"/>
      <c r="F509" s="1"/>
    </row>
    <row r="510" spans="1:6" ht="15.75" x14ac:dyDescent="0.25">
      <c r="A510" s="1"/>
      <c r="B510" s="1"/>
      <c r="C510" s="8"/>
      <c r="D510" s="1"/>
      <c r="E510" s="1"/>
      <c r="F510" s="1"/>
    </row>
    <row r="511" spans="1:6" ht="15.75" x14ac:dyDescent="0.25">
      <c r="A511" s="1"/>
      <c r="B511" s="1"/>
      <c r="C511" s="8"/>
      <c r="D511" s="1"/>
      <c r="E511" s="1"/>
      <c r="F511" s="1"/>
    </row>
    <row r="512" spans="1:6" ht="15.75" x14ac:dyDescent="0.25">
      <c r="A512" s="1"/>
      <c r="B512" s="1"/>
      <c r="C512" s="8"/>
      <c r="D512" s="1"/>
      <c r="E512" s="1"/>
      <c r="F512" s="1"/>
    </row>
    <row r="513" spans="1:6" ht="15.75" x14ac:dyDescent="0.25">
      <c r="A513" s="1"/>
      <c r="B513" s="1"/>
      <c r="C513" s="8"/>
      <c r="D513" s="1"/>
      <c r="E513" s="1"/>
      <c r="F513" s="1"/>
    </row>
    <row r="514" spans="1:6" ht="15.75" x14ac:dyDescent="0.25">
      <c r="A514" s="1"/>
      <c r="B514" s="1"/>
      <c r="C514" s="8"/>
      <c r="D514" s="1"/>
      <c r="E514" s="1"/>
      <c r="F514" s="1"/>
    </row>
    <row r="515" spans="1:6" ht="15.75" x14ac:dyDescent="0.25">
      <c r="A515" s="1"/>
      <c r="B515" s="1"/>
      <c r="C515" s="8"/>
      <c r="D515" s="1"/>
      <c r="E515" s="1"/>
      <c r="F515" s="1"/>
    </row>
    <row r="516" spans="1:6" ht="15.75" x14ac:dyDescent="0.25">
      <c r="A516" s="1"/>
      <c r="B516" s="1"/>
      <c r="C516" s="8"/>
      <c r="D516" s="1"/>
      <c r="E516" s="1"/>
      <c r="F516" s="1"/>
    </row>
    <row r="517" spans="1:6" ht="15.75" x14ac:dyDescent="0.25">
      <c r="A517" s="1"/>
      <c r="B517" s="1"/>
      <c r="C517" s="8"/>
      <c r="D517" s="1"/>
      <c r="E517" s="1"/>
      <c r="F517" s="1"/>
    </row>
    <row r="518" spans="1:6" ht="15.75" x14ac:dyDescent="0.25">
      <c r="A518" s="1"/>
      <c r="B518" s="1"/>
      <c r="C518" s="8"/>
      <c r="D518" s="1"/>
      <c r="E518" s="1"/>
      <c r="F518" s="1"/>
    </row>
    <row r="519" spans="1:6" ht="15.75" x14ac:dyDescent="0.25">
      <c r="A519" s="1"/>
      <c r="B519" s="1"/>
      <c r="C519" s="8"/>
      <c r="D519" s="1"/>
      <c r="E519" s="1"/>
      <c r="F519" s="1"/>
    </row>
    <row r="520" spans="1:6" ht="15.75" x14ac:dyDescent="0.25">
      <c r="A520" s="1"/>
      <c r="B520" s="1"/>
      <c r="C520" s="8"/>
      <c r="D520" s="1"/>
      <c r="E520" s="1"/>
      <c r="F520" s="1"/>
    </row>
    <row r="521" spans="1:6" ht="15.75" x14ac:dyDescent="0.25">
      <c r="A521" s="1"/>
      <c r="B521" s="1"/>
      <c r="C521" s="8"/>
      <c r="D521" s="1"/>
      <c r="E521" s="1"/>
      <c r="F521" s="1"/>
    </row>
    <row r="522" spans="1:6" ht="15.75" x14ac:dyDescent="0.25">
      <c r="A522" s="1"/>
      <c r="B522" s="1"/>
      <c r="C522" s="8"/>
      <c r="D522" s="1"/>
      <c r="E522" s="1"/>
      <c r="F522" s="1"/>
    </row>
    <row r="523" spans="1:6" ht="15.75" x14ac:dyDescent="0.25">
      <c r="A523" s="1"/>
      <c r="B523" s="1"/>
      <c r="C523" s="8"/>
      <c r="D523" s="1"/>
      <c r="E523" s="1"/>
      <c r="F523" s="1"/>
    </row>
    <row r="524" spans="1:6" ht="15.75" x14ac:dyDescent="0.25">
      <c r="A524" s="1"/>
      <c r="B524" s="1"/>
      <c r="C524" s="8"/>
      <c r="D524" s="1"/>
      <c r="E524" s="1"/>
      <c r="F524" s="1"/>
    </row>
    <row r="525" spans="1:6" ht="15.75" x14ac:dyDescent="0.25">
      <c r="A525" s="1"/>
      <c r="B525" s="1"/>
      <c r="C525" s="8"/>
      <c r="D525" s="1"/>
      <c r="E525" s="1"/>
      <c r="F525" s="1"/>
    </row>
    <row r="526" spans="1:6" ht="15.75" x14ac:dyDescent="0.25">
      <c r="A526" s="1"/>
      <c r="B526" s="1"/>
      <c r="C526" s="8"/>
      <c r="D526" s="1"/>
      <c r="E526" s="1"/>
      <c r="F526" s="1"/>
    </row>
    <row r="527" spans="1:6" ht="15.75" x14ac:dyDescent="0.25">
      <c r="A527" s="1"/>
      <c r="B527" s="1"/>
      <c r="C527" s="8"/>
      <c r="D527" s="1"/>
      <c r="E527" s="1"/>
      <c r="F527" s="1"/>
    </row>
    <row r="528" spans="1:6" ht="15.75" x14ac:dyDescent="0.25">
      <c r="A528" s="1"/>
      <c r="B528" s="1"/>
      <c r="C528" s="8"/>
      <c r="D528" s="1"/>
      <c r="E528" s="1"/>
      <c r="F528" s="1"/>
    </row>
    <row r="529" spans="1:6" ht="15.75" x14ac:dyDescent="0.25">
      <c r="A529" s="1"/>
      <c r="B529" s="1"/>
      <c r="C529" s="8"/>
      <c r="D529" s="1"/>
      <c r="E529" s="1"/>
      <c r="F529" s="1"/>
    </row>
    <row r="530" spans="1:6" ht="15.75" x14ac:dyDescent="0.25">
      <c r="A530" s="1"/>
      <c r="B530" s="1"/>
      <c r="C530" s="8"/>
      <c r="D530" s="1"/>
      <c r="E530" s="1"/>
      <c r="F530" s="1"/>
    </row>
    <row r="531" spans="1:6" ht="15.75" x14ac:dyDescent="0.25">
      <c r="A531" s="1"/>
      <c r="B531" s="1"/>
      <c r="C531" s="8"/>
      <c r="D531" s="1"/>
      <c r="E531" s="1"/>
      <c r="F531" s="1"/>
    </row>
    <row r="532" spans="1:6" ht="15.75" x14ac:dyDescent="0.25">
      <c r="A532" s="1"/>
      <c r="B532" s="1"/>
      <c r="C532" s="8"/>
      <c r="D532" s="1"/>
      <c r="E532" s="1"/>
      <c r="F532" s="1"/>
    </row>
    <row r="533" spans="1:6" ht="15.75" x14ac:dyDescent="0.25">
      <c r="A533" s="1"/>
      <c r="B533" s="1"/>
      <c r="C533" s="8"/>
      <c r="D533" s="1"/>
      <c r="E533" s="1"/>
      <c r="F533" s="1"/>
    </row>
    <row r="534" spans="1:6" ht="15.75" x14ac:dyDescent="0.25">
      <c r="A534" s="1"/>
      <c r="B534" s="1"/>
      <c r="C534" s="8"/>
      <c r="D534" s="1"/>
      <c r="E534" s="1"/>
      <c r="F534" s="1"/>
    </row>
    <row r="535" spans="1:6" ht="15.75" x14ac:dyDescent="0.25">
      <c r="A535" s="1"/>
      <c r="B535" s="1"/>
      <c r="C535" s="8"/>
      <c r="D535" s="1"/>
      <c r="E535" s="1"/>
      <c r="F535" s="1"/>
    </row>
    <row r="536" spans="1:6" ht="15.75" x14ac:dyDescent="0.25">
      <c r="A536" s="1"/>
      <c r="B536" s="1"/>
      <c r="C536" s="8"/>
      <c r="D536" s="1"/>
      <c r="E536" s="1"/>
      <c r="F536" s="1"/>
    </row>
    <row r="537" spans="1:6" ht="15.75" x14ac:dyDescent="0.25">
      <c r="A537" s="1"/>
      <c r="B537" s="1"/>
      <c r="C537" s="8"/>
      <c r="D537" s="1"/>
      <c r="E537" s="1"/>
      <c r="F537" s="1"/>
    </row>
    <row r="538" spans="1:6" ht="15.75" x14ac:dyDescent="0.25">
      <c r="A538" s="1"/>
      <c r="B538" s="1"/>
      <c r="C538" s="8"/>
      <c r="D538" s="1"/>
      <c r="E538" s="1"/>
      <c r="F538" s="1"/>
    </row>
    <row r="539" spans="1:6" ht="15.75" x14ac:dyDescent="0.25">
      <c r="A539" s="1"/>
      <c r="B539" s="1"/>
      <c r="C539" s="8"/>
      <c r="D539" s="1"/>
      <c r="E539" s="1"/>
      <c r="F539" s="1"/>
    </row>
    <row r="540" spans="1:6" ht="15.75" x14ac:dyDescent="0.25">
      <c r="A540" s="1"/>
      <c r="B540" s="1"/>
      <c r="C540" s="8"/>
      <c r="D540" s="1"/>
      <c r="E540" s="1"/>
      <c r="F540" s="1"/>
    </row>
    <row r="541" spans="1:6" ht="15.75" x14ac:dyDescent="0.25">
      <c r="A541" s="1"/>
      <c r="B541" s="1"/>
      <c r="C541" s="8"/>
      <c r="D541" s="1"/>
      <c r="E541" s="1"/>
      <c r="F541" s="1"/>
    </row>
    <row r="542" spans="1:6" ht="15.75" x14ac:dyDescent="0.25">
      <c r="A542" s="1"/>
      <c r="B542" s="1"/>
      <c r="C542" s="8"/>
      <c r="D542" s="1"/>
      <c r="E542" s="1"/>
      <c r="F542" s="1"/>
    </row>
    <row r="543" spans="1:6" ht="15.75" x14ac:dyDescent="0.25">
      <c r="A543" s="1"/>
      <c r="B543" s="1"/>
      <c r="C543" s="8"/>
      <c r="D543" s="1"/>
      <c r="E543" s="1"/>
      <c r="F543" s="1"/>
    </row>
    <row r="544" spans="1:6" ht="15.75" x14ac:dyDescent="0.25">
      <c r="A544" s="1"/>
      <c r="B544" s="1"/>
      <c r="C544" s="8"/>
      <c r="D544" s="1"/>
      <c r="E544" s="1"/>
      <c r="F544" s="1"/>
    </row>
    <row r="545" spans="1:6" ht="15.75" x14ac:dyDescent="0.25">
      <c r="A545" s="1"/>
      <c r="B545" s="1"/>
      <c r="C545" s="8"/>
      <c r="D545" s="1"/>
      <c r="E545" s="1"/>
      <c r="F545" s="1"/>
    </row>
    <row r="546" spans="1:6" ht="15.75" x14ac:dyDescent="0.25">
      <c r="A546" s="1"/>
      <c r="B546" s="1"/>
      <c r="C546" s="8"/>
      <c r="D546" s="1"/>
      <c r="E546" s="1"/>
      <c r="F546" s="1"/>
    </row>
    <row r="547" spans="1:6" ht="15.75" x14ac:dyDescent="0.25">
      <c r="A547" s="1"/>
      <c r="B547" s="1"/>
      <c r="C547" s="8"/>
      <c r="D547" s="1"/>
      <c r="E547" s="1"/>
      <c r="F547" s="1"/>
    </row>
    <row r="548" spans="1:6" ht="15.75" x14ac:dyDescent="0.25">
      <c r="A548" s="1"/>
      <c r="B548" s="1"/>
      <c r="C548" s="8"/>
      <c r="D548" s="1"/>
      <c r="E548" s="1"/>
      <c r="F548" s="1"/>
    </row>
    <row r="549" spans="1:6" ht="15.75" x14ac:dyDescent="0.25">
      <c r="A549" s="1"/>
      <c r="B549" s="1"/>
      <c r="C549" s="8"/>
      <c r="D549" s="1"/>
      <c r="E549" s="1"/>
      <c r="F549" s="1"/>
    </row>
    <row r="550" spans="1:6" ht="15.75" x14ac:dyDescent="0.25">
      <c r="A550" s="1"/>
      <c r="B550" s="1"/>
      <c r="C550" s="8"/>
      <c r="D550" s="1"/>
      <c r="E550" s="1"/>
      <c r="F550" s="1"/>
    </row>
    <row r="551" spans="1:6" ht="15.75" x14ac:dyDescent="0.25">
      <c r="A551" s="1"/>
      <c r="B551" s="1"/>
      <c r="C551" s="8"/>
      <c r="D551" s="1"/>
      <c r="E551" s="1"/>
      <c r="F551" s="1"/>
    </row>
    <row r="552" spans="1:6" ht="15.75" x14ac:dyDescent="0.25">
      <c r="A552" s="1"/>
      <c r="B552" s="1"/>
      <c r="C552" s="8"/>
      <c r="D552" s="1"/>
      <c r="E552" s="1"/>
      <c r="F552" s="1"/>
    </row>
    <row r="553" spans="1:6" ht="15.75" x14ac:dyDescent="0.25">
      <c r="A553" s="1"/>
      <c r="B553" s="1"/>
      <c r="C553" s="8"/>
      <c r="D553" s="1"/>
      <c r="E553" s="1"/>
      <c r="F553" s="1"/>
    </row>
    <row r="554" spans="1:6" ht="15.75" x14ac:dyDescent="0.25">
      <c r="A554" s="1"/>
      <c r="B554" s="1"/>
      <c r="C554" s="8"/>
      <c r="D554" s="1"/>
      <c r="E554" s="1"/>
      <c r="F554" s="1"/>
    </row>
    <row r="555" spans="1:6" ht="15.75" x14ac:dyDescent="0.25">
      <c r="A555" s="1"/>
      <c r="B555" s="1"/>
      <c r="C555" s="8"/>
      <c r="D555" s="1"/>
      <c r="E555" s="1"/>
      <c r="F555" s="1"/>
    </row>
    <row r="556" spans="1:6" ht="15.75" x14ac:dyDescent="0.25">
      <c r="A556" s="1"/>
      <c r="B556" s="1"/>
      <c r="C556" s="8"/>
      <c r="D556" s="1"/>
      <c r="E556" s="1"/>
      <c r="F556" s="1"/>
    </row>
    <row r="557" spans="1:6" ht="15.75" x14ac:dyDescent="0.25">
      <c r="A557" s="1"/>
      <c r="B557" s="1"/>
      <c r="C557" s="8"/>
      <c r="D557" s="1"/>
      <c r="E557" s="1"/>
      <c r="F557" s="1"/>
    </row>
    <row r="558" spans="1:6" ht="15.75" x14ac:dyDescent="0.25">
      <c r="A558" s="1"/>
      <c r="B558" s="1"/>
      <c r="C558" s="8"/>
      <c r="D558" s="1"/>
      <c r="E558" s="1"/>
      <c r="F558" s="1"/>
    </row>
    <row r="559" spans="1:6" ht="15.75" x14ac:dyDescent="0.25">
      <c r="A559" s="1"/>
      <c r="B559" s="1"/>
      <c r="C559" s="8"/>
      <c r="D559" s="1"/>
      <c r="E559" s="1"/>
      <c r="F559" s="1"/>
    </row>
    <row r="560" spans="1:6" ht="15.75" x14ac:dyDescent="0.25">
      <c r="A560" s="1"/>
      <c r="B560" s="1"/>
      <c r="C560" s="8"/>
      <c r="D560" s="1"/>
      <c r="E560" s="1"/>
      <c r="F560" s="1"/>
    </row>
    <row r="561" spans="1:6" ht="15.75" x14ac:dyDescent="0.25">
      <c r="A561" s="1"/>
      <c r="B561" s="1"/>
      <c r="C561" s="8"/>
      <c r="D561" s="1"/>
      <c r="E561" s="1"/>
      <c r="F561" s="1"/>
    </row>
    <row r="562" spans="1:6" ht="15.75" x14ac:dyDescent="0.25">
      <c r="A562" s="1"/>
      <c r="B562" s="1"/>
      <c r="C562" s="8"/>
      <c r="D562" s="1"/>
      <c r="E562" s="1"/>
      <c r="F562" s="1"/>
    </row>
    <row r="563" spans="1:6" ht="15.75" x14ac:dyDescent="0.25">
      <c r="A563" s="1"/>
      <c r="B563" s="1"/>
      <c r="C563" s="8"/>
      <c r="D563" s="1"/>
      <c r="E563" s="1"/>
      <c r="F563" s="1"/>
    </row>
    <row r="564" spans="1:6" ht="15.75" x14ac:dyDescent="0.25">
      <c r="A564" s="1"/>
      <c r="B564" s="1"/>
      <c r="C564" s="8"/>
      <c r="D564" s="1"/>
      <c r="E564" s="1"/>
      <c r="F564" s="1"/>
    </row>
    <row r="565" spans="1:6" ht="15.75" x14ac:dyDescent="0.25">
      <c r="A565" s="1"/>
      <c r="B565" s="1"/>
      <c r="C565" s="8"/>
      <c r="D565" s="1"/>
      <c r="E565" s="1"/>
      <c r="F565" s="1"/>
    </row>
    <row r="566" spans="1:6" ht="15.75" x14ac:dyDescent="0.25">
      <c r="A566" s="1"/>
      <c r="B566" s="1"/>
      <c r="C566" s="8"/>
      <c r="D566" s="1"/>
      <c r="E566" s="1"/>
      <c r="F566" s="1"/>
    </row>
    <row r="567" spans="1:6" ht="15.75" x14ac:dyDescent="0.25">
      <c r="A567" s="1"/>
      <c r="B567" s="1"/>
      <c r="C567" s="8"/>
      <c r="D567" s="1"/>
      <c r="E567" s="1"/>
      <c r="F567" s="1"/>
    </row>
    <row r="568" spans="1:6" ht="15.75" x14ac:dyDescent="0.25">
      <c r="A568" s="1"/>
      <c r="B568" s="1"/>
      <c r="C568" s="8"/>
      <c r="D568" s="1"/>
      <c r="E568" s="1"/>
      <c r="F568" s="1"/>
    </row>
    <row r="569" spans="1:6" ht="15.75" x14ac:dyDescent="0.25">
      <c r="A569" s="1"/>
      <c r="B569" s="1"/>
      <c r="C569" s="8"/>
      <c r="D569" s="1"/>
      <c r="E569" s="1"/>
      <c r="F569" s="1"/>
    </row>
    <row r="570" spans="1:6" ht="15.75" x14ac:dyDescent="0.25">
      <c r="A570" s="1"/>
      <c r="B570" s="1"/>
      <c r="C570" s="8"/>
      <c r="D570" s="1"/>
      <c r="E570" s="1"/>
      <c r="F570" s="1"/>
    </row>
    <row r="571" spans="1:6" ht="15.75" x14ac:dyDescent="0.25">
      <c r="A571" s="1"/>
      <c r="B571" s="1"/>
      <c r="C571" s="8"/>
      <c r="D571" s="1"/>
      <c r="E571" s="1"/>
      <c r="F571" s="1"/>
    </row>
    <row r="572" spans="1:6" ht="15.75" x14ac:dyDescent="0.25">
      <c r="A572" s="1"/>
      <c r="B572" s="1"/>
      <c r="C572" s="8"/>
      <c r="D572" s="1"/>
      <c r="E572" s="1"/>
      <c r="F572" s="1"/>
    </row>
    <row r="573" spans="1:6" ht="15.75" x14ac:dyDescent="0.25">
      <c r="A573" s="1"/>
      <c r="B573" s="1"/>
      <c r="C573" s="8"/>
      <c r="D573" s="1"/>
      <c r="E573" s="1"/>
      <c r="F573" s="1"/>
    </row>
    <row r="574" spans="1:6" ht="15.75" x14ac:dyDescent="0.25">
      <c r="A574" s="1"/>
      <c r="B574" s="1"/>
      <c r="C574" s="8"/>
      <c r="D574" s="1"/>
      <c r="E574" s="1"/>
      <c r="F574" s="1"/>
    </row>
    <row r="575" spans="1:6" ht="15.75" x14ac:dyDescent="0.25">
      <c r="A575" s="1"/>
      <c r="B575" s="1"/>
      <c r="C575" s="8"/>
      <c r="D575" s="1"/>
      <c r="E575" s="1"/>
      <c r="F575" s="1"/>
    </row>
    <row r="576" spans="1:6" ht="15.75" x14ac:dyDescent="0.25">
      <c r="A576" s="1"/>
      <c r="B576" s="1"/>
      <c r="C576" s="8"/>
      <c r="D576" s="1"/>
      <c r="E576" s="1"/>
      <c r="F576" s="1"/>
    </row>
    <row r="577" spans="1:6" ht="15.75" x14ac:dyDescent="0.25">
      <c r="A577" s="1"/>
      <c r="B577" s="1"/>
      <c r="C577" s="8"/>
      <c r="D577" s="1"/>
      <c r="E577" s="1"/>
      <c r="F577" s="1"/>
    </row>
    <row r="578" spans="1:6" ht="15.75" x14ac:dyDescent="0.25">
      <c r="A578" s="1"/>
      <c r="B578" s="1"/>
      <c r="C578" s="8"/>
      <c r="D578" s="1"/>
      <c r="E578" s="1"/>
      <c r="F578" s="1"/>
    </row>
    <row r="579" spans="1:6" ht="15.75" x14ac:dyDescent="0.25">
      <c r="A579" s="1"/>
      <c r="B579" s="1"/>
      <c r="C579" s="8"/>
      <c r="D579" s="1"/>
      <c r="E579" s="1"/>
      <c r="F579" s="1"/>
    </row>
    <row r="580" spans="1:6" ht="15.75" x14ac:dyDescent="0.25">
      <c r="A580" s="1"/>
      <c r="B580" s="1"/>
      <c r="C580" s="8"/>
      <c r="D580" s="1"/>
      <c r="E580" s="1"/>
      <c r="F580" s="1"/>
    </row>
    <row r="581" spans="1:6" ht="15.75" x14ac:dyDescent="0.25">
      <c r="A581" s="1"/>
      <c r="B581" s="1"/>
      <c r="C581" s="8"/>
      <c r="D581" s="1"/>
      <c r="E581" s="1"/>
      <c r="F581" s="1"/>
    </row>
    <row r="582" spans="1:6" ht="15.75" x14ac:dyDescent="0.25">
      <c r="A582" s="1"/>
      <c r="B582" s="1"/>
      <c r="C582" s="8"/>
      <c r="D582" s="1"/>
      <c r="E582" s="1"/>
      <c r="F582" s="1"/>
    </row>
    <row r="583" spans="1:6" ht="15.75" x14ac:dyDescent="0.25">
      <c r="A583" s="1"/>
      <c r="B583" s="1"/>
      <c r="C583" s="8"/>
      <c r="D583" s="1"/>
      <c r="E583" s="1"/>
      <c r="F583" s="1"/>
    </row>
    <row r="584" spans="1:6" ht="15.75" x14ac:dyDescent="0.25">
      <c r="A584" s="1"/>
      <c r="B584" s="1"/>
      <c r="C584" s="8"/>
      <c r="D584" s="1"/>
      <c r="E584" s="1"/>
      <c r="F584" s="1"/>
    </row>
    <row r="585" spans="1:6" ht="15.75" x14ac:dyDescent="0.25">
      <c r="A585" s="1"/>
      <c r="B585" s="1"/>
      <c r="C585" s="8"/>
      <c r="D585" s="1"/>
      <c r="E585" s="1"/>
      <c r="F585" s="1"/>
    </row>
    <row r="586" spans="1:6" ht="15.75" x14ac:dyDescent="0.25">
      <c r="A586" s="1"/>
      <c r="B586" s="1"/>
      <c r="C586" s="8"/>
      <c r="D586" s="1"/>
      <c r="E586" s="1"/>
      <c r="F586" s="1"/>
    </row>
    <row r="587" spans="1:6" ht="15.75" x14ac:dyDescent="0.25">
      <c r="A587" s="1"/>
      <c r="B587" s="1"/>
      <c r="C587" s="8"/>
      <c r="D587" s="1"/>
      <c r="E587" s="1"/>
      <c r="F587" s="1"/>
    </row>
    <row r="588" spans="1:6" ht="15.75" x14ac:dyDescent="0.25">
      <c r="A588" s="1"/>
      <c r="B588" s="1"/>
      <c r="C588" s="8"/>
      <c r="D588" s="1"/>
      <c r="E588" s="1"/>
      <c r="F588" s="1"/>
    </row>
    <row r="589" spans="1:6" ht="15.75" x14ac:dyDescent="0.25">
      <c r="A589" s="1"/>
      <c r="B589" s="1"/>
      <c r="C589" s="8"/>
      <c r="D589" s="1"/>
      <c r="E589" s="1"/>
      <c r="F589" s="1"/>
    </row>
    <row r="590" spans="1:6" ht="15.75" x14ac:dyDescent="0.25">
      <c r="A590" s="1"/>
      <c r="B590" s="1"/>
      <c r="C590" s="8"/>
      <c r="D590" s="1"/>
      <c r="E590" s="1"/>
      <c r="F590" s="1"/>
    </row>
    <row r="591" spans="1:6" ht="15.75" x14ac:dyDescent="0.25">
      <c r="A591" s="1"/>
      <c r="B591" s="1"/>
      <c r="C591" s="8"/>
      <c r="D591" s="1"/>
      <c r="E591" s="1"/>
      <c r="F591" s="1"/>
    </row>
    <row r="592" spans="1:6" ht="15.75" x14ac:dyDescent="0.25">
      <c r="A592" s="1"/>
      <c r="B592" s="1"/>
      <c r="C592" s="8"/>
      <c r="D592" s="1"/>
      <c r="E592" s="1"/>
      <c r="F592" s="1"/>
    </row>
    <row r="593" spans="1:6" ht="15.75" x14ac:dyDescent="0.25">
      <c r="A593" s="1"/>
      <c r="B593" s="1"/>
      <c r="C593" s="8"/>
      <c r="D593" s="1"/>
      <c r="E593" s="1"/>
      <c r="F593" s="1"/>
    </row>
    <row r="594" spans="1:6" ht="15.75" x14ac:dyDescent="0.25">
      <c r="A594" s="1"/>
      <c r="B594" s="1"/>
      <c r="C594" s="8"/>
      <c r="D594" s="1"/>
      <c r="E594" s="1"/>
      <c r="F594" s="1"/>
    </row>
    <row r="595" spans="1:6" ht="15.75" x14ac:dyDescent="0.25">
      <c r="A595" s="1"/>
      <c r="B595" s="1"/>
      <c r="C595" s="8"/>
      <c r="D595" s="1"/>
      <c r="E595" s="1"/>
      <c r="F595" s="1"/>
    </row>
    <row r="596" spans="1:6" ht="15.75" x14ac:dyDescent="0.25">
      <c r="A596" s="1"/>
      <c r="B596" s="1"/>
      <c r="C596" s="8"/>
      <c r="D596" s="1"/>
      <c r="E596" s="1"/>
      <c r="F596" s="1"/>
    </row>
    <row r="597" spans="1:6" ht="15.75" x14ac:dyDescent="0.25">
      <c r="A597" s="1"/>
      <c r="B597" s="1"/>
      <c r="C597" s="8"/>
      <c r="D597" s="1"/>
      <c r="E597" s="1"/>
      <c r="F597" s="1"/>
    </row>
    <row r="598" spans="1:6" ht="15.75" x14ac:dyDescent="0.25">
      <c r="A598" s="1"/>
      <c r="B598" s="1"/>
      <c r="C598" s="8"/>
      <c r="D598" s="1"/>
      <c r="E598" s="1"/>
      <c r="F598" s="1"/>
    </row>
    <row r="599" spans="1:6" ht="15.75" x14ac:dyDescent="0.25">
      <c r="A599" s="1"/>
      <c r="B599" s="1"/>
      <c r="C599" s="8"/>
      <c r="D599" s="1"/>
      <c r="E599" s="1"/>
      <c r="F599" s="1"/>
    </row>
    <row r="600" spans="1:6" ht="15.75" x14ac:dyDescent="0.25">
      <c r="A600" s="1"/>
      <c r="B600" s="1"/>
      <c r="C600" s="8"/>
      <c r="D600" s="1"/>
      <c r="E600" s="1"/>
      <c r="F600" s="1"/>
    </row>
    <row r="601" spans="1:6" ht="15.75" x14ac:dyDescent="0.25">
      <c r="A601" s="1"/>
      <c r="B601" s="1"/>
      <c r="C601" s="8"/>
      <c r="D601" s="1"/>
      <c r="E601" s="1"/>
      <c r="F601" s="1"/>
    </row>
    <row r="602" spans="1:6" ht="15.75" x14ac:dyDescent="0.25">
      <c r="A602" s="1"/>
      <c r="B602" s="1"/>
      <c r="C602" s="8"/>
      <c r="D602" s="1"/>
      <c r="E602" s="1"/>
      <c r="F602" s="1"/>
    </row>
    <row r="603" spans="1:6" ht="15.75" x14ac:dyDescent="0.25">
      <c r="A603" s="1"/>
      <c r="B603" s="1"/>
      <c r="C603" s="8"/>
      <c r="D603" s="1"/>
      <c r="E603" s="1"/>
      <c r="F603" s="1"/>
    </row>
    <row r="604" spans="1:6" ht="15.75" x14ac:dyDescent="0.25">
      <c r="A604" s="1"/>
      <c r="B604" s="1"/>
      <c r="C604" s="8"/>
      <c r="D604" s="1"/>
      <c r="E604" s="1"/>
      <c r="F604" s="1"/>
    </row>
    <row r="605" spans="1:6" ht="15.75" x14ac:dyDescent="0.25">
      <c r="A605" s="1"/>
      <c r="B605" s="1"/>
      <c r="C605" s="8"/>
      <c r="D605" s="1"/>
      <c r="E605" s="1"/>
      <c r="F605" s="1"/>
    </row>
    <row r="606" spans="1:6" ht="15.75" x14ac:dyDescent="0.25">
      <c r="A606" s="1"/>
      <c r="B606" s="1"/>
      <c r="C606" s="8"/>
      <c r="D606" s="1"/>
      <c r="E606" s="1"/>
      <c r="F606" s="1"/>
    </row>
    <row r="607" spans="1:6" ht="15.75" x14ac:dyDescent="0.25">
      <c r="A607" s="1"/>
      <c r="B607" s="1"/>
      <c r="C607" s="8"/>
      <c r="D607" s="1"/>
      <c r="E607" s="1"/>
      <c r="F607" s="1"/>
    </row>
    <row r="608" spans="1:6" ht="15.75" x14ac:dyDescent="0.25">
      <c r="A608" s="1"/>
      <c r="B608" s="1"/>
      <c r="C608" s="8"/>
      <c r="D608" s="1"/>
      <c r="E608" s="1"/>
      <c r="F608" s="1"/>
    </row>
    <row r="609" spans="1:6" ht="15.75" x14ac:dyDescent="0.25">
      <c r="A609" s="1"/>
      <c r="B609" s="1"/>
      <c r="C609" s="8"/>
      <c r="D609" s="1"/>
      <c r="E609" s="1"/>
      <c r="F609" s="1"/>
    </row>
    <row r="610" spans="1:6" ht="15.75" x14ac:dyDescent="0.25">
      <c r="A610" s="1"/>
      <c r="B610" s="1"/>
      <c r="C610" s="8"/>
      <c r="D610" s="1"/>
      <c r="E610" s="1"/>
      <c r="F610" s="1"/>
    </row>
    <row r="611" spans="1:6" ht="15.75" x14ac:dyDescent="0.25">
      <c r="A611" s="1"/>
      <c r="B611" s="1"/>
      <c r="C611" s="8"/>
      <c r="D611" s="1"/>
      <c r="E611" s="1"/>
      <c r="F611" s="1"/>
    </row>
    <row r="612" spans="1:6" ht="15.75" x14ac:dyDescent="0.25">
      <c r="A612" s="1"/>
      <c r="B612" s="1"/>
      <c r="C612" s="8"/>
      <c r="D612" s="1"/>
      <c r="E612" s="1"/>
      <c r="F612" s="1"/>
    </row>
    <row r="613" spans="1:6" ht="15.75" x14ac:dyDescent="0.25">
      <c r="A613" s="1"/>
      <c r="B613" s="1"/>
      <c r="C613" s="8"/>
      <c r="D613" s="1"/>
      <c r="E613" s="1"/>
      <c r="F613" s="1"/>
    </row>
    <row r="614" spans="1:6" ht="15.75" x14ac:dyDescent="0.25">
      <c r="A614" s="1"/>
      <c r="B614" s="1"/>
      <c r="C614" s="8"/>
      <c r="D614" s="1"/>
      <c r="E614" s="1"/>
      <c r="F614" s="1"/>
    </row>
    <row r="615" spans="1:6" ht="15.75" x14ac:dyDescent="0.25">
      <c r="A615" s="1"/>
      <c r="B615" s="1"/>
      <c r="C615" s="8"/>
      <c r="D615" s="1"/>
      <c r="E615" s="1"/>
      <c r="F615" s="1"/>
    </row>
    <row r="616" spans="1:6" ht="15.75" x14ac:dyDescent="0.25">
      <c r="A616" s="1"/>
      <c r="B616" s="1"/>
      <c r="C616" s="8"/>
      <c r="D616" s="1"/>
      <c r="E616" s="1"/>
      <c r="F616" s="1"/>
    </row>
    <row r="617" spans="1:6" ht="15.75" x14ac:dyDescent="0.25">
      <c r="A617" s="1"/>
      <c r="B617" s="1"/>
      <c r="C617" s="8"/>
      <c r="D617" s="1"/>
      <c r="E617" s="1"/>
      <c r="F617" s="1"/>
    </row>
    <row r="618" spans="1:6" ht="15.75" x14ac:dyDescent="0.25">
      <c r="A618" s="1"/>
      <c r="B618" s="1"/>
      <c r="C618" s="8"/>
      <c r="D618" s="1"/>
      <c r="E618" s="1"/>
      <c r="F618" s="1"/>
    </row>
    <row r="619" spans="1:6" ht="15.75" x14ac:dyDescent="0.25">
      <c r="A619" s="1"/>
      <c r="B619" s="1"/>
      <c r="C619" s="8"/>
      <c r="D619" s="1"/>
      <c r="E619" s="1"/>
      <c r="F619" s="1"/>
    </row>
    <row r="620" spans="1:6" ht="15.75" x14ac:dyDescent="0.25">
      <c r="A620" s="1"/>
      <c r="B620" s="1"/>
      <c r="C620" s="8"/>
      <c r="D620" s="1"/>
      <c r="E620" s="1"/>
      <c r="F620" s="1"/>
    </row>
    <row r="621" spans="1:6" ht="15.75" x14ac:dyDescent="0.25">
      <c r="A621" s="1"/>
      <c r="B621" s="1"/>
      <c r="C621" s="8"/>
      <c r="D621" s="1"/>
      <c r="E621" s="1"/>
      <c r="F621" s="1"/>
    </row>
    <row r="622" spans="1:6" ht="15.75" x14ac:dyDescent="0.25">
      <c r="A622" s="1"/>
      <c r="B622" s="1"/>
      <c r="C622" s="8"/>
      <c r="D622" s="1"/>
      <c r="E622" s="1"/>
      <c r="F622" s="1"/>
    </row>
    <row r="623" spans="1:6" ht="15.75" x14ac:dyDescent="0.25">
      <c r="A623" s="1"/>
      <c r="B623" s="1"/>
      <c r="C623" s="8"/>
      <c r="D623" s="1"/>
      <c r="E623" s="1"/>
      <c r="F623" s="1"/>
    </row>
    <row r="624" spans="1:6" ht="15.75" x14ac:dyDescent="0.25">
      <c r="A624" s="1"/>
      <c r="B624" s="1"/>
      <c r="C624" s="8"/>
      <c r="D624" s="1"/>
      <c r="E624" s="1"/>
      <c r="F624" s="1"/>
    </row>
    <row r="625" spans="1:6" ht="15.75" x14ac:dyDescent="0.25">
      <c r="A625" s="1"/>
      <c r="B625" s="1"/>
      <c r="C625" s="8"/>
      <c r="D625" s="1"/>
      <c r="E625" s="1"/>
      <c r="F625" s="1"/>
    </row>
    <row r="626" spans="1:6" ht="15.75" x14ac:dyDescent="0.25">
      <c r="A626" s="1"/>
      <c r="B626" s="1"/>
      <c r="C626" s="8"/>
      <c r="D626" s="1"/>
      <c r="E626" s="1"/>
      <c r="F626" s="1"/>
    </row>
    <row r="627" spans="1:6" ht="15.75" x14ac:dyDescent="0.25">
      <c r="A627" s="1"/>
      <c r="B627" s="1"/>
      <c r="C627" s="8"/>
      <c r="D627" s="1"/>
      <c r="E627" s="1"/>
      <c r="F627" s="1"/>
    </row>
    <row r="628" spans="1:6" ht="15.75" x14ac:dyDescent="0.25">
      <c r="A628" s="1"/>
      <c r="B628" s="1"/>
      <c r="C628" s="8"/>
      <c r="D628" s="1"/>
      <c r="E628" s="1"/>
      <c r="F628" s="1"/>
    </row>
    <row r="629" spans="1:6" ht="15.75" x14ac:dyDescent="0.25">
      <c r="A629" s="1"/>
      <c r="B629" s="1"/>
      <c r="C629" s="8"/>
      <c r="D629" s="1"/>
      <c r="E629" s="1"/>
      <c r="F629" s="1"/>
    </row>
    <row r="630" spans="1:6" ht="15.75" x14ac:dyDescent="0.25">
      <c r="A630" s="1"/>
      <c r="B630" s="1"/>
      <c r="C630" s="8"/>
      <c r="D630" s="1"/>
      <c r="E630" s="1"/>
      <c r="F630" s="1"/>
    </row>
    <row r="631" spans="1:6" ht="15.75" x14ac:dyDescent="0.25">
      <c r="A631" s="1"/>
      <c r="B631" s="1"/>
      <c r="C631" s="8"/>
      <c r="D631" s="1"/>
      <c r="E631" s="1"/>
      <c r="F631" s="1"/>
    </row>
    <row r="632" spans="1:6" ht="15.75" x14ac:dyDescent="0.25">
      <c r="A632" s="1"/>
      <c r="B632" s="1"/>
      <c r="C632" s="8"/>
      <c r="D632" s="1"/>
      <c r="E632" s="1"/>
      <c r="F632" s="1"/>
    </row>
    <row r="633" spans="1:6" ht="15.75" x14ac:dyDescent="0.25">
      <c r="A633" s="1"/>
      <c r="B633" s="1"/>
      <c r="C633" s="8"/>
      <c r="D633" s="1"/>
      <c r="E633" s="1"/>
      <c r="F633" s="1"/>
    </row>
    <row r="634" spans="1:6" ht="15.75" x14ac:dyDescent="0.25">
      <c r="A634" s="1"/>
      <c r="B634" s="1"/>
      <c r="C634" s="8"/>
      <c r="D634" s="1"/>
      <c r="E634" s="1"/>
      <c r="F634" s="1"/>
    </row>
    <row r="635" spans="1:6" ht="15.75" x14ac:dyDescent="0.25">
      <c r="A635" s="1"/>
      <c r="B635" s="1"/>
      <c r="C635" s="8"/>
      <c r="D635" s="1"/>
      <c r="E635" s="1"/>
      <c r="F635" s="1"/>
    </row>
    <row r="636" spans="1:6" ht="15.75" x14ac:dyDescent="0.25">
      <c r="A636" s="1"/>
      <c r="B636" s="1"/>
      <c r="C636" s="8"/>
      <c r="D636" s="1"/>
      <c r="E636" s="1"/>
      <c r="F636" s="1"/>
    </row>
    <row r="637" spans="1:6" ht="15.75" x14ac:dyDescent="0.25">
      <c r="A637" s="1"/>
      <c r="B637" s="1"/>
      <c r="C637" s="8"/>
      <c r="D637" s="1"/>
      <c r="E637" s="1"/>
      <c r="F637" s="1"/>
    </row>
    <row r="638" spans="1:6" ht="15.75" x14ac:dyDescent="0.25">
      <c r="A638" s="1"/>
      <c r="B638" s="1"/>
      <c r="C638" s="8"/>
      <c r="D638" s="1"/>
      <c r="E638" s="1"/>
      <c r="F638" s="1"/>
    </row>
    <row r="639" spans="1:6" ht="15.75" x14ac:dyDescent="0.25">
      <c r="A639" s="1"/>
      <c r="B639" s="1"/>
      <c r="C639" s="8"/>
      <c r="D639" s="1"/>
      <c r="E639" s="1"/>
      <c r="F639" s="1"/>
    </row>
    <row r="640" spans="1:6" ht="15.75" x14ac:dyDescent="0.25">
      <c r="A640" s="1"/>
      <c r="B640" s="1"/>
      <c r="C640" s="8"/>
      <c r="D640" s="1"/>
      <c r="E640" s="1"/>
      <c r="F640" s="1"/>
    </row>
    <row r="641" spans="1:6" ht="15.75" x14ac:dyDescent="0.25">
      <c r="A641" s="1"/>
      <c r="B641" s="1"/>
      <c r="C641" s="8"/>
      <c r="D641" s="1"/>
      <c r="E641" s="1"/>
      <c r="F641" s="1"/>
    </row>
    <row r="642" spans="1:6" ht="15.75" x14ac:dyDescent="0.25">
      <c r="A642" s="1"/>
      <c r="B642" s="1"/>
      <c r="C642" s="8"/>
      <c r="D642" s="1"/>
      <c r="E642" s="1"/>
      <c r="F642" s="1"/>
    </row>
    <row r="643" spans="1:6" ht="15.75" x14ac:dyDescent="0.25">
      <c r="A643" s="1"/>
      <c r="B643" s="1"/>
      <c r="C643" s="8"/>
      <c r="D643" s="1"/>
      <c r="E643" s="1"/>
      <c r="F643" s="1"/>
    </row>
    <row r="644" spans="1:6" ht="15.75" x14ac:dyDescent="0.25">
      <c r="A644" s="1"/>
      <c r="B644" s="1"/>
      <c r="C644" s="8"/>
      <c r="D644" s="1"/>
      <c r="E644" s="1"/>
      <c r="F644" s="1"/>
    </row>
    <row r="645" spans="1:6" ht="15.75" x14ac:dyDescent="0.25">
      <c r="A645" s="1"/>
      <c r="B645" s="1"/>
      <c r="C645" s="8"/>
      <c r="D645" s="1"/>
      <c r="E645" s="1"/>
      <c r="F645" s="1"/>
    </row>
    <row r="646" spans="1:6" ht="15.75" x14ac:dyDescent="0.25">
      <c r="A646" s="1"/>
      <c r="B646" s="1"/>
      <c r="C646" s="8"/>
      <c r="D646" s="1"/>
      <c r="E646" s="1"/>
      <c r="F646" s="1"/>
    </row>
    <row r="647" spans="1:6" ht="15.75" x14ac:dyDescent="0.25">
      <c r="A647" s="1"/>
      <c r="B647" s="1"/>
      <c r="C647" s="8"/>
      <c r="D647" s="1"/>
      <c r="E647" s="1"/>
      <c r="F647" s="1"/>
    </row>
    <row r="648" spans="1:6" ht="15.75" x14ac:dyDescent="0.25">
      <c r="A648" s="1"/>
      <c r="B648" s="1"/>
      <c r="C648" s="8"/>
      <c r="D648" s="1"/>
      <c r="E648" s="1"/>
      <c r="F648" s="1"/>
    </row>
    <row r="649" spans="1:6" ht="15.75" x14ac:dyDescent="0.25">
      <c r="A649" s="1"/>
      <c r="B649" s="1"/>
      <c r="C649" s="8"/>
      <c r="D649" s="1"/>
      <c r="E649" s="1"/>
      <c r="F649" s="1"/>
    </row>
    <row r="650" spans="1:6" ht="15.75" x14ac:dyDescent="0.25">
      <c r="A650" s="1"/>
      <c r="B650" s="1"/>
      <c r="C650" s="8"/>
      <c r="D650" s="1"/>
      <c r="E650" s="1"/>
      <c r="F650" s="1"/>
    </row>
    <row r="651" spans="1:6" ht="15.75" x14ac:dyDescent="0.25">
      <c r="A651" s="1"/>
      <c r="B651" s="1"/>
      <c r="C651" s="8"/>
      <c r="D651" s="1"/>
      <c r="E651" s="1"/>
      <c r="F651" s="1"/>
    </row>
    <row r="652" spans="1:6" ht="15.75" x14ac:dyDescent="0.25">
      <c r="A652" s="1"/>
      <c r="B652" s="1"/>
      <c r="C652" s="8"/>
      <c r="D652" s="1"/>
      <c r="E652" s="1"/>
      <c r="F652" s="1"/>
    </row>
    <row r="653" spans="1:6" ht="15.75" x14ac:dyDescent="0.25">
      <c r="A653" s="1"/>
      <c r="B653" s="1"/>
      <c r="C653" s="8"/>
      <c r="D653" s="1"/>
      <c r="E653" s="1"/>
      <c r="F653" s="1"/>
    </row>
    <row r="654" spans="1:6" ht="15.75" x14ac:dyDescent="0.25">
      <c r="A654" s="1"/>
      <c r="B654" s="1"/>
      <c r="C654" s="8"/>
      <c r="D654" s="1"/>
      <c r="E654" s="1"/>
      <c r="F654" s="1"/>
    </row>
    <row r="655" spans="1:6" ht="15.75" x14ac:dyDescent="0.25">
      <c r="A655" s="1"/>
      <c r="B655" s="1"/>
      <c r="C655" s="8"/>
      <c r="D655" s="1"/>
      <c r="E655" s="1"/>
      <c r="F655" s="1"/>
    </row>
    <row r="656" spans="1:6" ht="15.75" x14ac:dyDescent="0.25">
      <c r="A656" s="1"/>
      <c r="B656" s="1"/>
      <c r="C656" s="8"/>
      <c r="D656" s="1"/>
      <c r="E656" s="1"/>
      <c r="F656" s="1"/>
    </row>
    <row r="657" spans="1:6" ht="15.75" x14ac:dyDescent="0.25">
      <c r="A657" s="1"/>
      <c r="B657" s="1"/>
      <c r="C657" s="8"/>
      <c r="D657" s="1"/>
      <c r="E657" s="1"/>
      <c r="F657" s="1"/>
    </row>
    <row r="658" spans="1:6" ht="15.75" x14ac:dyDescent="0.25">
      <c r="A658" s="1"/>
      <c r="B658" s="1"/>
      <c r="C658" s="8"/>
      <c r="D658" s="1"/>
      <c r="E658" s="1"/>
      <c r="F658" s="1"/>
    </row>
    <row r="659" spans="1:6" ht="15.75" x14ac:dyDescent="0.25">
      <c r="A659" s="1"/>
      <c r="B659" s="1"/>
      <c r="C659" s="8"/>
      <c r="D659" s="1"/>
      <c r="E659" s="1"/>
      <c r="F659" s="1"/>
    </row>
    <row r="660" spans="1:6" ht="15.75" x14ac:dyDescent="0.25">
      <c r="A660" s="1"/>
      <c r="B660" s="1"/>
      <c r="C660" s="8"/>
      <c r="D660" s="1"/>
      <c r="E660" s="1"/>
      <c r="F660" s="1"/>
    </row>
    <row r="661" spans="1:6" ht="15.75" x14ac:dyDescent="0.25">
      <c r="A661" s="1"/>
      <c r="B661" s="1"/>
      <c r="C661" s="8"/>
      <c r="D661" s="1"/>
      <c r="E661" s="1"/>
      <c r="F661" s="1"/>
    </row>
    <row r="662" spans="1:6" ht="15.75" x14ac:dyDescent="0.25">
      <c r="A662" s="1"/>
      <c r="B662" s="1"/>
      <c r="C662" s="8"/>
      <c r="D662" s="1"/>
      <c r="E662" s="1"/>
      <c r="F662" s="1"/>
    </row>
    <row r="663" spans="1:6" ht="15.75" x14ac:dyDescent="0.25">
      <c r="A663" s="1"/>
      <c r="B663" s="1"/>
      <c r="C663" s="8"/>
      <c r="D663" s="1"/>
      <c r="E663" s="1"/>
      <c r="F663" s="1"/>
    </row>
    <row r="664" spans="1:6" ht="15.75" x14ac:dyDescent="0.25">
      <c r="A664" s="1"/>
      <c r="B664" s="1"/>
      <c r="C664" s="8"/>
      <c r="D664" s="1"/>
      <c r="E664" s="1"/>
      <c r="F664" s="1"/>
    </row>
    <row r="665" spans="1:6" ht="15.75" x14ac:dyDescent="0.25">
      <c r="A665" s="1"/>
      <c r="B665" s="1"/>
      <c r="C665" s="8"/>
      <c r="D665" s="1"/>
      <c r="E665" s="1"/>
      <c r="F665" s="1"/>
    </row>
    <row r="666" spans="1:6" ht="15.75" x14ac:dyDescent="0.25">
      <c r="A666" s="1"/>
      <c r="B666" s="1"/>
      <c r="C666" s="8"/>
      <c r="D666" s="1"/>
      <c r="E666" s="1"/>
      <c r="F666" s="1"/>
    </row>
    <row r="667" spans="1:6" ht="15.75" x14ac:dyDescent="0.25">
      <c r="A667" s="1"/>
      <c r="B667" s="1"/>
      <c r="C667" s="8"/>
      <c r="D667" s="1"/>
      <c r="E667" s="1"/>
      <c r="F667" s="1"/>
    </row>
    <row r="668" spans="1:6" ht="15.75" x14ac:dyDescent="0.25">
      <c r="A668" s="1"/>
      <c r="B668" s="1"/>
      <c r="C668" s="8"/>
      <c r="D668" s="1"/>
      <c r="E668" s="1"/>
      <c r="F668" s="1"/>
    </row>
    <row r="669" spans="1:6" ht="15.75" x14ac:dyDescent="0.25">
      <c r="A669" s="1"/>
      <c r="B669" s="1"/>
      <c r="C669" s="8"/>
      <c r="D669" s="1"/>
      <c r="E669" s="1"/>
      <c r="F669" s="1"/>
    </row>
    <row r="670" spans="1:6" ht="15.75" x14ac:dyDescent="0.25">
      <c r="A670" s="1"/>
      <c r="B670" s="1"/>
      <c r="C670" s="8"/>
      <c r="D670" s="1"/>
      <c r="E670" s="1"/>
      <c r="F670" s="1"/>
    </row>
    <row r="671" spans="1:6" ht="15.75" x14ac:dyDescent="0.25">
      <c r="A671" s="1"/>
      <c r="B671" s="1"/>
      <c r="C671" s="8"/>
      <c r="D671" s="1"/>
      <c r="E671" s="1"/>
      <c r="F671" s="1"/>
    </row>
    <row r="672" spans="1:6" ht="15.75" x14ac:dyDescent="0.25">
      <c r="A672" s="1"/>
      <c r="B672" s="1"/>
      <c r="C672" s="8"/>
      <c r="D672" s="1"/>
      <c r="E672" s="1"/>
      <c r="F672" s="1"/>
    </row>
    <row r="673" spans="1:6" ht="15.75" x14ac:dyDescent="0.25">
      <c r="A673" s="1"/>
      <c r="B673" s="1"/>
      <c r="C673" s="8"/>
      <c r="D673" s="1"/>
      <c r="E673" s="1"/>
      <c r="F673" s="1"/>
    </row>
    <row r="674" spans="1:6" ht="15.75" x14ac:dyDescent="0.25">
      <c r="A674" s="1"/>
      <c r="B674" s="1"/>
      <c r="C674" s="8"/>
      <c r="D674" s="1"/>
      <c r="E674" s="1"/>
      <c r="F674" s="1"/>
    </row>
    <row r="675" spans="1:6" ht="15.75" x14ac:dyDescent="0.25">
      <c r="A675" s="1"/>
      <c r="B675" s="1"/>
      <c r="C675" s="8"/>
      <c r="D675" s="1"/>
      <c r="E675" s="1"/>
      <c r="F675" s="1"/>
    </row>
    <row r="676" spans="1:6" ht="15.75" x14ac:dyDescent="0.25">
      <c r="A676" s="1"/>
      <c r="B676" s="1"/>
      <c r="C676" s="8"/>
      <c r="D676" s="1"/>
      <c r="E676" s="1"/>
      <c r="F676" s="1"/>
    </row>
    <row r="677" spans="1:6" ht="15.75" x14ac:dyDescent="0.25">
      <c r="A677" s="1"/>
      <c r="B677" s="1"/>
      <c r="C677" s="8"/>
      <c r="D677" s="1"/>
      <c r="E677" s="1"/>
      <c r="F677" s="1"/>
    </row>
    <row r="678" spans="1:6" ht="15.75" x14ac:dyDescent="0.25">
      <c r="A678" s="1"/>
      <c r="B678" s="1"/>
      <c r="C678" s="8"/>
      <c r="D678" s="1"/>
      <c r="E678" s="1"/>
      <c r="F678" s="1"/>
    </row>
    <row r="679" spans="1:6" ht="15.75" x14ac:dyDescent="0.25">
      <c r="A679" s="1"/>
      <c r="B679" s="1"/>
      <c r="C679" s="8"/>
      <c r="D679" s="1"/>
      <c r="E679" s="1"/>
      <c r="F679" s="1"/>
    </row>
    <row r="680" spans="1:6" ht="15.75" x14ac:dyDescent="0.25">
      <c r="A680" s="1"/>
      <c r="B680" s="1"/>
      <c r="C680" s="8"/>
      <c r="D680" s="1"/>
      <c r="E680" s="1"/>
      <c r="F680" s="1"/>
    </row>
    <row r="681" spans="1:6" ht="15.75" x14ac:dyDescent="0.25">
      <c r="A681" s="1"/>
      <c r="B681" s="1"/>
      <c r="C681" s="8"/>
      <c r="D681" s="1"/>
      <c r="E681" s="1"/>
      <c r="F681" s="1"/>
    </row>
    <row r="682" spans="1:6" ht="15.75" x14ac:dyDescent="0.25">
      <c r="A682" s="1"/>
      <c r="B682" s="1"/>
      <c r="C682" s="8"/>
      <c r="D682" s="1"/>
      <c r="E682" s="1"/>
      <c r="F682" s="1"/>
    </row>
    <row r="683" spans="1:6" ht="15.75" x14ac:dyDescent="0.25">
      <c r="A683" s="1"/>
      <c r="B683" s="1"/>
      <c r="C683" s="8"/>
      <c r="D683" s="1"/>
      <c r="E683" s="1"/>
      <c r="F683" s="1"/>
    </row>
    <row r="684" spans="1:6" ht="15.75" x14ac:dyDescent="0.25">
      <c r="A684" s="1"/>
      <c r="B684" s="1"/>
      <c r="C684" s="8"/>
      <c r="D684" s="1"/>
      <c r="E684" s="1"/>
      <c r="F684" s="1"/>
    </row>
    <row r="685" spans="1:6" ht="15.75" x14ac:dyDescent="0.25">
      <c r="A685" s="1"/>
      <c r="B685" s="1"/>
      <c r="C685" s="8"/>
      <c r="D685" s="1"/>
      <c r="E685" s="1"/>
      <c r="F685" s="1"/>
    </row>
    <row r="686" spans="1:6" ht="15.75" x14ac:dyDescent="0.25">
      <c r="A686" s="1"/>
      <c r="B686" s="1"/>
      <c r="C686" s="8"/>
      <c r="D686" s="1"/>
      <c r="E686" s="1"/>
      <c r="F686" s="1"/>
    </row>
    <row r="687" spans="1:6" ht="15.75" x14ac:dyDescent="0.25">
      <c r="A687" s="1"/>
      <c r="B687" s="1"/>
      <c r="C687" s="8"/>
      <c r="D687" s="1"/>
      <c r="E687" s="1"/>
      <c r="F687" s="1"/>
    </row>
    <row r="688" spans="1:6" ht="15.75" x14ac:dyDescent="0.25">
      <c r="A688" s="1"/>
      <c r="B688" s="1"/>
      <c r="C688" s="8"/>
      <c r="D688" s="1"/>
      <c r="E688" s="1"/>
      <c r="F688" s="1"/>
    </row>
    <row r="689" spans="1:6" ht="15.75" x14ac:dyDescent="0.25">
      <c r="A689" s="1"/>
      <c r="B689" s="1"/>
      <c r="C689" s="8"/>
      <c r="D689" s="1"/>
      <c r="E689" s="1"/>
      <c r="F689" s="1"/>
    </row>
    <row r="690" spans="1:6" ht="15.75" x14ac:dyDescent="0.25">
      <c r="A690" s="1"/>
      <c r="B690" s="1"/>
      <c r="C690" s="8"/>
      <c r="D690" s="1"/>
      <c r="E690" s="1"/>
      <c r="F690" s="1"/>
    </row>
    <row r="691" spans="1:6" ht="15.75" x14ac:dyDescent="0.25">
      <c r="A691" s="1"/>
      <c r="B691" s="1"/>
      <c r="C691" s="8"/>
      <c r="D691" s="1"/>
      <c r="E691" s="1"/>
      <c r="F691" s="1"/>
    </row>
    <row r="692" spans="1:6" ht="15.75" x14ac:dyDescent="0.25">
      <c r="A692" s="1"/>
      <c r="B692" s="1"/>
      <c r="C692" s="8"/>
      <c r="D692" s="1"/>
      <c r="E692" s="1"/>
      <c r="F692" s="1"/>
    </row>
    <row r="693" spans="1:6" ht="15.75" x14ac:dyDescent="0.25">
      <c r="A693" s="1"/>
      <c r="B693" s="1"/>
      <c r="C693" s="8"/>
      <c r="D693" s="1"/>
      <c r="E693" s="1"/>
      <c r="F693" s="1"/>
    </row>
    <row r="694" spans="1:6" ht="15.75" x14ac:dyDescent="0.25">
      <c r="A694" s="1"/>
      <c r="B694" s="1"/>
      <c r="C694" s="8"/>
      <c r="D694" s="1"/>
      <c r="E694" s="1"/>
      <c r="F694" s="1"/>
    </row>
    <row r="695" spans="1:6" ht="15.75" x14ac:dyDescent="0.25">
      <c r="A695" s="1"/>
      <c r="B695" s="1"/>
      <c r="C695" s="8"/>
      <c r="D695" s="1"/>
      <c r="E695" s="1"/>
      <c r="F695" s="1"/>
    </row>
    <row r="696" spans="1:6" ht="15.75" x14ac:dyDescent="0.25">
      <c r="A696" s="1"/>
      <c r="B696" s="1"/>
      <c r="C696" s="8"/>
      <c r="D696" s="1"/>
      <c r="E696" s="1"/>
      <c r="F696" s="1"/>
    </row>
    <row r="697" spans="1:6" ht="15.75" x14ac:dyDescent="0.25">
      <c r="A697" s="1"/>
      <c r="B697" s="1"/>
      <c r="C697" s="8"/>
      <c r="D697" s="1"/>
      <c r="E697" s="1"/>
      <c r="F697" s="1"/>
    </row>
    <row r="698" spans="1:6" ht="15.75" x14ac:dyDescent="0.25">
      <c r="A698" s="1"/>
      <c r="B698" s="1"/>
      <c r="C698" s="8"/>
      <c r="D698" s="1"/>
      <c r="E698" s="1"/>
      <c r="F698" s="1"/>
    </row>
    <row r="699" spans="1:6" ht="15.75" x14ac:dyDescent="0.25">
      <c r="A699" s="1"/>
      <c r="B699" s="1"/>
      <c r="C699" s="8"/>
      <c r="D699" s="1"/>
      <c r="E699" s="1"/>
      <c r="F699" s="1"/>
    </row>
    <row r="700" spans="1:6" ht="15.75" x14ac:dyDescent="0.25">
      <c r="A700" s="1"/>
      <c r="B700" s="1"/>
      <c r="C700" s="8"/>
      <c r="D700" s="1"/>
      <c r="E700" s="1"/>
      <c r="F700" s="1"/>
    </row>
    <row r="701" spans="1:6" ht="15.75" x14ac:dyDescent="0.25">
      <c r="A701" s="1"/>
      <c r="B701" s="1"/>
      <c r="C701" s="8"/>
      <c r="D701" s="1"/>
      <c r="E701" s="1"/>
      <c r="F701" s="1"/>
    </row>
    <row r="702" spans="1:6" ht="15.75" x14ac:dyDescent="0.25">
      <c r="A702" s="1"/>
      <c r="B702" s="1"/>
      <c r="C702" s="8"/>
      <c r="D702" s="1"/>
      <c r="E702" s="1"/>
      <c r="F702" s="1"/>
    </row>
    <row r="703" spans="1:6" ht="15.75" x14ac:dyDescent="0.25">
      <c r="A703" s="1"/>
      <c r="B703" s="1"/>
      <c r="C703" s="8"/>
      <c r="D703" s="1"/>
      <c r="E703" s="1"/>
      <c r="F703" s="1"/>
    </row>
    <row r="704" spans="1:6" ht="15.75" x14ac:dyDescent="0.25">
      <c r="A704" s="1"/>
      <c r="B704" s="1"/>
      <c r="C704" s="8"/>
      <c r="D704" s="1"/>
      <c r="E704" s="1"/>
      <c r="F704" s="1"/>
    </row>
    <row r="705" spans="1:6" ht="15.75" x14ac:dyDescent="0.25">
      <c r="A705" s="1"/>
      <c r="B705" s="1"/>
      <c r="C705" s="8"/>
      <c r="D705" s="1"/>
      <c r="E705" s="1"/>
      <c r="F705" s="1"/>
    </row>
    <row r="706" spans="1:6" ht="15.75" x14ac:dyDescent="0.25">
      <c r="A706" s="1"/>
      <c r="B706" s="1"/>
      <c r="C706" s="8"/>
      <c r="D706" s="1"/>
      <c r="E706" s="1"/>
      <c r="F706" s="1"/>
    </row>
    <row r="707" spans="1:6" ht="15.75" x14ac:dyDescent="0.25">
      <c r="A707" s="1"/>
      <c r="B707" s="1"/>
      <c r="C707" s="8"/>
      <c r="D707" s="1"/>
      <c r="E707" s="1"/>
      <c r="F707" s="1"/>
    </row>
    <row r="708" spans="1:6" ht="15.75" x14ac:dyDescent="0.25">
      <c r="A708" s="1"/>
      <c r="B708" s="1"/>
      <c r="C708" s="8"/>
      <c r="D708" s="1"/>
      <c r="E708" s="1"/>
      <c r="F708" s="1"/>
    </row>
    <row r="709" spans="1:6" ht="15.75" x14ac:dyDescent="0.25">
      <c r="A709" s="1"/>
      <c r="B709" s="1"/>
      <c r="C709" s="8"/>
      <c r="D709" s="1"/>
      <c r="E709" s="1"/>
      <c r="F709" s="1"/>
    </row>
    <row r="710" spans="1:6" ht="15.75" x14ac:dyDescent="0.25">
      <c r="A710" s="1"/>
      <c r="B710" s="1"/>
      <c r="C710" s="8"/>
      <c r="D710" s="1"/>
      <c r="E710" s="1"/>
      <c r="F710" s="1"/>
    </row>
    <row r="711" spans="1:6" ht="15.75" x14ac:dyDescent="0.25">
      <c r="A711" s="1"/>
      <c r="B711" s="1"/>
      <c r="C711" s="8"/>
      <c r="D711" s="1"/>
      <c r="E711" s="1"/>
      <c r="F711" s="1"/>
    </row>
    <row r="712" spans="1:6" ht="15.75" x14ac:dyDescent="0.25">
      <c r="A712" s="1"/>
      <c r="B712" s="1"/>
      <c r="C712" s="8"/>
      <c r="D712" s="1"/>
      <c r="E712" s="1"/>
      <c r="F712" s="1"/>
    </row>
    <row r="713" spans="1:6" ht="15.75" x14ac:dyDescent="0.25">
      <c r="A713" s="1"/>
      <c r="B713" s="1"/>
      <c r="C713" s="8"/>
      <c r="D713" s="1"/>
      <c r="E713" s="1"/>
      <c r="F713" s="1"/>
    </row>
    <row r="714" spans="1:6" ht="15.75" x14ac:dyDescent="0.25">
      <c r="A714" s="1"/>
      <c r="B714" s="1"/>
      <c r="C714" s="8"/>
      <c r="D714" s="1"/>
      <c r="E714" s="1"/>
      <c r="F714" s="1"/>
    </row>
    <row r="715" spans="1:6" ht="15.75" x14ac:dyDescent="0.25">
      <c r="A715" s="1"/>
      <c r="B715" s="1"/>
      <c r="C715" s="8"/>
      <c r="D715" s="1"/>
      <c r="E715" s="1"/>
      <c r="F715" s="1"/>
    </row>
    <row r="716" spans="1:6" ht="15.75" x14ac:dyDescent="0.25">
      <c r="A716" s="1"/>
      <c r="B716" s="1"/>
      <c r="C716" s="8"/>
      <c r="D716" s="1"/>
      <c r="E716" s="1"/>
      <c r="F716" s="1"/>
    </row>
    <row r="717" spans="1:6" ht="15.75" x14ac:dyDescent="0.25">
      <c r="A717" s="1"/>
      <c r="B717" s="1"/>
      <c r="C717" s="8"/>
      <c r="D717" s="1"/>
      <c r="E717" s="1"/>
      <c r="F717" s="1"/>
    </row>
    <row r="718" spans="1:6" ht="15.75" x14ac:dyDescent="0.25">
      <c r="A718" s="1"/>
      <c r="B718" s="1"/>
      <c r="C718" s="8"/>
      <c r="D718" s="1"/>
      <c r="E718" s="1"/>
      <c r="F718" s="1"/>
    </row>
    <row r="719" spans="1:6" ht="15.75" x14ac:dyDescent="0.25">
      <c r="A719" s="1"/>
      <c r="B719" s="1"/>
      <c r="C719" s="8"/>
      <c r="D719" s="1"/>
      <c r="E719" s="1"/>
      <c r="F719" s="1"/>
    </row>
    <row r="720" spans="1:6" ht="15.75" x14ac:dyDescent="0.25">
      <c r="A720" s="1"/>
      <c r="B720" s="1"/>
      <c r="C720" s="8"/>
      <c r="D720" s="1"/>
      <c r="E720" s="1"/>
      <c r="F720" s="1"/>
    </row>
    <row r="721" spans="1:6" ht="15.75" x14ac:dyDescent="0.25">
      <c r="A721" s="1"/>
      <c r="B721" s="1"/>
      <c r="C721" s="8"/>
      <c r="D721" s="1"/>
      <c r="E721" s="1"/>
      <c r="F721" s="1"/>
    </row>
    <row r="722" spans="1:6" ht="15.75" x14ac:dyDescent="0.25">
      <c r="A722" s="1"/>
      <c r="B722" s="1"/>
      <c r="C722" s="8"/>
      <c r="D722" s="1"/>
      <c r="E722" s="1"/>
      <c r="F722" s="1"/>
    </row>
    <row r="723" spans="1:6" ht="15.75" x14ac:dyDescent="0.25">
      <c r="A723" s="1"/>
      <c r="B723" s="1"/>
      <c r="C723" s="8"/>
      <c r="D723" s="1"/>
      <c r="E723" s="1"/>
      <c r="F723" s="1"/>
    </row>
    <row r="724" spans="1:6" ht="15.75" x14ac:dyDescent="0.25">
      <c r="A724" s="1"/>
      <c r="B724" s="1"/>
      <c r="C724" s="8"/>
      <c r="D724" s="1"/>
      <c r="E724" s="1"/>
      <c r="F724" s="1"/>
    </row>
    <row r="725" spans="1:6" ht="15.75" x14ac:dyDescent="0.25">
      <c r="A725" s="1"/>
      <c r="B725" s="1"/>
      <c r="C725" s="8"/>
      <c r="D725" s="1"/>
      <c r="E725" s="1"/>
      <c r="F725" s="1"/>
    </row>
    <row r="726" spans="1:6" ht="15.75" x14ac:dyDescent="0.25">
      <c r="A726" s="1"/>
      <c r="B726" s="1"/>
      <c r="C726" s="8"/>
      <c r="D726" s="1"/>
      <c r="E726" s="1"/>
      <c r="F726" s="1"/>
    </row>
    <row r="727" spans="1:6" ht="15.75" x14ac:dyDescent="0.25">
      <c r="A727" s="1"/>
      <c r="B727" s="1"/>
      <c r="C727" s="8"/>
      <c r="D727" s="1"/>
      <c r="E727" s="1"/>
      <c r="F727" s="1"/>
    </row>
    <row r="728" spans="1:6" ht="15.75" x14ac:dyDescent="0.25">
      <c r="A728" s="1"/>
      <c r="B728" s="1"/>
      <c r="C728" s="8"/>
      <c r="D728" s="1"/>
      <c r="E728" s="1"/>
      <c r="F728" s="1"/>
    </row>
    <row r="729" spans="1:6" ht="15.75" x14ac:dyDescent="0.25">
      <c r="A729" s="1"/>
      <c r="B729" s="1"/>
      <c r="C729" s="8"/>
      <c r="D729" s="1"/>
      <c r="E729" s="1"/>
      <c r="F729" s="1"/>
    </row>
    <row r="730" spans="1:6" ht="15.75" x14ac:dyDescent="0.25">
      <c r="A730" s="1"/>
      <c r="B730" s="1"/>
      <c r="C730" s="8"/>
      <c r="D730" s="1"/>
      <c r="E730" s="1"/>
      <c r="F730" s="1"/>
    </row>
    <row r="731" spans="1:6" ht="15.75" x14ac:dyDescent="0.25">
      <c r="A731" s="1"/>
      <c r="B731" s="1"/>
      <c r="C731" s="8"/>
      <c r="D731" s="1"/>
      <c r="E731" s="1"/>
      <c r="F731" s="1"/>
    </row>
    <row r="732" spans="1:6" ht="15.75" x14ac:dyDescent="0.25">
      <c r="A732" s="1"/>
      <c r="B732" s="1"/>
      <c r="C732" s="8"/>
      <c r="D732" s="1"/>
      <c r="E732" s="1"/>
      <c r="F732" s="1"/>
    </row>
    <row r="733" spans="1:6" ht="15.75" x14ac:dyDescent="0.25">
      <c r="A733" s="1"/>
      <c r="B733" s="1"/>
      <c r="C733" s="8"/>
      <c r="D733" s="1"/>
      <c r="E733" s="1"/>
      <c r="F733" s="1"/>
    </row>
    <row r="734" spans="1:6" ht="15.75" x14ac:dyDescent="0.25">
      <c r="A734" s="1"/>
      <c r="B734" s="1"/>
      <c r="C734" s="8"/>
      <c r="D734" s="1"/>
      <c r="E734" s="1"/>
      <c r="F734" s="1"/>
    </row>
    <row r="735" spans="1:6" ht="15.75" x14ac:dyDescent="0.25">
      <c r="A735" s="1"/>
      <c r="B735" s="1"/>
      <c r="C735" s="8"/>
      <c r="D735" s="1"/>
      <c r="E735" s="1"/>
      <c r="F735" s="1"/>
    </row>
    <row r="736" spans="1:6" ht="15.75" x14ac:dyDescent="0.25">
      <c r="A736" s="1"/>
      <c r="B736" s="1"/>
      <c r="C736" s="8"/>
      <c r="D736" s="1"/>
      <c r="E736" s="1"/>
      <c r="F736" s="1"/>
    </row>
    <row r="737" spans="1:6" ht="15.75" x14ac:dyDescent="0.25">
      <c r="A737" s="1"/>
      <c r="B737" s="1"/>
      <c r="C737" s="8"/>
      <c r="D737" s="1"/>
      <c r="E737" s="1"/>
      <c r="F737" s="1"/>
    </row>
    <row r="738" spans="1:6" ht="15.75" x14ac:dyDescent="0.25">
      <c r="A738" s="1"/>
      <c r="B738" s="1"/>
      <c r="C738" s="8"/>
      <c r="D738" s="1"/>
      <c r="E738" s="1"/>
      <c r="F738" s="1"/>
    </row>
    <row r="739" spans="1:6" ht="15.75" x14ac:dyDescent="0.25">
      <c r="A739" s="1"/>
      <c r="B739" s="1"/>
      <c r="C739" s="8"/>
      <c r="D739" s="1"/>
      <c r="E739" s="1"/>
      <c r="F739" s="1"/>
    </row>
    <row r="740" spans="1:6" ht="15.75" x14ac:dyDescent="0.25">
      <c r="A740" s="1"/>
      <c r="B740" s="1"/>
      <c r="C740" s="8"/>
      <c r="D740" s="1"/>
      <c r="E740" s="1"/>
      <c r="F740" s="1"/>
    </row>
    <row r="741" spans="1:6" ht="15.75" x14ac:dyDescent="0.25">
      <c r="A741" s="1"/>
      <c r="B741" s="1"/>
      <c r="C741" s="8"/>
      <c r="D741" s="1"/>
      <c r="E741" s="1"/>
      <c r="F741" s="1"/>
    </row>
    <row r="742" spans="1:6" ht="15.75" x14ac:dyDescent="0.25">
      <c r="A742" s="1"/>
      <c r="B742" s="1"/>
      <c r="C742" s="8"/>
      <c r="D742" s="1"/>
      <c r="E742" s="1"/>
      <c r="F742" s="1"/>
    </row>
    <row r="743" spans="1:6" ht="15.75" x14ac:dyDescent="0.25">
      <c r="A743" s="1"/>
      <c r="B743" s="1"/>
      <c r="C743" s="8"/>
      <c r="D743" s="1"/>
      <c r="E743" s="1"/>
      <c r="F743" s="1"/>
    </row>
    <row r="744" spans="1:6" ht="15.75" x14ac:dyDescent="0.25">
      <c r="A744" s="1"/>
      <c r="B744" s="1"/>
      <c r="C744" s="8"/>
      <c r="D744" s="1"/>
      <c r="E744" s="1"/>
      <c r="F744" s="1"/>
    </row>
    <row r="745" spans="1:6" ht="15.75" x14ac:dyDescent="0.25">
      <c r="A745" s="1"/>
      <c r="B745" s="1"/>
      <c r="C745" s="8"/>
      <c r="D745" s="1"/>
      <c r="E745" s="1"/>
      <c r="F745" s="1"/>
    </row>
    <row r="746" spans="1:6" ht="15.75" x14ac:dyDescent="0.25">
      <c r="A746" s="1"/>
      <c r="B746" s="1"/>
      <c r="C746" s="8"/>
      <c r="D746" s="1"/>
      <c r="E746" s="1"/>
      <c r="F746" s="1"/>
    </row>
    <row r="747" spans="1:6" ht="15.75" x14ac:dyDescent="0.25">
      <c r="A747" s="1"/>
      <c r="B747" s="1"/>
      <c r="C747" s="8"/>
      <c r="D747" s="1"/>
      <c r="E747" s="1"/>
      <c r="F747" s="1"/>
    </row>
    <row r="748" spans="1:6" ht="15.75" x14ac:dyDescent="0.25">
      <c r="A748" s="1"/>
      <c r="B748" s="1"/>
      <c r="C748" s="8"/>
      <c r="D748" s="1"/>
      <c r="E748" s="1"/>
      <c r="F748" s="1"/>
    </row>
    <row r="749" spans="1:6" ht="15.75" x14ac:dyDescent="0.25">
      <c r="A749" s="1"/>
      <c r="B749" s="1"/>
      <c r="C749" s="8"/>
      <c r="D749" s="1"/>
      <c r="E749" s="1"/>
      <c r="F749" s="1"/>
    </row>
    <row r="750" spans="1:6" ht="15.75" x14ac:dyDescent="0.25">
      <c r="A750" s="1"/>
      <c r="B750" s="1"/>
      <c r="C750" s="8"/>
      <c r="D750" s="1"/>
      <c r="E750" s="1"/>
      <c r="F750" s="1"/>
    </row>
    <row r="751" spans="1:6" ht="15.75" x14ac:dyDescent="0.25">
      <c r="A751" s="1"/>
      <c r="B751" s="1"/>
      <c r="C751" s="8"/>
      <c r="D751" s="1"/>
      <c r="E751" s="1"/>
      <c r="F751" s="1"/>
    </row>
    <row r="752" spans="1:6" ht="15.75" x14ac:dyDescent="0.25">
      <c r="A752" s="1"/>
      <c r="B752" s="1"/>
      <c r="C752" s="8"/>
      <c r="D752" s="1"/>
      <c r="E752" s="1"/>
      <c r="F752" s="1"/>
    </row>
    <row r="753" spans="1:6" ht="15.75" x14ac:dyDescent="0.25">
      <c r="A753" s="1"/>
      <c r="B753" s="1"/>
      <c r="C753" s="8"/>
      <c r="D753" s="1"/>
      <c r="E753" s="1"/>
      <c r="F753" s="1"/>
    </row>
    <row r="754" spans="1:6" ht="15.75" x14ac:dyDescent="0.25">
      <c r="A754" s="1"/>
      <c r="B754" s="1"/>
      <c r="C754" s="8"/>
      <c r="D754" s="1"/>
      <c r="E754" s="1"/>
      <c r="F754" s="1"/>
    </row>
    <row r="755" spans="1:6" ht="15.75" x14ac:dyDescent="0.25">
      <c r="A755" s="1"/>
      <c r="B755" s="1"/>
      <c r="C755" s="8"/>
      <c r="D755" s="1"/>
      <c r="E755" s="1"/>
      <c r="F755" s="1"/>
    </row>
    <row r="756" spans="1:6" ht="15.75" x14ac:dyDescent="0.25">
      <c r="A756" s="1"/>
      <c r="B756" s="1"/>
      <c r="C756" s="8"/>
      <c r="D756" s="1"/>
      <c r="E756" s="1"/>
      <c r="F756" s="1"/>
    </row>
    <row r="757" spans="1:6" ht="15.75" x14ac:dyDescent="0.25">
      <c r="A757" s="1"/>
      <c r="B757" s="1"/>
      <c r="C757" s="8"/>
      <c r="D757" s="1"/>
      <c r="E757" s="1"/>
      <c r="F757" s="1"/>
    </row>
    <row r="758" spans="1:6" ht="15.75" x14ac:dyDescent="0.25">
      <c r="A758" s="1"/>
      <c r="B758" s="1"/>
      <c r="C758" s="8"/>
      <c r="D758" s="1"/>
      <c r="E758" s="1"/>
      <c r="F758" s="1"/>
    </row>
    <row r="759" spans="1:6" ht="15.75" x14ac:dyDescent="0.25">
      <c r="A759" s="1"/>
      <c r="B759" s="1"/>
      <c r="C759" s="8"/>
      <c r="D759" s="1"/>
      <c r="E759" s="1"/>
      <c r="F759" s="1"/>
    </row>
    <row r="760" spans="1:6" ht="15.75" x14ac:dyDescent="0.25">
      <c r="A760" s="1"/>
      <c r="B760" s="1"/>
      <c r="C760" s="8"/>
      <c r="D760" s="1"/>
      <c r="E760" s="1"/>
      <c r="F760" s="1"/>
    </row>
    <row r="761" spans="1:6" ht="15.75" x14ac:dyDescent="0.25">
      <c r="A761" s="1"/>
      <c r="B761" s="1"/>
      <c r="C761" s="8"/>
      <c r="D761" s="1"/>
      <c r="E761" s="1"/>
      <c r="F761" s="1"/>
    </row>
    <row r="762" spans="1:6" ht="15.75" x14ac:dyDescent="0.25">
      <c r="A762" s="1"/>
      <c r="B762" s="1"/>
      <c r="C762" s="8"/>
      <c r="D762" s="1"/>
      <c r="E762" s="1"/>
      <c r="F762" s="1"/>
    </row>
    <row r="763" spans="1:6" ht="15.75" x14ac:dyDescent="0.25">
      <c r="A763" s="1"/>
      <c r="B763" s="1"/>
      <c r="C763" s="8"/>
      <c r="D763" s="1"/>
      <c r="E763" s="1"/>
      <c r="F763" s="1"/>
    </row>
    <row r="764" spans="1:6" ht="15.75" x14ac:dyDescent="0.25">
      <c r="A764" s="1"/>
      <c r="B764" s="1"/>
      <c r="C764" s="8"/>
      <c r="D764" s="1"/>
      <c r="E764" s="1"/>
      <c r="F764" s="1"/>
    </row>
    <row r="765" spans="1:6" ht="15.75" x14ac:dyDescent="0.25">
      <c r="A765" s="1"/>
      <c r="B765" s="1"/>
      <c r="C765" s="8"/>
      <c r="D765" s="1"/>
      <c r="E765" s="1"/>
      <c r="F765" s="1"/>
    </row>
    <row r="766" spans="1:6" ht="15.75" x14ac:dyDescent="0.25">
      <c r="A766" s="1"/>
      <c r="B766" s="1"/>
      <c r="C766" s="8"/>
      <c r="D766" s="1"/>
      <c r="E766" s="1"/>
      <c r="F766" s="1"/>
    </row>
    <row r="767" spans="1:6" ht="15.75" x14ac:dyDescent="0.25">
      <c r="A767" s="1"/>
      <c r="B767" s="1"/>
      <c r="C767" s="8"/>
      <c r="D767" s="1"/>
      <c r="E767" s="1"/>
      <c r="F767" s="1"/>
    </row>
    <row r="768" spans="1:6" ht="15.75" x14ac:dyDescent="0.25">
      <c r="A768" s="1"/>
      <c r="B768" s="1"/>
      <c r="C768" s="8"/>
      <c r="D768" s="1"/>
      <c r="E768" s="1"/>
      <c r="F768" s="1"/>
    </row>
    <row r="769" spans="1:6" ht="15.75" x14ac:dyDescent="0.25">
      <c r="A769" s="1"/>
      <c r="B769" s="1"/>
      <c r="C769" s="8"/>
      <c r="D769" s="1"/>
      <c r="E769" s="1"/>
      <c r="F769" s="1"/>
    </row>
    <row r="770" spans="1:6" ht="15.75" x14ac:dyDescent="0.25">
      <c r="A770" s="1"/>
      <c r="B770" s="1"/>
      <c r="C770" s="8"/>
      <c r="D770" s="1"/>
      <c r="E770" s="1"/>
      <c r="F770" s="1"/>
    </row>
    <row r="771" spans="1:6" ht="15.75" x14ac:dyDescent="0.25">
      <c r="A771" s="1"/>
      <c r="B771" s="1"/>
      <c r="C771" s="8"/>
      <c r="D771" s="1"/>
      <c r="E771" s="1"/>
      <c r="F771" s="1"/>
    </row>
    <row r="772" spans="1:6" ht="15.75" x14ac:dyDescent="0.25">
      <c r="A772" s="1"/>
      <c r="B772" s="1"/>
      <c r="C772" s="8"/>
      <c r="D772" s="1"/>
      <c r="E772" s="1"/>
      <c r="F772" s="1"/>
    </row>
    <row r="773" spans="1:6" ht="15.75" x14ac:dyDescent="0.25">
      <c r="A773" s="1"/>
      <c r="B773" s="1"/>
      <c r="C773" s="8"/>
      <c r="D773" s="1"/>
      <c r="E773" s="1"/>
      <c r="F773" s="1"/>
    </row>
    <row r="774" spans="1:6" ht="15.75" x14ac:dyDescent="0.25">
      <c r="A774" s="1"/>
      <c r="B774" s="1"/>
      <c r="C774" s="8"/>
      <c r="D774" s="1"/>
      <c r="E774" s="1"/>
      <c r="F774" s="1"/>
    </row>
    <row r="775" spans="1:6" ht="15.75" x14ac:dyDescent="0.25">
      <c r="A775" s="1"/>
      <c r="B775" s="1"/>
      <c r="C775" s="8"/>
      <c r="D775" s="1"/>
      <c r="E775" s="1"/>
      <c r="F775" s="1"/>
    </row>
    <row r="776" spans="1:6" ht="15.75" x14ac:dyDescent="0.25">
      <c r="A776" s="1"/>
      <c r="B776" s="1"/>
      <c r="C776" s="8"/>
      <c r="D776" s="1"/>
      <c r="E776" s="1"/>
      <c r="F776" s="1"/>
    </row>
    <row r="777" spans="1:6" ht="15.75" x14ac:dyDescent="0.25">
      <c r="A777" s="1"/>
      <c r="B777" s="1"/>
      <c r="C777" s="8"/>
      <c r="D777" s="1"/>
      <c r="E777" s="1"/>
      <c r="F777" s="1"/>
    </row>
    <row r="778" spans="1:6" ht="15.75" x14ac:dyDescent="0.25">
      <c r="A778" s="1"/>
      <c r="B778" s="1"/>
      <c r="C778" s="8"/>
      <c r="D778" s="1"/>
      <c r="E778" s="1"/>
      <c r="F778" s="1"/>
    </row>
    <row r="779" spans="1:6" ht="15.75" x14ac:dyDescent="0.25">
      <c r="A779" s="1"/>
      <c r="B779" s="1"/>
      <c r="C779" s="8"/>
      <c r="D779" s="1"/>
      <c r="E779" s="1"/>
      <c r="F779" s="1"/>
    </row>
    <row r="780" spans="1:6" ht="15.75" x14ac:dyDescent="0.25">
      <c r="A780" s="1"/>
      <c r="B780" s="1"/>
      <c r="C780" s="8"/>
      <c r="D780" s="1"/>
      <c r="E780" s="1"/>
      <c r="F780" s="1"/>
    </row>
    <row r="781" spans="1:6" ht="15.75" x14ac:dyDescent="0.25">
      <c r="A781" s="1"/>
      <c r="B781" s="1"/>
      <c r="C781" s="8"/>
      <c r="D781" s="1"/>
      <c r="E781" s="1"/>
      <c r="F781" s="1"/>
    </row>
    <row r="782" spans="1:6" ht="15.75" x14ac:dyDescent="0.25">
      <c r="A782" s="1"/>
      <c r="B782" s="1"/>
      <c r="C782" s="8"/>
      <c r="D782" s="1"/>
      <c r="E782" s="1"/>
      <c r="F782" s="1"/>
    </row>
    <row r="783" spans="1:6" ht="15.75" x14ac:dyDescent="0.25">
      <c r="A783" s="1"/>
      <c r="B783" s="1"/>
      <c r="C783" s="8"/>
      <c r="D783" s="1"/>
      <c r="E783" s="1"/>
      <c r="F783" s="1"/>
    </row>
    <row r="784" spans="1:6" ht="15.75" x14ac:dyDescent="0.25">
      <c r="A784" s="1"/>
      <c r="B784" s="1"/>
      <c r="C784" s="8"/>
      <c r="D784" s="1"/>
      <c r="E784" s="1"/>
      <c r="F784" s="1"/>
    </row>
    <row r="785" spans="1:6" ht="15.75" x14ac:dyDescent="0.25">
      <c r="A785" s="1"/>
      <c r="B785" s="1"/>
      <c r="C785" s="8"/>
      <c r="D785" s="1"/>
      <c r="E785" s="1"/>
      <c r="F785" s="1"/>
    </row>
    <row r="786" spans="1:6" ht="15.75" x14ac:dyDescent="0.25">
      <c r="A786" s="1"/>
      <c r="B786" s="1"/>
      <c r="C786" s="8"/>
      <c r="D786" s="1"/>
      <c r="E786" s="1"/>
      <c r="F786" s="1"/>
    </row>
    <row r="787" spans="1:6" ht="15.75" x14ac:dyDescent="0.25">
      <c r="A787" s="1"/>
      <c r="B787" s="1"/>
      <c r="C787" s="8"/>
      <c r="D787" s="1"/>
      <c r="E787" s="1"/>
      <c r="F787" s="1"/>
    </row>
    <row r="788" spans="1:6" ht="15.75" x14ac:dyDescent="0.25">
      <c r="A788" s="1"/>
      <c r="B788" s="1"/>
      <c r="C788" s="8"/>
      <c r="D788" s="1"/>
      <c r="E788" s="1"/>
      <c r="F788" s="1"/>
    </row>
    <row r="789" spans="1:6" ht="15.75" x14ac:dyDescent="0.25">
      <c r="A789" s="1"/>
      <c r="B789" s="1"/>
      <c r="C789" s="8"/>
      <c r="D789" s="1"/>
      <c r="E789" s="1"/>
      <c r="F789" s="1"/>
    </row>
    <row r="790" spans="1:6" ht="15.75" x14ac:dyDescent="0.25">
      <c r="A790" s="1"/>
      <c r="B790" s="1"/>
      <c r="C790" s="8"/>
      <c r="D790" s="1"/>
      <c r="E790" s="1"/>
      <c r="F790" s="1"/>
    </row>
    <row r="791" spans="1:6" ht="15.75" x14ac:dyDescent="0.25">
      <c r="A791" s="1"/>
      <c r="B791" s="1"/>
      <c r="C791" s="8"/>
      <c r="D791" s="1"/>
      <c r="E791" s="1"/>
      <c r="F791" s="1"/>
    </row>
    <row r="792" spans="1:6" ht="15.75" x14ac:dyDescent="0.25">
      <c r="A792" s="1"/>
      <c r="B792" s="1"/>
      <c r="C792" s="8"/>
      <c r="D792" s="1"/>
      <c r="E792" s="1"/>
      <c r="F792" s="1"/>
    </row>
    <row r="793" spans="1:6" ht="15.75" x14ac:dyDescent="0.25">
      <c r="A793" s="1"/>
      <c r="B793" s="1"/>
      <c r="C793" s="8"/>
      <c r="D793" s="1"/>
      <c r="E793" s="1"/>
      <c r="F793" s="1"/>
    </row>
    <row r="794" spans="1:6" ht="15.75" x14ac:dyDescent="0.25">
      <c r="A794" s="1"/>
      <c r="B794" s="1"/>
      <c r="C794" s="8"/>
      <c r="D794" s="1"/>
      <c r="E794" s="1"/>
      <c r="F794" s="1"/>
    </row>
    <row r="795" spans="1:6" ht="15.75" x14ac:dyDescent="0.25">
      <c r="A795" s="1"/>
      <c r="B795" s="1"/>
      <c r="C795" s="8"/>
      <c r="D795" s="1"/>
      <c r="E795" s="1"/>
      <c r="F795" s="1"/>
    </row>
    <row r="796" spans="1:6" ht="15.75" x14ac:dyDescent="0.25">
      <c r="A796" s="1"/>
      <c r="B796" s="1"/>
      <c r="C796" s="8"/>
      <c r="D796" s="1"/>
      <c r="E796" s="1"/>
      <c r="F796" s="1"/>
    </row>
    <row r="797" spans="1:6" ht="15.75" x14ac:dyDescent="0.25">
      <c r="A797" s="1"/>
      <c r="B797" s="1"/>
      <c r="C797" s="8"/>
      <c r="D797" s="1"/>
      <c r="E797" s="1"/>
      <c r="F797" s="1"/>
    </row>
    <row r="798" spans="1:6" ht="15.75" x14ac:dyDescent="0.25">
      <c r="A798" s="1"/>
      <c r="B798" s="1"/>
      <c r="C798" s="8"/>
      <c r="D798" s="1"/>
      <c r="E798" s="1"/>
      <c r="F798" s="1"/>
    </row>
    <row r="799" spans="1:6" ht="15.75" x14ac:dyDescent="0.25">
      <c r="A799" s="1"/>
      <c r="B799" s="1"/>
      <c r="C799" s="8"/>
      <c r="D799" s="1"/>
      <c r="E799" s="1"/>
      <c r="F799" s="1"/>
    </row>
    <row r="800" spans="1:6" ht="15.75" x14ac:dyDescent="0.25">
      <c r="A800" s="1"/>
      <c r="B800" s="1"/>
      <c r="C800" s="8"/>
      <c r="D800" s="1"/>
      <c r="E800" s="1"/>
      <c r="F800" s="1"/>
    </row>
    <row r="801" spans="1:6" ht="15.75" x14ac:dyDescent="0.25">
      <c r="A801" s="1"/>
      <c r="B801" s="1"/>
      <c r="C801" s="8"/>
      <c r="D801" s="1"/>
      <c r="E801" s="1"/>
      <c r="F801" s="1"/>
    </row>
    <row r="802" spans="1:6" ht="15.75" x14ac:dyDescent="0.25">
      <c r="A802" s="1"/>
      <c r="B802" s="1"/>
      <c r="C802" s="8"/>
      <c r="D802" s="1"/>
      <c r="E802" s="1"/>
      <c r="F802" s="1"/>
    </row>
    <row r="803" spans="1:6" ht="15.75" x14ac:dyDescent="0.25">
      <c r="A803" s="1"/>
      <c r="B803" s="1"/>
      <c r="C803" s="8"/>
      <c r="D803" s="1"/>
      <c r="E803" s="1"/>
      <c r="F803" s="1"/>
    </row>
    <row r="804" spans="1:6" ht="15.75" x14ac:dyDescent="0.25">
      <c r="A804" s="1"/>
      <c r="B804" s="1"/>
      <c r="C804" s="8"/>
      <c r="D804" s="1"/>
      <c r="E804" s="1"/>
      <c r="F804" s="1"/>
    </row>
    <row r="805" spans="1:6" ht="15.75" x14ac:dyDescent="0.25">
      <c r="A805" s="1"/>
      <c r="B805" s="1"/>
      <c r="C805" s="8"/>
      <c r="D805" s="1"/>
      <c r="E805" s="1"/>
      <c r="F805" s="1"/>
    </row>
    <row r="806" spans="1:6" ht="15.75" x14ac:dyDescent="0.25">
      <c r="A806" s="1"/>
      <c r="B806" s="1"/>
      <c r="C806" s="8"/>
      <c r="D806" s="1"/>
      <c r="E806" s="1"/>
      <c r="F806" s="1"/>
    </row>
    <row r="807" spans="1:6" ht="15.75" x14ac:dyDescent="0.25">
      <c r="A807" s="1"/>
      <c r="B807" s="1"/>
      <c r="C807" s="8"/>
      <c r="D807" s="1"/>
      <c r="E807" s="1"/>
      <c r="F807" s="1"/>
    </row>
    <row r="808" spans="1:6" ht="15.75" x14ac:dyDescent="0.25">
      <c r="A808" s="1"/>
      <c r="B808" s="1"/>
      <c r="C808" s="8"/>
      <c r="D808" s="1"/>
      <c r="E808" s="1"/>
      <c r="F808" s="1"/>
    </row>
    <row r="809" spans="1:6" ht="15.75" x14ac:dyDescent="0.25">
      <c r="A809" s="1"/>
      <c r="B809" s="1"/>
      <c r="C809" s="8"/>
      <c r="D809" s="1"/>
      <c r="E809" s="1"/>
      <c r="F809" s="1"/>
    </row>
    <row r="810" spans="1:6" ht="15.75" x14ac:dyDescent="0.25">
      <c r="A810" s="1"/>
      <c r="B810" s="1"/>
      <c r="C810" s="8"/>
      <c r="D810" s="1"/>
      <c r="E810" s="1"/>
      <c r="F810" s="1"/>
    </row>
    <row r="811" spans="1:6" ht="15.75" x14ac:dyDescent="0.25">
      <c r="A811" s="1"/>
      <c r="B811" s="1"/>
      <c r="C811" s="8"/>
      <c r="D811" s="1"/>
      <c r="E811" s="1"/>
      <c r="F811" s="1"/>
    </row>
    <row r="812" spans="1:6" ht="15.75" x14ac:dyDescent="0.25">
      <c r="A812" s="1"/>
      <c r="B812" s="1"/>
      <c r="C812" s="8"/>
      <c r="D812" s="1"/>
      <c r="E812" s="1"/>
      <c r="F812" s="1"/>
    </row>
    <row r="813" spans="1:6" ht="15.75" x14ac:dyDescent="0.25">
      <c r="A813" s="1"/>
      <c r="B813" s="1"/>
      <c r="C813" s="8"/>
      <c r="D813" s="1"/>
      <c r="E813" s="1"/>
      <c r="F813" s="1"/>
    </row>
    <row r="814" spans="1:6" ht="15.75" x14ac:dyDescent="0.25">
      <c r="A814" s="1"/>
      <c r="B814" s="1"/>
      <c r="C814" s="8"/>
      <c r="D814" s="1"/>
      <c r="E814" s="1"/>
      <c r="F814" s="1"/>
    </row>
    <row r="815" spans="1:6" ht="15.75" x14ac:dyDescent="0.25">
      <c r="A815" s="1"/>
      <c r="B815" s="1"/>
      <c r="C815" s="8"/>
      <c r="D815" s="1"/>
      <c r="E815" s="1"/>
      <c r="F815" s="1"/>
    </row>
    <row r="816" spans="1:6" ht="15.75" x14ac:dyDescent="0.25">
      <c r="A816" s="1"/>
      <c r="B816" s="1"/>
      <c r="C816" s="8"/>
      <c r="D816" s="1"/>
      <c r="E816" s="1"/>
      <c r="F816" s="1"/>
    </row>
    <row r="817" spans="1:6" ht="15.75" x14ac:dyDescent="0.25">
      <c r="A817" s="1"/>
      <c r="B817" s="1"/>
      <c r="C817" s="8"/>
      <c r="D817" s="1"/>
      <c r="E817" s="1"/>
      <c r="F817" s="1"/>
    </row>
    <row r="818" spans="1:6" ht="15.75" x14ac:dyDescent="0.25">
      <c r="A818" s="1"/>
      <c r="B818" s="1"/>
      <c r="C818" s="8"/>
      <c r="D818" s="1"/>
      <c r="E818" s="1"/>
      <c r="F818" s="1"/>
    </row>
    <row r="819" spans="1:6" ht="15.75" x14ac:dyDescent="0.25">
      <c r="A819" s="1"/>
      <c r="B819" s="1"/>
      <c r="C819" s="8"/>
      <c r="D819" s="1"/>
      <c r="E819" s="1"/>
      <c r="F819" s="1"/>
    </row>
    <row r="820" spans="1:6" ht="15.75" x14ac:dyDescent="0.25">
      <c r="A820" s="1"/>
      <c r="B820" s="1"/>
      <c r="C820" s="8"/>
      <c r="D820" s="1"/>
      <c r="E820" s="1"/>
      <c r="F820" s="1"/>
    </row>
    <row r="821" spans="1:6" ht="15.75" x14ac:dyDescent="0.25">
      <c r="A821" s="1"/>
      <c r="B821" s="1"/>
      <c r="C821" s="8"/>
      <c r="D821" s="1"/>
      <c r="E821" s="1"/>
      <c r="F821" s="1"/>
    </row>
    <row r="822" spans="1:6" ht="15.75" x14ac:dyDescent="0.25">
      <c r="A822" s="1"/>
      <c r="B822" s="1"/>
      <c r="C822" s="8"/>
      <c r="D822" s="1"/>
      <c r="E822" s="1"/>
      <c r="F822" s="1"/>
    </row>
    <row r="823" spans="1:6" ht="15.75" x14ac:dyDescent="0.25">
      <c r="A823" s="1"/>
      <c r="B823" s="1"/>
      <c r="C823" s="8"/>
      <c r="D823" s="1"/>
      <c r="E823" s="1"/>
      <c r="F823" s="1"/>
    </row>
    <row r="824" spans="1:6" ht="15.75" x14ac:dyDescent="0.25">
      <c r="A824" s="1"/>
      <c r="B824" s="1"/>
      <c r="C824" s="8"/>
      <c r="D824" s="1"/>
      <c r="E824" s="1"/>
      <c r="F824" s="1"/>
    </row>
    <row r="825" spans="1:6" ht="15.75" x14ac:dyDescent="0.25">
      <c r="A825" s="1"/>
      <c r="B825" s="1"/>
      <c r="C825" s="8"/>
      <c r="D825" s="1"/>
      <c r="E825" s="1"/>
      <c r="F825" s="1"/>
    </row>
    <row r="826" spans="1:6" ht="15.75" x14ac:dyDescent="0.25">
      <c r="A826" s="1"/>
      <c r="B826" s="1"/>
      <c r="C826" s="8"/>
      <c r="D826" s="1"/>
      <c r="E826" s="1"/>
      <c r="F826" s="1"/>
    </row>
    <row r="827" spans="1:6" ht="15.75" x14ac:dyDescent="0.25">
      <c r="A827" s="1"/>
      <c r="B827" s="1"/>
      <c r="C827" s="8"/>
      <c r="D827" s="1"/>
      <c r="E827" s="1"/>
      <c r="F827" s="1"/>
    </row>
    <row r="828" spans="1:6" ht="15.75" x14ac:dyDescent="0.25">
      <c r="A828" s="1"/>
      <c r="B828" s="1"/>
      <c r="C828" s="8"/>
      <c r="D828" s="1"/>
      <c r="E828" s="1"/>
      <c r="F828" s="1"/>
    </row>
    <row r="829" spans="1:6" ht="15.75" x14ac:dyDescent="0.25">
      <c r="A829" s="1"/>
      <c r="B829" s="1"/>
      <c r="C829" s="8"/>
      <c r="D829" s="1"/>
      <c r="E829" s="1"/>
      <c r="F829" s="1"/>
    </row>
    <row r="830" spans="1:6" ht="15.75" x14ac:dyDescent="0.25">
      <c r="A830" s="1"/>
      <c r="B830" s="1"/>
      <c r="C830" s="8"/>
      <c r="D830" s="1"/>
      <c r="E830" s="1"/>
      <c r="F830" s="1"/>
    </row>
    <row r="831" spans="1:6" ht="15.75" x14ac:dyDescent="0.25">
      <c r="A831" s="1"/>
      <c r="B831" s="1"/>
      <c r="C831" s="8"/>
      <c r="D831" s="1"/>
      <c r="E831" s="1"/>
      <c r="F831" s="1"/>
    </row>
    <row r="832" spans="1:6" ht="15.75" x14ac:dyDescent="0.25">
      <c r="A832" s="1"/>
      <c r="B832" s="1"/>
      <c r="C832" s="8"/>
      <c r="D832" s="1"/>
      <c r="E832" s="1"/>
      <c r="F832" s="1"/>
    </row>
    <row r="833" spans="1:6" ht="15.75" x14ac:dyDescent="0.25">
      <c r="A833" s="1"/>
      <c r="B833" s="1"/>
      <c r="C833" s="8"/>
      <c r="D833" s="1"/>
      <c r="E833" s="1"/>
      <c r="F833" s="1"/>
    </row>
    <row r="834" spans="1:6" ht="15.75" x14ac:dyDescent="0.25">
      <c r="A834" s="1"/>
      <c r="B834" s="1"/>
      <c r="C834" s="8"/>
      <c r="D834" s="1"/>
      <c r="E834" s="1"/>
      <c r="F834" s="1"/>
    </row>
    <row r="835" spans="1:6" ht="15.75" x14ac:dyDescent="0.25">
      <c r="A835" s="1"/>
      <c r="B835" s="1"/>
      <c r="C835" s="8"/>
      <c r="D835" s="1"/>
      <c r="E835" s="1"/>
      <c r="F835" s="1"/>
    </row>
    <row r="836" spans="1:6" ht="15.75" x14ac:dyDescent="0.25">
      <c r="A836" s="1"/>
      <c r="B836" s="1"/>
      <c r="C836" s="8"/>
      <c r="D836" s="1"/>
      <c r="E836" s="1"/>
      <c r="F836" s="1"/>
    </row>
    <row r="837" spans="1:6" ht="15.75" x14ac:dyDescent="0.25">
      <c r="A837" s="1"/>
      <c r="B837" s="1"/>
      <c r="C837" s="8"/>
      <c r="D837" s="1"/>
      <c r="E837" s="1"/>
      <c r="F837" s="1"/>
    </row>
    <row r="838" spans="1:6" ht="15.75" x14ac:dyDescent="0.25">
      <c r="A838" s="1"/>
      <c r="B838" s="1"/>
      <c r="C838" s="8"/>
      <c r="D838" s="1"/>
      <c r="E838" s="1"/>
      <c r="F838" s="1"/>
    </row>
    <row r="839" spans="1:6" ht="15.75" x14ac:dyDescent="0.25">
      <c r="A839" s="1"/>
      <c r="B839" s="1"/>
      <c r="C839" s="8"/>
      <c r="D839" s="1"/>
      <c r="E839" s="1"/>
      <c r="F839" s="1"/>
    </row>
    <row r="840" spans="1:6" ht="15.75" x14ac:dyDescent="0.25">
      <c r="A840" s="1"/>
      <c r="B840" s="1"/>
      <c r="C840" s="8"/>
      <c r="D840" s="1"/>
      <c r="E840" s="1"/>
      <c r="F840" s="1"/>
    </row>
    <row r="841" spans="1:6" ht="15.75" x14ac:dyDescent="0.25">
      <c r="A841" s="1"/>
      <c r="B841" s="1"/>
      <c r="C841" s="8"/>
      <c r="D841" s="1"/>
      <c r="E841" s="1"/>
      <c r="F841" s="1"/>
    </row>
    <row r="842" spans="1:6" ht="15.75" x14ac:dyDescent="0.25">
      <c r="A842" s="1"/>
      <c r="B842" s="1"/>
      <c r="C842" s="8"/>
      <c r="D842" s="1"/>
      <c r="E842" s="1"/>
      <c r="F842" s="1"/>
    </row>
    <row r="843" spans="1:6" ht="15.75" x14ac:dyDescent="0.25">
      <c r="A843" s="1"/>
      <c r="B843" s="1"/>
      <c r="C843" s="8"/>
      <c r="D843" s="1"/>
      <c r="E843" s="1"/>
      <c r="F843" s="1"/>
    </row>
    <row r="844" spans="1:6" ht="15.75" x14ac:dyDescent="0.25">
      <c r="A844" s="1"/>
      <c r="B844" s="1"/>
      <c r="C844" s="8"/>
      <c r="D844" s="1"/>
      <c r="E844" s="1"/>
      <c r="F844" s="1"/>
    </row>
    <row r="845" spans="1:6" ht="15.75" x14ac:dyDescent="0.25">
      <c r="A845" s="1"/>
      <c r="B845" s="1"/>
      <c r="C845" s="8"/>
      <c r="D845" s="1"/>
      <c r="E845" s="1"/>
      <c r="F845" s="1"/>
    </row>
    <row r="846" spans="1:6" ht="15.75" x14ac:dyDescent="0.25">
      <c r="A846" s="1"/>
      <c r="B846" s="1"/>
      <c r="C846" s="8"/>
      <c r="D846" s="1"/>
      <c r="E846" s="1"/>
      <c r="F846" s="1"/>
    </row>
    <row r="847" spans="1:6" ht="15.75" x14ac:dyDescent="0.25">
      <c r="A847" s="1"/>
      <c r="B847" s="1"/>
      <c r="C847" s="8"/>
      <c r="D847" s="1"/>
      <c r="E847" s="1"/>
      <c r="F847" s="1"/>
    </row>
    <row r="848" spans="1:6" ht="15.75" x14ac:dyDescent="0.25">
      <c r="A848" s="1"/>
      <c r="B848" s="1"/>
      <c r="C848" s="8"/>
      <c r="D848" s="1"/>
      <c r="E848" s="1"/>
      <c r="F848" s="1"/>
    </row>
    <row r="849" spans="1:6" ht="15.75" x14ac:dyDescent="0.25">
      <c r="A849" s="1"/>
      <c r="B849" s="1"/>
      <c r="C849" s="8"/>
      <c r="D849" s="1"/>
      <c r="E849" s="1"/>
      <c r="F849" s="1"/>
    </row>
    <row r="850" spans="1:6" ht="15.75" x14ac:dyDescent="0.25">
      <c r="A850" s="1"/>
      <c r="B850" s="1"/>
      <c r="C850" s="8"/>
      <c r="D850" s="1"/>
      <c r="E850" s="1"/>
      <c r="F850" s="1"/>
    </row>
    <row r="851" spans="1:6" ht="15.75" x14ac:dyDescent="0.25">
      <c r="A851" s="1"/>
      <c r="B851" s="1"/>
      <c r="C851" s="8"/>
      <c r="D851" s="1"/>
      <c r="E851" s="1"/>
      <c r="F851" s="1"/>
    </row>
    <row r="852" spans="1:6" ht="15.75" x14ac:dyDescent="0.25">
      <c r="A852" s="1"/>
      <c r="B852" s="1"/>
      <c r="C852" s="8"/>
      <c r="D852" s="1"/>
      <c r="E852" s="1"/>
      <c r="F852" s="1"/>
    </row>
    <row r="853" spans="1:6" ht="15.75" x14ac:dyDescent="0.25">
      <c r="A853" s="1"/>
      <c r="B853" s="1"/>
      <c r="C853" s="8"/>
      <c r="D853" s="1"/>
      <c r="E853" s="1"/>
      <c r="F853" s="1"/>
    </row>
    <row r="854" spans="1:6" ht="15.75" x14ac:dyDescent="0.25">
      <c r="A854" s="1"/>
      <c r="B854" s="1"/>
      <c r="C854" s="8"/>
      <c r="D854" s="1"/>
      <c r="E854" s="1"/>
      <c r="F854" s="1"/>
    </row>
    <row r="855" spans="1:6" ht="15.75" x14ac:dyDescent="0.25">
      <c r="A855" s="1"/>
      <c r="B855" s="1"/>
      <c r="C855" s="8"/>
      <c r="D855" s="1"/>
      <c r="E855" s="1"/>
      <c r="F855" s="1"/>
    </row>
    <row r="856" spans="1:6" ht="15.75" x14ac:dyDescent="0.25">
      <c r="A856" s="1"/>
      <c r="B856" s="1"/>
      <c r="C856" s="8"/>
      <c r="D856" s="1"/>
      <c r="E856" s="1"/>
      <c r="F856" s="1"/>
    </row>
    <row r="857" spans="1:6" ht="15.75" x14ac:dyDescent="0.25">
      <c r="A857" s="1"/>
      <c r="B857" s="1"/>
      <c r="C857" s="8"/>
      <c r="D857" s="1"/>
      <c r="E857" s="1"/>
      <c r="F857" s="1"/>
    </row>
    <row r="858" spans="1:6" ht="15.75" x14ac:dyDescent="0.25">
      <c r="A858" s="1"/>
      <c r="B858" s="1"/>
      <c r="C858" s="8"/>
      <c r="D858" s="1"/>
      <c r="E858" s="1"/>
      <c r="F858" s="1"/>
    </row>
    <row r="859" spans="1:6" ht="15.75" x14ac:dyDescent="0.25">
      <c r="A859" s="1"/>
      <c r="B859" s="1"/>
      <c r="C859" s="8"/>
      <c r="D859" s="1"/>
      <c r="E859" s="1"/>
      <c r="F859" s="1"/>
    </row>
    <row r="860" spans="1:6" ht="15.75" x14ac:dyDescent="0.25">
      <c r="A860" s="1"/>
      <c r="B860" s="1"/>
      <c r="C860" s="8"/>
      <c r="D860" s="1"/>
      <c r="E860" s="1"/>
      <c r="F860" s="1"/>
    </row>
    <row r="861" spans="1:6" ht="15.75" x14ac:dyDescent="0.25">
      <c r="A861" s="1"/>
      <c r="B861" s="1"/>
      <c r="C861" s="8"/>
      <c r="D861" s="1"/>
      <c r="E861" s="1"/>
      <c r="F861" s="1"/>
    </row>
    <row r="862" spans="1:6" ht="15.75" x14ac:dyDescent="0.25">
      <c r="A862" s="1"/>
      <c r="B862" s="1"/>
      <c r="C862" s="8"/>
      <c r="D862" s="1"/>
      <c r="E862" s="1"/>
      <c r="F862" s="1"/>
    </row>
    <row r="863" spans="1:6" ht="15.75" x14ac:dyDescent="0.25">
      <c r="A863" s="1"/>
      <c r="B863" s="1"/>
      <c r="C863" s="8"/>
      <c r="D863" s="1"/>
      <c r="E863" s="1"/>
      <c r="F863" s="1"/>
    </row>
    <row r="864" spans="1:6" ht="15.75" x14ac:dyDescent="0.25">
      <c r="A864" s="1"/>
      <c r="B864" s="1"/>
      <c r="C864" s="8"/>
      <c r="D864" s="1"/>
      <c r="E864" s="1"/>
      <c r="F864" s="1"/>
    </row>
    <row r="865" spans="1:6" ht="15.75" x14ac:dyDescent="0.25">
      <c r="A865" s="1"/>
      <c r="B865" s="1"/>
      <c r="C865" s="8"/>
      <c r="D865" s="1"/>
      <c r="E865" s="1"/>
      <c r="F865" s="1"/>
    </row>
    <row r="866" spans="1:6" ht="15.75" x14ac:dyDescent="0.25">
      <c r="A866" s="1"/>
      <c r="B866" s="1"/>
      <c r="C866" s="8"/>
      <c r="D866" s="1"/>
      <c r="E866" s="1"/>
      <c r="F866" s="1"/>
    </row>
    <row r="867" spans="1:6" ht="15.75" x14ac:dyDescent="0.25">
      <c r="A867" s="1"/>
      <c r="B867" s="1"/>
      <c r="C867" s="8"/>
      <c r="D867" s="1"/>
      <c r="E867" s="1"/>
      <c r="F867" s="1"/>
    </row>
    <row r="868" spans="1:6" ht="15.75" x14ac:dyDescent="0.25">
      <c r="A868" s="1"/>
      <c r="B868" s="1"/>
      <c r="C868" s="8"/>
      <c r="D868" s="1"/>
      <c r="E868" s="1"/>
      <c r="F868" s="1"/>
    </row>
    <row r="869" spans="1:6" ht="15.75" x14ac:dyDescent="0.25">
      <c r="A869" s="1"/>
      <c r="B869" s="1"/>
      <c r="C869" s="8"/>
      <c r="D869" s="1"/>
      <c r="E869" s="1"/>
      <c r="F869" s="1"/>
    </row>
    <row r="870" spans="1:6" ht="15.75" x14ac:dyDescent="0.25">
      <c r="A870" s="1"/>
      <c r="B870" s="1"/>
      <c r="C870" s="8"/>
      <c r="D870" s="1"/>
      <c r="E870" s="1"/>
      <c r="F870" s="1"/>
    </row>
    <row r="871" spans="1:6" ht="15.75" x14ac:dyDescent="0.25">
      <c r="A871" s="1"/>
      <c r="B871" s="1"/>
      <c r="C871" s="8"/>
      <c r="D871" s="1"/>
      <c r="E871" s="1"/>
      <c r="F871" s="1"/>
    </row>
    <row r="872" spans="1:6" ht="15.75" x14ac:dyDescent="0.25">
      <c r="A872" s="1"/>
      <c r="B872" s="1"/>
      <c r="C872" s="8"/>
      <c r="D872" s="1"/>
      <c r="E872" s="1"/>
      <c r="F872" s="1"/>
    </row>
    <row r="873" spans="1:6" ht="15.75" x14ac:dyDescent="0.25">
      <c r="A873" s="1"/>
      <c r="B873" s="1"/>
      <c r="C873" s="8"/>
      <c r="D873" s="1"/>
      <c r="E873" s="1"/>
      <c r="F873" s="1"/>
    </row>
    <row r="874" spans="1:6" ht="15.75" x14ac:dyDescent="0.25">
      <c r="A874" s="1"/>
      <c r="B874" s="1"/>
      <c r="C874" s="8"/>
      <c r="D874" s="1"/>
      <c r="E874" s="1"/>
      <c r="F874" s="1"/>
    </row>
    <row r="875" spans="1:6" ht="15.75" x14ac:dyDescent="0.25">
      <c r="A875" s="1"/>
      <c r="B875" s="1"/>
      <c r="C875" s="8"/>
      <c r="D875" s="1"/>
      <c r="E875" s="1"/>
      <c r="F875" s="1"/>
    </row>
    <row r="876" spans="1:6" ht="15.75" x14ac:dyDescent="0.25">
      <c r="A876" s="1"/>
      <c r="B876" s="1"/>
      <c r="C876" s="8"/>
      <c r="D876" s="1"/>
      <c r="E876" s="1"/>
      <c r="F876" s="1"/>
    </row>
    <row r="877" spans="1:6" ht="15.75" x14ac:dyDescent="0.25">
      <c r="A877" s="1"/>
      <c r="B877" s="1"/>
      <c r="C877" s="8"/>
      <c r="D877" s="1"/>
      <c r="E877" s="1"/>
      <c r="F877" s="1"/>
    </row>
    <row r="878" spans="1:6" ht="15.75" x14ac:dyDescent="0.25">
      <c r="A878" s="1"/>
      <c r="B878" s="1"/>
      <c r="C878" s="8"/>
      <c r="D878" s="1"/>
      <c r="E878" s="1"/>
      <c r="F878" s="1"/>
    </row>
    <row r="879" spans="1:6" ht="15.75" x14ac:dyDescent="0.25">
      <c r="A879" s="1"/>
      <c r="B879" s="1"/>
      <c r="C879" s="8"/>
      <c r="D879" s="1"/>
      <c r="E879" s="1"/>
      <c r="F879" s="1"/>
    </row>
    <row r="880" spans="1:6" ht="15.75" x14ac:dyDescent="0.25">
      <c r="A880" s="1"/>
      <c r="B880" s="1"/>
      <c r="C880" s="8"/>
      <c r="D880" s="1"/>
      <c r="E880" s="1"/>
      <c r="F880" s="1"/>
    </row>
    <row r="881" spans="1:6" ht="15.75" x14ac:dyDescent="0.25">
      <c r="A881" s="1"/>
      <c r="B881" s="1"/>
      <c r="C881" s="8"/>
      <c r="D881" s="1"/>
      <c r="E881" s="1"/>
      <c r="F881" s="1"/>
    </row>
    <row r="882" spans="1:6" ht="15.75" x14ac:dyDescent="0.25">
      <c r="A882" s="1"/>
      <c r="B882" s="1"/>
      <c r="C882" s="8"/>
      <c r="D882" s="1"/>
      <c r="E882" s="1"/>
      <c r="F882" s="1"/>
    </row>
    <row r="883" spans="1:6" ht="15.75" x14ac:dyDescent="0.25">
      <c r="A883" s="1"/>
      <c r="B883" s="1"/>
      <c r="C883" s="8"/>
      <c r="D883" s="1"/>
      <c r="E883" s="1"/>
      <c r="F883" s="1"/>
    </row>
    <row r="884" spans="1:6" ht="15.75" x14ac:dyDescent="0.25">
      <c r="A884" s="1"/>
      <c r="B884" s="1"/>
      <c r="C884" s="8"/>
      <c r="D884" s="1"/>
      <c r="E884" s="1"/>
      <c r="F884" s="1"/>
    </row>
    <row r="885" spans="1:6" ht="15.75" x14ac:dyDescent="0.25">
      <c r="A885" s="1"/>
      <c r="B885" s="1"/>
      <c r="C885" s="8"/>
      <c r="D885" s="1"/>
      <c r="E885" s="1"/>
      <c r="F885" s="1"/>
    </row>
    <row r="886" spans="1:6" ht="15.75" x14ac:dyDescent="0.25">
      <c r="A886" s="1"/>
      <c r="B886" s="1"/>
      <c r="C886" s="8"/>
      <c r="D886" s="1"/>
      <c r="E886" s="1"/>
      <c r="F886" s="1"/>
    </row>
    <row r="887" spans="1:6" ht="15.75" x14ac:dyDescent="0.25">
      <c r="A887" s="1"/>
      <c r="B887" s="1"/>
      <c r="C887" s="8"/>
      <c r="D887" s="1"/>
      <c r="E887" s="1"/>
      <c r="F887" s="1"/>
    </row>
    <row r="888" spans="1:6" ht="15.75" x14ac:dyDescent="0.25">
      <c r="A888" s="1"/>
      <c r="B888" s="1"/>
      <c r="C888" s="8"/>
      <c r="D888" s="1"/>
      <c r="E888" s="1"/>
      <c r="F888" s="1"/>
    </row>
    <row r="889" spans="1:6" ht="15.75" x14ac:dyDescent="0.25">
      <c r="A889" s="1"/>
      <c r="B889" s="1"/>
      <c r="C889" s="8"/>
      <c r="D889" s="1"/>
      <c r="E889" s="1"/>
      <c r="F889" s="1"/>
    </row>
    <row r="890" spans="1:6" ht="15.75" x14ac:dyDescent="0.25">
      <c r="A890" s="1"/>
      <c r="B890" s="1"/>
      <c r="C890" s="8"/>
      <c r="D890" s="1"/>
      <c r="E890" s="1"/>
      <c r="F890" s="1"/>
    </row>
    <row r="891" spans="1:6" ht="15.75" x14ac:dyDescent="0.25">
      <c r="A891" s="1"/>
      <c r="B891" s="1"/>
      <c r="C891" s="8"/>
      <c r="D891" s="1"/>
      <c r="E891" s="1"/>
      <c r="F891" s="1"/>
    </row>
    <row r="892" spans="1:6" ht="15.75" x14ac:dyDescent="0.25">
      <c r="A892" s="1"/>
      <c r="B892" s="1"/>
      <c r="C892" s="8"/>
      <c r="D892" s="1"/>
      <c r="E892" s="1"/>
      <c r="F892" s="1"/>
    </row>
    <row r="893" spans="1:6" ht="15.75" x14ac:dyDescent="0.25">
      <c r="A893" s="1"/>
      <c r="B893" s="1"/>
      <c r="C893" s="8"/>
      <c r="D893" s="1"/>
      <c r="E893" s="1"/>
      <c r="F893" s="1"/>
    </row>
    <row r="894" spans="1:6" ht="15.75" x14ac:dyDescent="0.25">
      <c r="A894" s="1"/>
      <c r="B894" s="1"/>
      <c r="C894" s="8"/>
      <c r="D894" s="1"/>
      <c r="E894" s="1"/>
      <c r="F894" s="1"/>
    </row>
    <row r="895" spans="1:6" ht="15.75" x14ac:dyDescent="0.25">
      <c r="A895" s="1"/>
      <c r="B895" s="1"/>
      <c r="C895" s="8"/>
      <c r="D895" s="1"/>
      <c r="E895" s="1"/>
      <c r="F895" s="1"/>
    </row>
    <row r="896" spans="1:6" ht="15.75" x14ac:dyDescent="0.25">
      <c r="A896" s="1"/>
      <c r="B896" s="1"/>
      <c r="C896" s="8"/>
      <c r="D896" s="1"/>
      <c r="E896" s="1"/>
      <c r="F896" s="1"/>
    </row>
    <row r="897" spans="1:6" ht="15.75" x14ac:dyDescent="0.25">
      <c r="A897" s="1"/>
      <c r="B897" s="1"/>
      <c r="C897" s="8"/>
      <c r="D897" s="1"/>
      <c r="E897" s="1"/>
      <c r="F897" s="1"/>
    </row>
    <row r="898" spans="1:6" ht="15.75" x14ac:dyDescent="0.25">
      <c r="A898" s="1"/>
      <c r="B898" s="1"/>
      <c r="C898" s="8"/>
      <c r="D898" s="1"/>
      <c r="E898" s="1"/>
      <c r="F898" s="1"/>
    </row>
    <row r="899" spans="1:6" ht="15.75" x14ac:dyDescent="0.25">
      <c r="A899" s="1"/>
      <c r="B899" s="1"/>
      <c r="C899" s="8"/>
      <c r="D899" s="1"/>
      <c r="E899" s="1"/>
      <c r="F899" s="1"/>
    </row>
    <row r="900" spans="1:6" ht="15.75" x14ac:dyDescent="0.25">
      <c r="A900" s="1"/>
      <c r="B900" s="1"/>
      <c r="C900" s="8"/>
      <c r="D900" s="1"/>
      <c r="E900" s="1"/>
      <c r="F900" s="1"/>
    </row>
    <row r="901" spans="1:6" ht="15.75" x14ac:dyDescent="0.25">
      <c r="A901" s="1"/>
      <c r="B901" s="1"/>
      <c r="C901" s="8"/>
      <c r="D901" s="1"/>
      <c r="E901" s="1"/>
      <c r="F901" s="1"/>
    </row>
    <row r="902" spans="1:6" ht="15.75" x14ac:dyDescent="0.25">
      <c r="A902" s="1"/>
      <c r="B902" s="1"/>
      <c r="C902" s="8"/>
      <c r="D902" s="1"/>
      <c r="E902" s="1"/>
      <c r="F902" s="1"/>
    </row>
    <row r="903" spans="1:6" ht="15.75" x14ac:dyDescent="0.25">
      <c r="A903" s="1"/>
      <c r="B903" s="1"/>
      <c r="C903" s="8"/>
      <c r="D903" s="1"/>
      <c r="E903" s="1"/>
      <c r="F903" s="1"/>
    </row>
    <row r="904" spans="1:6" ht="15.75" x14ac:dyDescent="0.25">
      <c r="A904" s="1"/>
      <c r="B904" s="1"/>
      <c r="C904" s="8"/>
      <c r="D904" s="1"/>
      <c r="E904" s="1"/>
      <c r="F904" s="1"/>
    </row>
    <row r="905" spans="1:6" ht="15.75" x14ac:dyDescent="0.25">
      <c r="A905" s="1"/>
      <c r="B905" s="1"/>
      <c r="C905" s="8"/>
      <c r="D905" s="1"/>
      <c r="E905" s="1"/>
      <c r="F905" s="1"/>
    </row>
    <row r="906" spans="1:6" ht="15.75" x14ac:dyDescent="0.25">
      <c r="A906" s="1"/>
      <c r="B906" s="1"/>
      <c r="C906" s="8"/>
      <c r="D906" s="1"/>
      <c r="E906" s="1"/>
      <c r="F906" s="1"/>
    </row>
    <row r="907" spans="1:6" ht="15.75" x14ac:dyDescent="0.25">
      <c r="A907" s="1"/>
      <c r="B907" s="1"/>
      <c r="C907" s="8"/>
      <c r="D907" s="1"/>
      <c r="E907" s="1"/>
      <c r="F907" s="1"/>
    </row>
    <row r="908" spans="1:6" ht="15.75" x14ac:dyDescent="0.25">
      <c r="A908" s="1"/>
      <c r="B908" s="1"/>
      <c r="C908" s="8"/>
      <c r="D908" s="1"/>
      <c r="E908" s="1"/>
      <c r="F908" s="1"/>
    </row>
    <row r="909" spans="1:6" ht="15.75" x14ac:dyDescent="0.25">
      <c r="A909" s="1"/>
      <c r="B909" s="1"/>
      <c r="C909" s="8"/>
      <c r="D909" s="1"/>
      <c r="E909" s="1"/>
      <c r="F909" s="1"/>
    </row>
    <row r="910" spans="1:6" ht="15.75" x14ac:dyDescent="0.25">
      <c r="A910" s="1"/>
      <c r="B910" s="1"/>
      <c r="C910" s="8"/>
      <c r="D910" s="1"/>
      <c r="E910" s="1"/>
      <c r="F910" s="1"/>
    </row>
    <row r="911" spans="1:6" ht="15.75" x14ac:dyDescent="0.25">
      <c r="A911" s="1"/>
      <c r="B911" s="1"/>
      <c r="C911" s="8"/>
      <c r="D911" s="1"/>
      <c r="E911" s="1"/>
      <c r="F911" s="1"/>
    </row>
    <row r="912" spans="1:6" ht="15.75" x14ac:dyDescent="0.25">
      <c r="A912" s="1"/>
      <c r="B912" s="1"/>
      <c r="C912" s="8"/>
      <c r="D912" s="1"/>
      <c r="E912" s="1"/>
      <c r="F912" s="1"/>
    </row>
    <row r="913" spans="1:6" ht="15.75" x14ac:dyDescent="0.25">
      <c r="A913" s="1"/>
      <c r="B913" s="1"/>
      <c r="C913" s="8"/>
      <c r="D913" s="1"/>
      <c r="E913" s="1"/>
      <c r="F913" s="1"/>
    </row>
    <row r="914" spans="1:6" ht="15.75" x14ac:dyDescent="0.25">
      <c r="A914" s="1"/>
      <c r="B914" s="1"/>
      <c r="C914" s="8"/>
      <c r="D914" s="1"/>
      <c r="E914" s="1"/>
      <c r="F914" s="1"/>
    </row>
    <row r="915" spans="1:6" ht="15.75" x14ac:dyDescent="0.25">
      <c r="A915" s="1"/>
      <c r="B915" s="1"/>
      <c r="C915" s="8"/>
      <c r="D915" s="1"/>
      <c r="E915" s="1"/>
      <c r="F915" s="1"/>
    </row>
    <row r="916" spans="1:6" ht="15.75" x14ac:dyDescent="0.25">
      <c r="A916" s="1"/>
      <c r="B916" s="1"/>
      <c r="C916" s="8"/>
      <c r="D916" s="1"/>
      <c r="E916" s="1"/>
      <c r="F916" s="1"/>
    </row>
    <row r="917" spans="1:6" ht="15.75" x14ac:dyDescent="0.25">
      <c r="A917" s="1"/>
      <c r="B917" s="1"/>
      <c r="C917" s="8"/>
      <c r="D917" s="1"/>
      <c r="E917" s="1"/>
      <c r="F917" s="1"/>
    </row>
    <row r="918" spans="1:6" ht="15.75" x14ac:dyDescent="0.25">
      <c r="A918" s="1"/>
      <c r="B918" s="1"/>
      <c r="C918" s="8"/>
      <c r="D918" s="1"/>
      <c r="E918" s="1"/>
      <c r="F918" s="1"/>
    </row>
    <row r="919" spans="1:6" ht="15.75" x14ac:dyDescent="0.25">
      <c r="A919" s="1"/>
      <c r="B919" s="1"/>
      <c r="C919" s="8"/>
      <c r="D919" s="1"/>
      <c r="E919" s="1"/>
      <c r="F919" s="1"/>
    </row>
    <row r="920" spans="1:6" ht="15.75" x14ac:dyDescent="0.25">
      <c r="A920" s="1"/>
      <c r="B920" s="1"/>
      <c r="C920" s="8"/>
      <c r="D920" s="1"/>
      <c r="E920" s="1"/>
      <c r="F920" s="1"/>
    </row>
    <row r="921" spans="1:6" ht="15.75" x14ac:dyDescent="0.25">
      <c r="A921" s="1"/>
      <c r="B921" s="1"/>
      <c r="C921" s="8"/>
      <c r="D921" s="1"/>
      <c r="E921" s="1"/>
      <c r="F921" s="1"/>
    </row>
    <row r="922" spans="1:6" ht="15.75" x14ac:dyDescent="0.25">
      <c r="A922" s="1"/>
      <c r="B922" s="1"/>
      <c r="C922" s="8"/>
      <c r="D922" s="1"/>
      <c r="E922" s="1"/>
      <c r="F922" s="1"/>
    </row>
    <row r="923" spans="1:6" ht="15.75" x14ac:dyDescent="0.25">
      <c r="A923" s="1"/>
      <c r="B923" s="1"/>
      <c r="C923" s="8"/>
      <c r="D923" s="1"/>
      <c r="E923" s="1"/>
      <c r="F923" s="1"/>
    </row>
    <row r="924" spans="1:6" ht="15.75" x14ac:dyDescent="0.25">
      <c r="A924" s="1"/>
      <c r="B924" s="1"/>
      <c r="C924" s="8"/>
      <c r="D924" s="1"/>
      <c r="E924" s="1"/>
      <c r="F924" s="1"/>
    </row>
    <row r="925" spans="1:6" ht="15.75" x14ac:dyDescent="0.25">
      <c r="A925" s="1"/>
      <c r="B925" s="1"/>
      <c r="C925" s="8"/>
      <c r="D925" s="1"/>
      <c r="E925" s="1"/>
      <c r="F925" s="1"/>
    </row>
    <row r="926" spans="1:6" ht="15.75" x14ac:dyDescent="0.25">
      <c r="A926" s="1"/>
      <c r="B926" s="1"/>
      <c r="C926" s="8"/>
      <c r="D926" s="1"/>
      <c r="E926" s="1"/>
      <c r="F926" s="1"/>
    </row>
    <row r="927" spans="1:6" ht="15.75" x14ac:dyDescent="0.25">
      <c r="A927" s="1"/>
      <c r="B927" s="1"/>
      <c r="C927" s="8"/>
      <c r="D927" s="1"/>
      <c r="E927" s="1"/>
      <c r="F927" s="1"/>
    </row>
    <row r="928" spans="1:6" ht="15.75" x14ac:dyDescent="0.25">
      <c r="A928" s="1"/>
      <c r="B928" s="1"/>
      <c r="C928" s="8"/>
      <c r="D928" s="1"/>
      <c r="E928" s="1"/>
      <c r="F928" s="1"/>
    </row>
    <row r="929" spans="1:6" ht="15.75" x14ac:dyDescent="0.25">
      <c r="A929" s="1"/>
      <c r="B929" s="1"/>
      <c r="C929" s="8"/>
      <c r="D929" s="1"/>
      <c r="E929" s="1"/>
      <c r="F929" s="1"/>
    </row>
    <row r="930" spans="1:6" ht="15.75" x14ac:dyDescent="0.25">
      <c r="A930" s="1"/>
      <c r="B930" s="1"/>
      <c r="C930" s="8"/>
      <c r="D930" s="1"/>
      <c r="E930" s="1"/>
      <c r="F930" s="1"/>
    </row>
    <row r="931" spans="1:6" ht="15.75" x14ac:dyDescent="0.25">
      <c r="A931" s="1"/>
      <c r="B931" s="1"/>
      <c r="C931" s="8"/>
      <c r="D931" s="1"/>
      <c r="E931" s="1"/>
      <c r="F931" s="1"/>
    </row>
    <row r="932" spans="1:6" ht="15.75" x14ac:dyDescent="0.25">
      <c r="A932" s="1"/>
      <c r="B932" s="1"/>
      <c r="C932" s="8"/>
      <c r="D932" s="1"/>
      <c r="E932" s="1"/>
      <c r="F932" s="1"/>
    </row>
    <row r="933" spans="1:6" ht="15.75" x14ac:dyDescent="0.25">
      <c r="A933" s="1"/>
      <c r="B933" s="1"/>
      <c r="C933" s="8"/>
      <c r="D933" s="1"/>
      <c r="E933" s="1"/>
      <c r="F933" s="1"/>
    </row>
    <row r="934" spans="1:6" ht="15.75" x14ac:dyDescent="0.25">
      <c r="A934" s="1"/>
      <c r="B934" s="1"/>
      <c r="C934" s="8"/>
      <c r="D934" s="1"/>
      <c r="E934" s="1"/>
      <c r="F934" s="1"/>
    </row>
    <row r="935" spans="1:6" ht="15.75" x14ac:dyDescent="0.25">
      <c r="A935" s="1"/>
      <c r="B935" s="1"/>
      <c r="C935" s="8"/>
      <c r="D935" s="1"/>
      <c r="E935" s="1"/>
      <c r="F935" s="1"/>
    </row>
    <row r="936" spans="1:6" ht="15.75" x14ac:dyDescent="0.25">
      <c r="A936" s="1"/>
      <c r="B936" s="1"/>
      <c r="C936" s="8"/>
      <c r="D936" s="1"/>
      <c r="E936" s="1"/>
      <c r="F936" s="1"/>
    </row>
    <row r="937" spans="1:6" ht="15.75" x14ac:dyDescent="0.25">
      <c r="A937" s="1"/>
      <c r="B937" s="1"/>
      <c r="C937" s="8"/>
      <c r="D937" s="1"/>
      <c r="E937" s="1"/>
      <c r="F937" s="1"/>
    </row>
    <row r="938" spans="1:6" ht="15.75" x14ac:dyDescent="0.25">
      <c r="A938" s="1"/>
      <c r="B938" s="1"/>
      <c r="C938" s="8"/>
      <c r="D938" s="1"/>
      <c r="E938" s="1"/>
      <c r="F938" s="1"/>
    </row>
    <row r="939" spans="1:6" ht="15.75" x14ac:dyDescent="0.25">
      <c r="A939" s="1"/>
      <c r="B939" s="1"/>
      <c r="C939" s="8"/>
      <c r="D939" s="1"/>
      <c r="E939" s="1"/>
      <c r="F939" s="1"/>
    </row>
    <row r="940" spans="1:6" ht="15.75" x14ac:dyDescent="0.25">
      <c r="A940" s="1"/>
      <c r="B940" s="1"/>
      <c r="C940" s="8"/>
      <c r="D940" s="1"/>
      <c r="E940" s="1"/>
      <c r="F940" s="1"/>
    </row>
    <row r="941" spans="1:6" ht="15.75" x14ac:dyDescent="0.25">
      <c r="A941" s="1"/>
      <c r="B941" s="1"/>
      <c r="C941" s="8"/>
      <c r="D941" s="1"/>
      <c r="E941" s="1"/>
      <c r="F941" s="1"/>
    </row>
    <row r="942" spans="1:6" ht="15.75" x14ac:dyDescent="0.25">
      <c r="A942" s="1"/>
      <c r="B942" s="1"/>
      <c r="C942" s="8"/>
      <c r="D942" s="1"/>
      <c r="E942" s="1"/>
      <c r="F942" s="1"/>
    </row>
    <row r="943" spans="1:6" ht="15.75" x14ac:dyDescent="0.25">
      <c r="A943" s="1"/>
      <c r="B943" s="1"/>
      <c r="C943" s="8"/>
      <c r="D943" s="1"/>
      <c r="E943" s="1"/>
      <c r="F943" s="1"/>
    </row>
    <row r="944" spans="1:6" ht="15.75" x14ac:dyDescent="0.25">
      <c r="A944" s="1"/>
      <c r="B944" s="1"/>
      <c r="C944" s="8"/>
      <c r="D944" s="1"/>
      <c r="E944" s="1"/>
      <c r="F944" s="1"/>
    </row>
    <row r="945" spans="1:6" ht="15.75" x14ac:dyDescent="0.25">
      <c r="A945" s="1"/>
      <c r="B945" s="1"/>
      <c r="C945" s="8"/>
      <c r="D945" s="1"/>
      <c r="E945" s="1"/>
      <c r="F945" s="1"/>
    </row>
    <row r="946" spans="1:6" ht="15.75" x14ac:dyDescent="0.25">
      <c r="A946" s="1"/>
      <c r="B946" s="1"/>
      <c r="C946" s="8"/>
      <c r="D946" s="1"/>
      <c r="E946" s="1"/>
      <c r="F946" s="1"/>
    </row>
    <row r="947" spans="1:6" ht="15.75" x14ac:dyDescent="0.25">
      <c r="A947" s="1"/>
      <c r="B947" s="1"/>
      <c r="C947" s="8"/>
      <c r="D947" s="1"/>
      <c r="E947" s="1"/>
      <c r="F947" s="1"/>
    </row>
    <row r="948" spans="1:6" ht="15.75" x14ac:dyDescent="0.25">
      <c r="A948" s="1"/>
      <c r="B948" s="1"/>
      <c r="C948" s="8"/>
      <c r="D948" s="1"/>
      <c r="E948" s="1"/>
      <c r="F948" s="1"/>
    </row>
    <row r="949" spans="1:6" ht="15.75" x14ac:dyDescent="0.25">
      <c r="A949" s="1"/>
      <c r="B949" s="1"/>
      <c r="C949" s="8"/>
      <c r="D949" s="1"/>
      <c r="E949" s="1"/>
      <c r="F949" s="1"/>
    </row>
    <row r="950" spans="1:6" ht="15.75" x14ac:dyDescent="0.25">
      <c r="A950" s="1"/>
      <c r="B950" s="1"/>
      <c r="C950" s="8"/>
      <c r="D950" s="1"/>
      <c r="E950" s="1"/>
      <c r="F950" s="1"/>
    </row>
    <row r="951" spans="1:6" ht="15.75" x14ac:dyDescent="0.25">
      <c r="A951" s="1"/>
      <c r="B951" s="1"/>
      <c r="C951" s="8"/>
      <c r="D951" s="1"/>
      <c r="E951" s="1"/>
      <c r="F951" s="1"/>
    </row>
    <row r="952" spans="1:6" ht="15.75" x14ac:dyDescent="0.25">
      <c r="A952" s="1"/>
      <c r="B952" s="1"/>
      <c r="C952" s="8"/>
      <c r="D952" s="1"/>
      <c r="E952" s="1"/>
      <c r="F952" s="1"/>
    </row>
    <row r="953" spans="1:6" ht="15.75" x14ac:dyDescent="0.25">
      <c r="A953" s="1"/>
      <c r="B953" s="1"/>
      <c r="C953" s="8"/>
      <c r="D953" s="1"/>
      <c r="E953" s="1"/>
      <c r="F953" s="1"/>
    </row>
    <row r="954" spans="1:6" ht="15.75" x14ac:dyDescent="0.25">
      <c r="A954" s="1"/>
      <c r="B954" s="1"/>
      <c r="C954" s="8"/>
      <c r="D954" s="1"/>
      <c r="E954" s="1"/>
      <c r="F954" s="1"/>
    </row>
    <row r="955" spans="1:6" ht="15.75" x14ac:dyDescent="0.25">
      <c r="A955" s="1"/>
      <c r="B955" s="1"/>
      <c r="C955" s="8"/>
      <c r="D955" s="1"/>
      <c r="E955" s="1"/>
      <c r="F955" s="1"/>
    </row>
    <row r="956" spans="1:6" ht="15.75" x14ac:dyDescent="0.25">
      <c r="A956" s="1"/>
      <c r="B956" s="1"/>
      <c r="C956" s="8"/>
      <c r="D956" s="1"/>
      <c r="E956" s="1"/>
      <c r="F956" s="1"/>
    </row>
    <row r="957" spans="1:6" ht="15.75" x14ac:dyDescent="0.25">
      <c r="A957" s="1"/>
      <c r="B957" s="1"/>
      <c r="C957" s="8"/>
      <c r="D957" s="1"/>
      <c r="E957" s="1"/>
      <c r="F957" s="1"/>
    </row>
    <row r="958" spans="1:6" ht="15.75" x14ac:dyDescent="0.25">
      <c r="A958" s="1"/>
      <c r="B958" s="1"/>
      <c r="C958" s="8"/>
      <c r="D958" s="1"/>
      <c r="E958" s="1"/>
      <c r="F958" s="1"/>
    </row>
    <row r="959" spans="1:6" ht="15.75" x14ac:dyDescent="0.25">
      <c r="A959" s="1"/>
      <c r="B959" s="1"/>
      <c r="C959" s="8"/>
      <c r="D959" s="1"/>
      <c r="E959" s="1"/>
      <c r="F959" s="1"/>
    </row>
    <row r="960" spans="1:6" ht="15.75" x14ac:dyDescent="0.25">
      <c r="A960" s="1"/>
      <c r="B960" s="1"/>
      <c r="C960" s="8"/>
      <c r="D960" s="1"/>
      <c r="E960" s="1"/>
      <c r="F960" s="1"/>
    </row>
    <row r="961" spans="1:6" ht="15.75" x14ac:dyDescent="0.25">
      <c r="A961" s="1"/>
      <c r="B961" s="1"/>
      <c r="C961" s="8"/>
      <c r="D961" s="1"/>
      <c r="E961" s="1"/>
      <c r="F961" s="1"/>
    </row>
    <row r="962" spans="1:6" ht="15.75" x14ac:dyDescent="0.25">
      <c r="A962" s="1"/>
      <c r="B962" s="1"/>
      <c r="C962" s="8"/>
      <c r="D962" s="1"/>
      <c r="E962" s="1"/>
      <c r="F962" s="1"/>
    </row>
    <row r="963" spans="1:6" ht="15.75" x14ac:dyDescent="0.25">
      <c r="A963" s="1"/>
      <c r="B963" s="1"/>
      <c r="C963" s="8"/>
      <c r="D963" s="1"/>
      <c r="E963" s="1"/>
      <c r="F963" s="1"/>
    </row>
    <row r="964" spans="1:6" ht="15.75" x14ac:dyDescent="0.25">
      <c r="A964" s="1"/>
      <c r="B964" s="1"/>
      <c r="C964" s="8"/>
      <c r="D964" s="1"/>
      <c r="E964" s="1"/>
      <c r="F964" s="1"/>
    </row>
    <row r="965" spans="1:6" ht="15.75" x14ac:dyDescent="0.25">
      <c r="A965" s="1"/>
      <c r="B965" s="1"/>
      <c r="C965" s="8"/>
      <c r="D965" s="1"/>
      <c r="E965" s="1"/>
      <c r="F965" s="1"/>
    </row>
    <row r="966" spans="1:6" ht="15.75" x14ac:dyDescent="0.25">
      <c r="A966" s="1"/>
      <c r="B966" s="1"/>
      <c r="C966" s="8"/>
      <c r="D966" s="1"/>
      <c r="E966" s="1"/>
      <c r="F966" s="1"/>
    </row>
    <row r="967" spans="1:6" ht="15.75" x14ac:dyDescent="0.25">
      <c r="A967" s="1"/>
      <c r="B967" s="1"/>
      <c r="C967" s="8"/>
      <c r="D967" s="1"/>
      <c r="E967" s="1"/>
      <c r="F967" s="1"/>
    </row>
    <row r="968" spans="1:6" ht="15.75" x14ac:dyDescent="0.25">
      <c r="A968" s="1"/>
      <c r="B968" s="1"/>
      <c r="C968" s="8"/>
      <c r="D968" s="1"/>
      <c r="E968" s="1"/>
      <c r="F968" s="1"/>
    </row>
    <row r="969" spans="1:6" ht="15.75" x14ac:dyDescent="0.25">
      <c r="A969" s="1"/>
      <c r="B969" s="1"/>
      <c r="C969" s="8"/>
      <c r="D969" s="1"/>
      <c r="E969" s="1"/>
      <c r="F969" s="1"/>
    </row>
    <row r="970" spans="1:6" ht="15.75" x14ac:dyDescent="0.25">
      <c r="A970" s="1"/>
      <c r="B970" s="1"/>
      <c r="C970" s="8"/>
      <c r="D970" s="1"/>
      <c r="E970" s="1"/>
      <c r="F970" s="1"/>
    </row>
    <row r="971" spans="1:6" ht="15.75" x14ac:dyDescent="0.25">
      <c r="A971" s="1"/>
      <c r="B971" s="1"/>
      <c r="C971" s="8"/>
      <c r="D971" s="1"/>
      <c r="E971" s="1"/>
      <c r="F971" s="1"/>
    </row>
    <row r="972" spans="1:6" ht="15.75" x14ac:dyDescent="0.25">
      <c r="A972" s="1"/>
      <c r="B972" s="1"/>
      <c r="C972" s="8"/>
      <c r="D972" s="1"/>
      <c r="E972" s="1"/>
      <c r="F972" s="1"/>
    </row>
    <row r="973" spans="1:6" ht="15.75" x14ac:dyDescent="0.25">
      <c r="A973" s="1"/>
      <c r="B973" s="1"/>
      <c r="C973" s="8"/>
      <c r="D973" s="1"/>
      <c r="E973" s="1"/>
      <c r="F973" s="1"/>
    </row>
    <row r="974" spans="1:6" ht="15.75" x14ac:dyDescent="0.25">
      <c r="A974" s="1"/>
      <c r="B974" s="1"/>
      <c r="C974" s="8"/>
      <c r="D974" s="1"/>
      <c r="E974" s="1"/>
      <c r="F974" s="1"/>
    </row>
    <row r="975" spans="1:6" ht="15.75" x14ac:dyDescent="0.25">
      <c r="A975" s="1"/>
      <c r="B975" s="1"/>
      <c r="C975" s="8"/>
      <c r="D975" s="1"/>
      <c r="E975" s="1"/>
      <c r="F975" s="1"/>
    </row>
    <row r="976" spans="1:6" ht="15.75" x14ac:dyDescent="0.25">
      <c r="A976" s="1"/>
      <c r="B976" s="1"/>
      <c r="C976" s="8"/>
      <c r="D976" s="1"/>
      <c r="E976" s="1"/>
      <c r="F976" s="1"/>
    </row>
    <row r="977" spans="1:6" ht="15.75" x14ac:dyDescent="0.25">
      <c r="A977" s="1"/>
      <c r="B977" s="1"/>
      <c r="C977" s="8"/>
      <c r="D977" s="1"/>
      <c r="E977" s="1"/>
      <c r="F977" s="1"/>
    </row>
    <row r="978" spans="1:6" ht="15.75" x14ac:dyDescent="0.25">
      <c r="A978" s="1"/>
      <c r="B978" s="1"/>
      <c r="C978" s="8"/>
      <c r="D978" s="1"/>
      <c r="E978" s="1"/>
      <c r="F978" s="1"/>
    </row>
    <row r="979" spans="1:6" ht="15.75" x14ac:dyDescent="0.25">
      <c r="A979" s="1"/>
      <c r="B979" s="1"/>
      <c r="C979" s="8"/>
      <c r="D979" s="1"/>
      <c r="E979" s="1"/>
      <c r="F979" s="1"/>
    </row>
    <row r="980" spans="1:6" ht="15.75" x14ac:dyDescent="0.25">
      <c r="A980" s="1"/>
      <c r="B980" s="1"/>
      <c r="C980" s="8"/>
      <c r="D980" s="1"/>
      <c r="E980" s="1"/>
      <c r="F980" s="1"/>
    </row>
    <row r="981" spans="1:6" ht="15.75" x14ac:dyDescent="0.25">
      <c r="A981" s="1"/>
      <c r="B981" s="1"/>
      <c r="C981" s="8"/>
      <c r="D981" s="1"/>
      <c r="E981" s="1"/>
      <c r="F981" s="1"/>
    </row>
    <row r="982" spans="1:6" ht="15.75" x14ac:dyDescent="0.25">
      <c r="A982" s="1"/>
      <c r="B982" s="1"/>
      <c r="C982" s="8"/>
      <c r="D982" s="1"/>
      <c r="E982" s="1"/>
      <c r="F982" s="1"/>
    </row>
    <row r="983" spans="1:6" ht="15.75" x14ac:dyDescent="0.25">
      <c r="A983" s="1"/>
      <c r="B983" s="1"/>
      <c r="C983" s="8"/>
      <c r="D983" s="1"/>
      <c r="E983" s="1"/>
      <c r="F983" s="1"/>
    </row>
    <row r="984" spans="1:6" ht="15.75" x14ac:dyDescent="0.25">
      <c r="A984" s="1"/>
      <c r="B984" s="1"/>
      <c r="C984" s="8"/>
      <c r="D984" s="1"/>
      <c r="E984" s="1"/>
      <c r="F984" s="1"/>
    </row>
    <row r="985" spans="1:6" ht="15.75" x14ac:dyDescent="0.25">
      <c r="A985" s="1"/>
      <c r="B985" s="1"/>
      <c r="C985" s="8"/>
      <c r="D985" s="1"/>
      <c r="E985" s="1"/>
      <c r="F985" s="1"/>
    </row>
    <row r="986" spans="1:6" ht="15.75" x14ac:dyDescent="0.25">
      <c r="A986" s="1"/>
      <c r="B986" s="1"/>
      <c r="C986" s="8"/>
      <c r="D986" s="1"/>
      <c r="E986" s="1"/>
      <c r="F986" s="1"/>
    </row>
    <row r="987" spans="1:6" ht="15.75" x14ac:dyDescent="0.25">
      <c r="A987" s="1"/>
      <c r="B987" s="1"/>
      <c r="C987" s="8"/>
      <c r="D987" s="1"/>
      <c r="E987" s="1"/>
      <c r="F987" s="1"/>
    </row>
    <row r="988" spans="1:6" ht="15.75" x14ac:dyDescent="0.25">
      <c r="A988" s="1"/>
      <c r="B988" s="1"/>
      <c r="C988" s="8"/>
      <c r="D988" s="1"/>
      <c r="E988" s="1"/>
      <c r="F988" s="1"/>
    </row>
    <row r="989" spans="1:6" ht="15.75" x14ac:dyDescent="0.25">
      <c r="A989" s="1"/>
      <c r="B989" s="1"/>
      <c r="C989" s="8"/>
      <c r="D989" s="1"/>
      <c r="E989" s="1"/>
      <c r="F989" s="1"/>
    </row>
    <row r="990" spans="1:6" ht="15.75" x14ac:dyDescent="0.25">
      <c r="A990" s="1"/>
      <c r="B990" s="1"/>
      <c r="C990" s="8"/>
      <c r="D990" s="1"/>
      <c r="E990" s="1"/>
      <c r="F990" s="1"/>
    </row>
    <row r="991" spans="1:6" ht="15.75" x14ac:dyDescent="0.25">
      <c r="A991" s="1"/>
      <c r="B991" s="1"/>
      <c r="C991" s="8"/>
      <c r="D991" s="1"/>
      <c r="E991" s="1"/>
      <c r="F991" s="1"/>
    </row>
    <row r="992" spans="1:6" ht="15.75" x14ac:dyDescent="0.25">
      <c r="A992" s="1"/>
      <c r="B992" s="1"/>
      <c r="C992" s="8"/>
      <c r="D992" s="1"/>
      <c r="E992" s="1"/>
      <c r="F992" s="1"/>
    </row>
    <row r="993" spans="1:6" ht="15.75" x14ac:dyDescent="0.25">
      <c r="A993" s="1"/>
      <c r="B993" s="1"/>
      <c r="C993" s="8"/>
      <c r="D993" s="1"/>
      <c r="E993" s="1"/>
      <c r="F993" s="1"/>
    </row>
    <row r="994" spans="1:6" ht="15.75" x14ac:dyDescent="0.25">
      <c r="A994" s="1"/>
      <c r="B994" s="1"/>
      <c r="C994" s="8"/>
      <c r="D994" s="1"/>
      <c r="E994" s="1"/>
      <c r="F994" s="1"/>
    </row>
    <row r="995" spans="1:6" ht="15.75" x14ac:dyDescent="0.25">
      <c r="A995" s="1"/>
      <c r="B995" s="1"/>
      <c r="C995" s="8"/>
      <c r="D995" s="1"/>
      <c r="E995" s="1"/>
      <c r="F995" s="1"/>
    </row>
    <row r="996" spans="1:6" ht="15.75" x14ac:dyDescent="0.25">
      <c r="A996" s="1"/>
      <c r="B996" s="1"/>
      <c r="C996" s="8"/>
      <c r="D996" s="1"/>
      <c r="E996" s="1"/>
      <c r="F996" s="1"/>
    </row>
    <row r="997" spans="1:6" ht="15.75" x14ac:dyDescent="0.25">
      <c r="A997" s="1"/>
      <c r="B997" s="1"/>
      <c r="C997" s="8"/>
      <c r="D997" s="1"/>
      <c r="E997" s="1"/>
      <c r="F997" s="1"/>
    </row>
    <row r="998" spans="1:6" ht="15.75" x14ac:dyDescent="0.25">
      <c r="A998" s="1"/>
      <c r="B998" s="1"/>
      <c r="C998" s="8"/>
      <c r="D998" s="1"/>
      <c r="E998" s="1"/>
      <c r="F998" s="1"/>
    </row>
    <row r="999" spans="1:6" ht="15.75" x14ac:dyDescent="0.25">
      <c r="A999" s="1"/>
      <c r="B999" s="1"/>
      <c r="C999" s="8"/>
      <c r="D999" s="1"/>
      <c r="E999" s="1"/>
      <c r="F999" s="1"/>
    </row>
    <row r="1000" spans="1:6" ht="15.75" x14ac:dyDescent="0.25">
      <c r="A1000" s="1"/>
      <c r="B1000" s="1"/>
      <c r="C1000" s="8"/>
      <c r="D1000" s="1"/>
      <c r="E1000" s="1"/>
      <c r="F1000" s="1"/>
    </row>
    <row r="1001" spans="1:6" ht="15.75" x14ac:dyDescent="0.25">
      <c r="A1001" s="1"/>
      <c r="B1001" s="1"/>
      <c r="C1001" s="8"/>
      <c r="D1001" s="1"/>
      <c r="E1001" s="1"/>
      <c r="F1001" s="1"/>
    </row>
    <row r="1002" spans="1:6" ht="15.75" x14ac:dyDescent="0.25">
      <c r="A1002" s="1"/>
      <c r="B1002" s="1"/>
      <c r="C1002" s="8"/>
      <c r="D1002" s="1"/>
      <c r="E1002" s="1"/>
      <c r="F1002" s="1"/>
    </row>
    <row r="1003" spans="1:6" ht="15.75" x14ac:dyDescent="0.25">
      <c r="A1003" s="1"/>
      <c r="B1003" s="1"/>
      <c r="C1003" s="8"/>
      <c r="D1003" s="1"/>
      <c r="E1003" s="1"/>
      <c r="F1003" s="1"/>
    </row>
    <row r="1004" spans="1:6" ht="15.75" x14ac:dyDescent="0.25">
      <c r="A1004" s="1"/>
      <c r="B1004" s="1"/>
      <c r="C1004" s="8"/>
      <c r="D1004" s="1"/>
      <c r="E1004" s="1"/>
      <c r="F1004" s="1"/>
    </row>
    <row r="1005" spans="1:6" ht="15.75" x14ac:dyDescent="0.25">
      <c r="A1005" s="1"/>
      <c r="B1005" s="1"/>
      <c r="C1005" s="8"/>
      <c r="D1005" s="1"/>
      <c r="E1005" s="1"/>
      <c r="F1005" s="1"/>
    </row>
    <row r="1006" spans="1:6" ht="15.75" x14ac:dyDescent="0.25">
      <c r="A1006" s="1"/>
      <c r="B1006" s="1"/>
      <c r="C1006" s="8"/>
      <c r="D1006" s="1"/>
      <c r="E1006" s="1"/>
      <c r="F1006" s="1"/>
    </row>
    <row r="1007" spans="1:6" ht="15.75" x14ac:dyDescent="0.25">
      <c r="A1007" s="1"/>
      <c r="B1007" s="1"/>
      <c r="C1007" s="8"/>
      <c r="D1007" s="1"/>
      <c r="E1007" s="1"/>
      <c r="F1007" s="1"/>
    </row>
    <row r="1008" spans="1:6" ht="15.75" x14ac:dyDescent="0.25">
      <c r="A1008" s="1"/>
      <c r="B1008" s="1"/>
      <c r="C1008" s="8"/>
      <c r="D1008" s="1"/>
      <c r="E1008" s="1"/>
      <c r="F1008" s="1"/>
    </row>
    <row r="1009" spans="1:6" ht="15.75" x14ac:dyDescent="0.25">
      <c r="A1009" s="1"/>
      <c r="B1009" s="1"/>
      <c r="C1009" s="8"/>
      <c r="D1009" s="1"/>
      <c r="E1009" s="1"/>
      <c r="F1009" s="1"/>
    </row>
    <row r="1010" spans="1:6" ht="15.75" x14ac:dyDescent="0.25">
      <c r="A1010" s="1"/>
      <c r="B1010" s="1"/>
      <c r="C1010" s="8"/>
      <c r="D1010" s="1"/>
      <c r="E1010" s="1"/>
      <c r="F1010" s="1"/>
    </row>
    <row r="1011" spans="1:6" ht="15.75" x14ac:dyDescent="0.25">
      <c r="A1011" s="1"/>
      <c r="B1011" s="1"/>
      <c r="C1011" s="8"/>
      <c r="D1011" s="1"/>
      <c r="E1011" s="1"/>
      <c r="F1011" s="1"/>
    </row>
    <row r="1012" spans="1:6" ht="15.75" x14ac:dyDescent="0.25">
      <c r="A1012" s="1"/>
      <c r="B1012" s="1"/>
      <c r="C1012" s="8"/>
      <c r="D1012" s="1"/>
      <c r="E1012" s="1"/>
      <c r="F1012" s="1"/>
    </row>
    <row r="1013" spans="1:6" ht="15.75" x14ac:dyDescent="0.25">
      <c r="A1013" s="1"/>
      <c r="B1013" s="1"/>
      <c r="C1013" s="8"/>
      <c r="D1013" s="1"/>
      <c r="E1013" s="1"/>
      <c r="F1013" s="1"/>
    </row>
    <row r="1014" spans="1:6" ht="15.75" x14ac:dyDescent="0.25">
      <c r="A1014" s="1"/>
      <c r="B1014" s="1"/>
      <c r="C1014" s="8"/>
      <c r="D1014" s="1"/>
      <c r="E1014" s="1"/>
      <c r="F1014" s="1"/>
    </row>
    <row r="1015" spans="1:6" ht="15.75" x14ac:dyDescent="0.25">
      <c r="A1015" s="1"/>
      <c r="B1015" s="1"/>
      <c r="C1015" s="8"/>
      <c r="D1015" s="1"/>
      <c r="E1015" s="1"/>
      <c r="F1015" s="1"/>
    </row>
    <row r="1016" spans="1:6" ht="15.75" x14ac:dyDescent="0.25">
      <c r="A1016" s="1"/>
      <c r="B1016" s="1"/>
      <c r="C1016" s="8"/>
      <c r="D1016" s="1"/>
      <c r="E1016" s="1"/>
      <c r="F1016" s="1"/>
    </row>
    <row r="1017" spans="1:6" ht="15.75" x14ac:dyDescent="0.25">
      <c r="A1017" s="1"/>
      <c r="B1017" s="1"/>
      <c r="C1017" s="8"/>
      <c r="D1017" s="1"/>
      <c r="E1017" s="1"/>
      <c r="F1017" s="1"/>
    </row>
    <row r="1018" spans="1:6" ht="15.75" x14ac:dyDescent="0.25">
      <c r="A1018" s="1"/>
      <c r="B1018" s="1"/>
      <c r="C1018" s="8"/>
      <c r="D1018" s="1"/>
      <c r="E1018" s="1"/>
      <c r="F1018" s="1"/>
    </row>
    <row r="1019" spans="1:6" ht="15.75" x14ac:dyDescent="0.25">
      <c r="A1019" s="1"/>
      <c r="B1019" s="1"/>
      <c r="C1019" s="8"/>
      <c r="D1019" s="1"/>
      <c r="E1019" s="1"/>
      <c r="F1019" s="1"/>
    </row>
    <row r="1020" spans="1:6" ht="15.75" x14ac:dyDescent="0.25">
      <c r="A1020" s="1"/>
      <c r="B1020" s="1"/>
      <c r="C1020" s="8"/>
      <c r="D1020" s="1"/>
      <c r="E1020" s="1"/>
      <c r="F1020" s="1"/>
    </row>
    <row r="1021" spans="1:6" ht="15.75" x14ac:dyDescent="0.25">
      <c r="A1021" s="1"/>
      <c r="B1021" s="1"/>
      <c r="C1021" s="8"/>
      <c r="D1021" s="1"/>
      <c r="E1021" s="1"/>
      <c r="F1021" s="1"/>
    </row>
    <row r="1022" spans="1:6" ht="15.75" x14ac:dyDescent="0.25">
      <c r="A1022" s="1"/>
      <c r="B1022" s="1"/>
      <c r="C1022" s="8"/>
      <c r="D1022" s="1"/>
      <c r="E1022" s="1"/>
      <c r="F1022" s="1"/>
    </row>
    <row r="1023" spans="1:6" ht="15.75" x14ac:dyDescent="0.25">
      <c r="A1023" s="1"/>
      <c r="B1023" s="1"/>
      <c r="C1023" s="8"/>
      <c r="D1023" s="1"/>
      <c r="E1023" s="1"/>
      <c r="F1023" s="1"/>
    </row>
    <row r="1024" spans="1:6" ht="15.75" x14ac:dyDescent="0.25">
      <c r="A1024" s="1"/>
      <c r="B1024" s="1"/>
      <c r="C1024" s="8"/>
      <c r="D1024" s="1"/>
      <c r="E1024" s="1"/>
      <c r="F1024" s="1"/>
    </row>
    <row r="1025" spans="1:6" ht="15.75" x14ac:dyDescent="0.25">
      <c r="A1025" s="1"/>
      <c r="B1025" s="1"/>
      <c r="C1025" s="8"/>
      <c r="D1025" s="1"/>
      <c r="E1025" s="1"/>
      <c r="F1025" s="1"/>
    </row>
    <row r="1026" spans="1:6" ht="15.75" x14ac:dyDescent="0.25">
      <c r="A1026" s="1"/>
      <c r="B1026" s="1"/>
      <c r="C1026" s="8"/>
      <c r="D1026" s="1"/>
      <c r="E1026" s="1"/>
      <c r="F1026" s="1"/>
    </row>
    <row r="1027" spans="1:6" ht="15.75" x14ac:dyDescent="0.25">
      <c r="A1027" s="1"/>
      <c r="B1027" s="1"/>
      <c r="C1027" s="8"/>
      <c r="D1027" s="1"/>
      <c r="E1027" s="1"/>
      <c r="F1027" s="1"/>
    </row>
    <row r="1028" spans="1:6" ht="15.75" x14ac:dyDescent="0.25">
      <c r="A1028" s="1"/>
      <c r="B1028" s="1"/>
      <c r="C1028" s="8"/>
      <c r="D1028" s="1"/>
      <c r="E1028" s="1"/>
      <c r="F1028" s="1"/>
    </row>
    <row r="1029" spans="1:6" ht="15.75" x14ac:dyDescent="0.25">
      <c r="A1029" s="1"/>
      <c r="B1029" s="1"/>
      <c r="C1029" s="8"/>
      <c r="D1029" s="1"/>
      <c r="E1029" s="1"/>
      <c r="F1029" s="1"/>
    </row>
    <row r="1030" spans="1:6" ht="15.75" x14ac:dyDescent="0.25">
      <c r="A1030" s="1"/>
      <c r="B1030" s="1"/>
      <c r="C1030" s="8"/>
      <c r="D1030" s="1"/>
      <c r="E1030" s="1"/>
      <c r="F1030" s="1"/>
    </row>
    <row r="1031" spans="1:6" ht="15.75" x14ac:dyDescent="0.25">
      <c r="A1031" s="1"/>
      <c r="B1031" s="1"/>
      <c r="C1031" s="8"/>
      <c r="D1031" s="1"/>
      <c r="E1031" s="1"/>
      <c r="F1031" s="1"/>
    </row>
    <row r="1032" spans="1:6" ht="15.75" x14ac:dyDescent="0.25">
      <c r="A1032" s="1"/>
      <c r="B1032" s="1"/>
      <c r="C1032" s="8"/>
      <c r="D1032" s="1"/>
      <c r="E1032" s="1"/>
      <c r="F1032" s="1"/>
    </row>
    <row r="1033" spans="1:6" ht="15.75" x14ac:dyDescent="0.25">
      <c r="A1033" s="1"/>
      <c r="B1033" s="1"/>
      <c r="C1033" s="8"/>
      <c r="D1033" s="1"/>
      <c r="E1033" s="1"/>
      <c r="F1033" s="1"/>
    </row>
    <row r="1034" spans="1:6" ht="15.75" x14ac:dyDescent="0.25">
      <c r="A1034" s="1"/>
      <c r="B1034" s="1"/>
      <c r="C1034" s="8"/>
      <c r="D1034" s="1"/>
      <c r="E1034" s="1"/>
      <c r="F1034" s="1"/>
    </row>
    <row r="1035" spans="1:6" ht="15.75" x14ac:dyDescent="0.25">
      <c r="A1035" s="1"/>
      <c r="B1035" s="1"/>
      <c r="C1035" s="8"/>
      <c r="D1035" s="1"/>
      <c r="E1035" s="1"/>
      <c r="F1035" s="1"/>
    </row>
    <row r="1036" spans="1:6" ht="15.75" x14ac:dyDescent="0.25">
      <c r="A1036" s="1"/>
      <c r="B1036" s="1"/>
      <c r="C1036" s="8"/>
      <c r="D1036" s="1"/>
      <c r="E1036" s="1"/>
      <c r="F1036" s="1"/>
    </row>
    <row r="1037" spans="1:6" ht="15.75" x14ac:dyDescent="0.25">
      <c r="A1037" s="1"/>
      <c r="B1037" s="1"/>
      <c r="C1037" s="8"/>
      <c r="D1037" s="1"/>
      <c r="E1037" s="1"/>
      <c r="F1037" s="1"/>
    </row>
    <row r="1038" spans="1:6" ht="15.75" x14ac:dyDescent="0.25">
      <c r="A1038" s="1"/>
      <c r="B1038" s="1"/>
      <c r="C1038" s="8"/>
      <c r="D1038" s="1"/>
      <c r="E1038" s="1"/>
      <c r="F1038" s="1"/>
    </row>
    <row r="1039" spans="1:6" ht="15.75" x14ac:dyDescent="0.25">
      <c r="A1039" s="1"/>
      <c r="B1039" s="1"/>
      <c r="C1039" s="8"/>
      <c r="D1039" s="1"/>
      <c r="E1039" s="1"/>
      <c r="F1039" s="1"/>
    </row>
    <row r="1040" spans="1:6" ht="15.75" x14ac:dyDescent="0.25">
      <c r="A1040" s="1"/>
      <c r="B1040" s="1"/>
      <c r="C1040" s="8"/>
      <c r="D1040" s="1"/>
      <c r="E1040" s="1"/>
      <c r="F1040" s="1"/>
    </row>
    <row r="1041" spans="1:6" ht="15.75" x14ac:dyDescent="0.25">
      <c r="A1041" s="1"/>
      <c r="B1041" s="1"/>
      <c r="C1041" s="8"/>
      <c r="D1041" s="1"/>
      <c r="E1041" s="1"/>
      <c r="F1041" s="1"/>
    </row>
    <row r="1042" spans="1:6" ht="15.75" x14ac:dyDescent="0.25">
      <c r="A1042" s="1"/>
      <c r="B1042" s="1"/>
      <c r="C1042" s="8"/>
      <c r="D1042" s="1"/>
      <c r="E1042" s="1"/>
      <c r="F1042" s="1"/>
    </row>
    <row r="1043" spans="1:6" ht="15.75" x14ac:dyDescent="0.25">
      <c r="A1043" s="1"/>
      <c r="B1043" s="1"/>
      <c r="C1043" s="8"/>
      <c r="D1043" s="1"/>
      <c r="E1043" s="1"/>
      <c r="F1043" s="1"/>
    </row>
    <row r="1044" spans="1:6" ht="15.75" x14ac:dyDescent="0.25">
      <c r="A1044" s="1"/>
      <c r="B1044" s="1"/>
      <c r="C1044" s="8"/>
      <c r="D1044" s="1"/>
      <c r="E1044" s="1"/>
      <c r="F1044" s="1"/>
    </row>
    <row r="1045" spans="1:6" ht="15.75" x14ac:dyDescent="0.25">
      <c r="A1045" s="1"/>
      <c r="B1045" s="1"/>
      <c r="C1045" s="8"/>
      <c r="D1045" s="1"/>
      <c r="E1045" s="1"/>
      <c r="F1045" s="1"/>
    </row>
    <row r="1046" spans="1:6" ht="15.75" x14ac:dyDescent="0.25">
      <c r="A1046" s="1"/>
      <c r="B1046" s="1"/>
      <c r="C1046" s="8"/>
      <c r="D1046" s="1"/>
      <c r="E1046" s="1"/>
      <c r="F1046" s="1"/>
    </row>
    <row r="1047" spans="1:6" ht="15.75" x14ac:dyDescent="0.25">
      <c r="A1047" s="1"/>
      <c r="B1047" s="1"/>
      <c r="C1047" s="8"/>
      <c r="D1047" s="1"/>
      <c r="E1047" s="1"/>
      <c r="F1047" s="1"/>
    </row>
    <row r="1048" spans="1:6" ht="15.75" x14ac:dyDescent="0.25">
      <c r="A1048" s="1"/>
      <c r="B1048" s="1"/>
      <c r="C1048" s="8"/>
      <c r="D1048" s="1"/>
      <c r="E1048" s="1"/>
      <c r="F1048" s="1"/>
    </row>
    <row r="1049" spans="1:6" ht="15.75" x14ac:dyDescent="0.25">
      <c r="A1049" s="1"/>
      <c r="B1049" s="1"/>
      <c r="C1049" s="8"/>
      <c r="D1049" s="1"/>
      <c r="E1049" s="1"/>
      <c r="F1049" s="1"/>
    </row>
    <row r="1050" spans="1:6" ht="15.75" x14ac:dyDescent="0.25">
      <c r="A1050" s="1"/>
      <c r="B1050" s="1"/>
      <c r="C1050" s="8"/>
      <c r="D1050" s="1"/>
      <c r="E1050" s="1"/>
      <c r="F1050" s="1"/>
    </row>
    <row r="1051" spans="1:6" ht="15.75" x14ac:dyDescent="0.25">
      <c r="A1051" s="1"/>
      <c r="B1051" s="1"/>
      <c r="C1051" s="8"/>
      <c r="D1051" s="1"/>
      <c r="E1051" s="1"/>
      <c r="F1051" s="1"/>
    </row>
    <row r="1052" spans="1:6" ht="15.75" x14ac:dyDescent="0.25">
      <c r="A1052" s="1"/>
      <c r="B1052" s="1"/>
      <c r="C1052" s="8"/>
      <c r="D1052" s="1"/>
      <c r="E1052" s="1"/>
      <c r="F1052" s="1"/>
    </row>
    <row r="1053" spans="1:6" ht="15.75" x14ac:dyDescent="0.25">
      <c r="A1053" s="1"/>
      <c r="B1053" s="1"/>
      <c r="C1053" s="8"/>
      <c r="D1053" s="1"/>
      <c r="E1053" s="1"/>
      <c r="F1053" s="1"/>
    </row>
    <row r="1054" spans="1:6" ht="15.75" x14ac:dyDescent="0.25">
      <c r="A1054" s="1"/>
      <c r="B1054" s="1"/>
      <c r="C1054" s="8"/>
      <c r="D1054" s="1"/>
      <c r="E1054" s="1"/>
      <c r="F1054" s="1"/>
    </row>
    <row r="1055" spans="1:6" ht="15.75" x14ac:dyDescent="0.25">
      <c r="A1055" s="1"/>
      <c r="B1055" s="1"/>
      <c r="C1055" s="8"/>
      <c r="D1055" s="1"/>
      <c r="E1055" s="1"/>
      <c r="F1055" s="1"/>
    </row>
    <row r="1056" spans="1:6" ht="15.75" x14ac:dyDescent="0.25">
      <c r="A1056" s="1"/>
      <c r="B1056" s="1"/>
      <c r="C1056" s="8"/>
      <c r="D1056" s="1"/>
      <c r="E1056" s="1"/>
      <c r="F1056" s="1"/>
    </row>
    <row r="1057" spans="1:6" ht="15.75" x14ac:dyDescent="0.25">
      <c r="A1057" s="1"/>
      <c r="B1057" s="1"/>
      <c r="C1057" s="8"/>
      <c r="D1057" s="1"/>
      <c r="E1057" s="1"/>
      <c r="F1057" s="1"/>
    </row>
    <row r="1058" spans="1:6" ht="15.75" x14ac:dyDescent="0.25">
      <c r="A1058" s="1"/>
      <c r="B1058" s="1"/>
      <c r="C1058" s="8"/>
      <c r="D1058" s="1"/>
      <c r="E1058" s="1"/>
      <c r="F1058" s="1"/>
    </row>
    <row r="1059" spans="1:6" ht="15.75" x14ac:dyDescent="0.25">
      <c r="A1059" s="1"/>
      <c r="B1059" s="1"/>
      <c r="C1059" s="8"/>
      <c r="D1059" s="1"/>
      <c r="E1059" s="1"/>
      <c r="F1059" s="1"/>
    </row>
    <row r="1060" spans="1:6" ht="15.75" x14ac:dyDescent="0.25">
      <c r="A1060" s="1"/>
      <c r="B1060" s="1"/>
      <c r="C1060" s="8"/>
      <c r="D1060" s="1"/>
      <c r="E1060" s="1"/>
      <c r="F1060" s="1"/>
    </row>
    <row r="1061" spans="1:6" ht="15.75" x14ac:dyDescent="0.25">
      <c r="A1061" s="1"/>
      <c r="B1061" s="1"/>
      <c r="C1061" s="8"/>
      <c r="D1061" s="1"/>
      <c r="E1061" s="1"/>
      <c r="F1061" s="1"/>
    </row>
    <row r="1062" spans="1:6" ht="15.75" x14ac:dyDescent="0.25">
      <c r="A1062" s="1"/>
      <c r="B1062" s="1"/>
      <c r="C1062" s="8"/>
      <c r="D1062" s="1"/>
      <c r="E1062" s="1"/>
      <c r="F1062" s="1"/>
    </row>
    <row r="1063" spans="1:6" ht="15.75" x14ac:dyDescent="0.25">
      <c r="A1063" s="1"/>
      <c r="B1063" s="1"/>
      <c r="C1063" s="8"/>
      <c r="D1063" s="1"/>
      <c r="E1063" s="1"/>
      <c r="F1063" s="1"/>
    </row>
    <row r="1064" spans="1:6" ht="15.75" x14ac:dyDescent="0.25">
      <c r="A1064" s="1"/>
      <c r="B1064" s="1"/>
      <c r="C1064" s="8"/>
      <c r="D1064" s="1"/>
      <c r="E1064" s="1"/>
      <c r="F1064" s="1"/>
    </row>
    <row r="1065" spans="1:6" ht="15.75" x14ac:dyDescent="0.25">
      <c r="A1065" s="1"/>
      <c r="B1065" s="1"/>
      <c r="C1065" s="8"/>
      <c r="D1065" s="1"/>
      <c r="E1065" s="1"/>
      <c r="F1065" s="1"/>
    </row>
    <row r="1066" spans="1:6" ht="15.75" x14ac:dyDescent="0.25">
      <c r="A1066" s="1"/>
      <c r="B1066" s="1"/>
      <c r="C1066" s="8"/>
      <c r="D1066" s="1"/>
      <c r="E1066" s="1"/>
      <c r="F1066" s="1"/>
    </row>
    <row r="1067" spans="1:6" ht="15.75" x14ac:dyDescent="0.25">
      <c r="A1067" s="1"/>
      <c r="B1067" s="1"/>
      <c r="C1067" s="8"/>
      <c r="D1067" s="1"/>
      <c r="E1067" s="1"/>
      <c r="F1067" s="1"/>
    </row>
    <row r="1068" spans="1:6" ht="15.75" x14ac:dyDescent="0.25">
      <c r="A1068" s="1"/>
      <c r="B1068" s="1"/>
      <c r="C1068" s="8"/>
      <c r="D1068" s="1"/>
      <c r="E1068" s="1"/>
      <c r="F1068" s="1"/>
    </row>
    <row r="1069" spans="1:6" ht="15.75" x14ac:dyDescent="0.25">
      <c r="A1069" s="1"/>
      <c r="B1069" s="1"/>
      <c r="C1069" s="8"/>
      <c r="D1069" s="1"/>
      <c r="E1069" s="1"/>
      <c r="F1069" s="1"/>
    </row>
    <row r="1070" spans="1:6" ht="15.75" x14ac:dyDescent="0.25">
      <c r="A1070" s="1"/>
      <c r="B1070" s="1"/>
      <c r="C1070" s="8"/>
      <c r="D1070" s="1"/>
      <c r="E1070" s="1"/>
      <c r="F1070" s="1"/>
    </row>
    <row r="1071" spans="1:6" ht="15.75" x14ac:dyDescent="0.25">
      <c r="A1071" s="1"/>
      <c r="B1071" s="1"/>
      <c r="C1071" s="8"/>
      <c r="D1071" s="1"/>
      <c r="E1071" s="1"/>
      <c r="F1071" s="1"/>
    </row>
    <row r="1072" spans="1:6" ht="15.75" x14ac:dyDescent="0.25">
      <c r="A1072" s="1"/>
      <c r="B1072" s="1"/>
      <c r="C1072" s="8"/>
      <c r="D1072" s="1"/>
      <c r="E1072" s="1"/>
      <c r="F1072" s="1"/>
    </row>
    <row r="1073" spans="1:6" ht="15.75" x14ac:dyDescent="0.25">
      <c r="A1073" s="1"/>
      <c r="B1073" s="1"/>
      <c r="C1073" s="8"/>
      <c r="D1073" s="1"/>
      <c r="E1073" s="1"/>
      <c r="F1073" s="1"/>
    </row>
    <row r="1074" spans="1:6" ht="15.75" x14ac:dyDescent="0.25">
      <c r="A1074" s="1"/>
      <c r="B1074" s="1"/>
      <c r="C1074" s="8"/>
      <c r="D1074" s="1"/>
      <c r="E1074" s="1"/>
      <c r="F1074" s="1"/>
    </row>
    <row r="1075" spans="1:6" ht="15.75" x14ac:dyDescent="0.25">
      <c r="A1075" s="1"/>
      <c r="B1075" s="1"/>
      <c r="C1075" s="8"/>
      <c r="D1075" s="1"/>
      <c r="E1075" s="1"/>
      <c r="F1075" s="1"/>
    </row>
    <row r="1076" spans="1:6" ht="15.75" x14ac:dyDescent="0.25">
      <c r="A1076" s="1"/>
      <c r="B1076" s="1"/>
      <c r="C1076" s="8"/>
      <c r="D1076" s="1"/>
      <c r="E1076" s="1"/>
      <c r="F1076" s="1"/>
    </row>
    <row r="1077" spans="1:6" ht="15.75" x14ac:dyDescent="0.25">
      <c r="A1077" s="1"/>
      <c r="B1077" s="1"/>
      <c r="C1077" s="8"/>
      <c r="D1077" s="1"/>
      <c r="E1077" s="1"/>
      <c r="F1077" s="1"/>
    </row>
    <row r="1078" spans="1:6" ht="15.75" x14ac:dyDescent="0.25">
      <c r="A1078" s="1"/>
      <c r="B1078" s="1"/>
      <c r="C1078" s="8"/>
      <c r="D1078" s="1"/>
      <c r="E1078" s="1"/>
      <c r="F1078" s="1"/>
    </row>
    <row r="1079" spans="1:6" ht="15.75" x14ac:dyDescent="0.25">
      <c r="A1079" s="1"/>
      <c r="B1079" s="1"/>
      <c r="C1079" s="8"/>
      <c r="D1079" s="1"/>
      <c r="E1079" s="1"/>
      <c r="F1079" s="1"/>
    </row>
    <row r="1080" spans="1:6" ht="15.75" x14ac:dyDescent="0.25">
      <c r="A1080" s="1"/>
      <c r="B1080" s="1"/>
      <c r="C1080" s="8"/>
      <c r="D1080" s="1"/>
      <c r="E1080" s="1"/>
      <c r="F1080" s="1"/>
    </row>
    <row r="1081" spans="1:6" ht="15.75" x14ac:dyDescent="0.25">
      <c r="A1081" s="1"/>
      <c r="B1081" s="1"/>
      <c r="C1081" s="8"/>
      <c r="D1081" s="1"/>
      <c r="E1081" s="1"/>
      <c r="F1081" s="1"/>
    </row>
    <row r="1082" spans="1:6" ht="15.75" x14ac:dyDescent="0.25">
      <c r="A1082" s="1"/>
      <c r="B1082" s="1"/>
      <c r="C1082" s="8"/>
      <c r="D1082" s="1"/>
      <c r="E1082" s="1"/>
      <c r="F1082" s="1"/>
    </row>
    <row r="1083" spans="1:6" ht="15.75" x14ac:dyDescent="0.25">
      <c r="A1083" s="1"/>
      <c r="B1083" s="1"/>
      <c r="C1083" s="8"/>
      <c r="D1083" s="1"/>
      <c r="E1083" s="1"/>
      <c r="F1083" s="1"/>
    </row>
    <row r="1084" spans="1:6" ht="15.75" x14ac:dyDescent="0.25">
      <c r="A1084" s="1"/>
      <c r="B1084" s="1"/>
      <c r="C1084" s="8"/>
      <c r="D1084" s="1"/>
      <c r="E1084" s="1"/>
      <c r="F1084" s="1"/>
    </row>
    <row r="1085" spans="1:6" ht="15.75" x14ac:dyDescent="0.25">
      <c r="A1085" s="1"/>
      <c r="B1085" s="1"/>
      <c r="C1085" s="8"/>
      <c r="D1085" s="1"/>
      <c r="E1085" s="1"/>
      <c r="F1085" s="1"/>
    </row>
    <row r="1086" spans="1:6" ht="15.75" x14ac:dyDescent="0.25">
      <c r="A1086" s="1"/>
      <c r="B1086" s="1"/>
      <c r="C1086" s="8"/>
      <c r="D1086" s="1"/>
      <c r="E1086" s="1"/>
      <c r="F1086" s="1"/>
    </row>
    <row r="1087" spans="1:6" ht="15.75" x14ac:dyDescent="0.25">
      <c r="A1087" s="1"/>
      <c r="B1087" s="1"/>
      <c r="C1087" s="8"/>
      <c r="D1087" s="1"/>
      <c r="E1087" s="1"/>
      <c r="F1087" s="1"/>
    </row>
    <row r="1088" spans="1:6" ht="15.75" x14ac:dyDescent="0.25">
      <c r="A1088" s="1"/>
      <c r="B1088" s="1"/>
      <c r="C1088" s="8"/>
      <c r="D1088" s="1"/>
      <c r="E1088" s="1"/>
      <c r="F1088" s="1"/>
    </row>
    <row r="1089" spans="1:6" ht="15.75" x14ac:dyDescent="0.25">
      <c r="A1089" s="1"/>
      <c r="B1089" s="1"/>
      <c r="C1089" s="8"/>
      <c r="D1089" s="1"/>
      <c r="E1089" s="1"/>
      <c r="F1089" s="1"/>
    </row>
    <row r="1090" spans="1:6" ht="15.75" x14ac:dyDescent="0.25">
      <c r="A1090" s="1"/>
      <c r="B1090" s="1"/>
      <c r="C1090" s="8"/>
      <c r="D1090" s="1"/>
      <c r="E1090" s="1"/>
      <c r="F1090" s="1"/>
    </row>
    <row r="1091" spans="1:6" ht="15.75" x14ac:dyDescent="0.25">
      <c r="A1091" s="1"/>
      <c r="B1091" s="1"/>
      <c r="C1091" s="8"/>
      <c r="D1091" s="1"/>
      <c r="E1091" s="1"/>
      <c r="F1091" s="1"/>
    </row>
    <row r="1092" spans="1:6" ht="15.75" x14ac:dyDescent="0.25">
      <c r="A1092" s="1"/>
      <c r="B1092" s="1"/>
      <c r="C1092" s="8"/>
      <c r="D1092" s="1"/>
      <c r="E1092" s="1"/>
      <c r="F1092" s="1"/>
    </row>
    <row r="1093" spans="1:6" ht="15.75" x14ac:dyDescent="0.25">
      <c r="A1093" s="1"/>
      <c r="B1093" s="1"/>
      <c r="C1093" s="8"/>
      <c r="D1093" s="1"/>
      <c r="E1093" s="1"/>
      <c r="F1093" s="1"/>
    </row>
    <row r="1094" spans="1:6" ht="15.75" x14ac:dyDescent="0.25">
      <c r="A1094" s="1"/>
      <c r="B1094" s="1"/>
      <c r="C1094" s="8"/>
      <c r="D1094" s="1"/>
      <c r="E1094" s="1"/>
      <c r="F1094" s="1"/>
    </row>
    <row r="1095" spans="1:6" ht="15.75" x14ac:dyDescent="0.25">
      <c r="A1095" s="1"/>
      <c r="B1095" s="1"/>
      <c r="C1095" s="8"/>
      <c r="D1095" s="1"/>
      <c r="E1095" s="1"/>
      <c r="F1095" s="1"/>
    </row>
    <row r="1096" spans="1:6" ht="15.75" x14ac:dyDescent="0.25">
      <c r="A1096" s="1"/>
      <c r="B1096" s="1"/>
      <c r="C1096" s="8"/>
      <c r="D1096" s="1"/>
      <c r="E1096" s="1"/>
      <c r="F1096" s="1"/>
    </row>
    <row r="1097" spans="1:6" ht="15.75" x14ac:dyDescent="0.25">
      <c r="A1097" s="1"/>
      <c r="B1097" s="1"/>
      <c r="C1097" s="8"/>
      <c r="D1097" s="1"/>
      <c r="E1097" s="1"/>
      <c r="F1097" s="1"/>
    </row>
    <row r="1098" spans="1:6" ht="15.75" x14ac:dyDescent="0.25">
      <c r="A1098" s="1"/>
      <c r="B1098" s="1"/>
      <c r="C1098" s="8"/>
      <c r="D1098" s="1"/>
      <c r="E1098" s="1"/>
      <c r="F1098" s="1"/>
    </row>
    <row r="1099" spans="1:6" ht="15.75" x14ac:dyDescent="0.25">
      <c r="A1099" s="1"/>
      <c r="B1099" s="1"/>
      <c r="C1099" s="8"/>
      <c r="D1099" s="1"/>
      <c r="E1099" s="1"/>
      <c r="F1099" s="1"/>
    </row>
    <row r="1100" spans="1:6" ht="15.75" x14ac:dyDescent="0.25">
      <c r="A1100" s="1"/>
      <c r="B1100" s="1"/>
      <c r="C1100" s="8"/>
      <c r="D1100" s="1"/>
      <c r="E1100" s="1"/>
      <c r="F1100" s="1"/>
    </row>
    <row r="1101" spans="1:6" ht="15.75" x14ac:dyDescent="0.25">
      <c r="A1101" s="1"/>
      <c r="B1101" s="1"/>
      <c r="C1101" s="8"/>
      <c r="D1101" s="1"/>
      <c r="E1101" s="1"/>
      <c r="F1101" s="1"/>
    </row>
    <row r="1102" spans="1:6" ht="15.75" x14ac:dyDescent="0.25">
      <c r="A1102" s="1"/>
      <c r="B1102" s="1"/>
      <c r="C1102" s="8"/>
      <c r="D1102" s="1"/>
      <c r="E1102" s="1"/>
      <c r="F1102" s="1"/>
    </row>
    <row r="1103" spans="1:6" ht="15.75" x14ac:dyDescent="0.25">
      <c r="A1103" s="1"/>
      <c r="B1103" s="1"/>
      <c r="C1103" s="8"/>
      <c r="D1103" s="1"/>
      <c r="E1103" s="1"/>
      <c r="F1103" s="1"/>
    </row>
    <row r="1104" spans="1:6" ht="15.75" x14ac:dyDescent="0.25">
      <c r="A1104" s="1"/>
      <c r="B1104" s="1"/>
      <c r="C1104" s="8"/>
      <c r="D1104" s="1"/>
      <c r="E1104" s="1"/>
      <c r="F1104" s="1"/>
    </row>
    <row r="1105" spans="1:6" ht="15.75" x14ac:dyDescent="0.25">
      <c r="A1105" s="1"/>
      <c r="B1105" s="1"/>
      <c r="C1105" s="8"/>
      <c r="D1105" s="1"/>
      <c r="E1105" s="1"/>
      <c r="F1105" s="1"/>
    </row>
    <row r="1106" spans="1:6" ht="15.75" x14ac:dyDescent="0.25">
      <c r="A1106" s="1"/>
      <c r="B1106" s="1"/>
      <c r="C1106" s="8"/>
      <c r="D1106" s="1"/>
      <c r="E1106" s="1"/>
      <c r="F1106" s="1"/>
    </row>
    <row r="1107" spans="1:6" ht="15.75" x14ac:dyDescent="0.25">
      <c r="A1107" s="1"/>
      <c r="B1107" s="1"/>
      <c r="C1107" s="8"/>
      <c r="D1107" s="1"/>
      <c r="E1107" s="1"/>
      <c r="F1107" s="1"/>
    </row>
    <row r="1108" spans="1:6" ht="15.75" x14ac:dyDescent="0.25">
      <c r="A1108" s="1"/>
      <c r="B1108" s="1"/>
      <c r="C1108" s="8"/>
      <c r="D1108" s="1"/>
      <c r="E1108" s="1"/>
      <c r="F1108" s="1"/>
    </row>
    <row r="1109" spans="1:6" ht="15.75" x14ac:dyDescent="0.25">
      <c r="A1109" s="1"/>
      <c r="B1109" s="1"/>
      <c r="C1109" s="8"/>
      <c r="D1109" s="1"/>
      <c r="E1109" s="1"/>
      <c r="F1109" s="1"/>
    </row>
    <row r="1110" spans="1:6" ht="15.75" x14ac:dyDescent="0.25">
      <c r="A1110" s="1"/>
      <c r="B1110" s="1"/>
      <c r="C1110" s="8"/>
      <c r="D1110" s="1"/>
      <c r="E1110" s="1"/>
      <c r="F1110" s="1"/>
    </row>
    <row r="1111" spans="1:6" ht="15.75" x14ac:dyDescent="0.25">
      <c r="A1111" s="1"/>
      <c r="B1111" s="1"/>
      <c r="C1111" s="8"/>
      <c r="D1111" s="1"/>
      <c r="E1111" s="1"/>
      <c r="F1111" s="1"/>
    </row>
    <row r="1112" spans="1:6" ht="15.75" x14ac:dyDescent="0.25">
      <c r="A1112" s="1"/>
      <c r="B1112" s="1"/>
      <c r="C1112" s="8"/>
      <c r="D1112" s="1"/>
      <c r="E1112" s="1"/>
      <c r="F1112" s="1"/>
    </row>
    <row r="1113" spans="1:6" ht="15.75" x14ac:dyDescent="0.25">
      <c r="A1113" s="1"/>
      <c r="B1113" s="1"/>
      <c r="C1113" s="8"/>
      <c r="D1113" s="1"/>
      <c r="E1113" s="1"/>
      <c r="F1113" s="1"/>
    </row>
    <row r="1114" spans="1:6" ht="15.75" x14ac:dyDescent="0.25">
      <c r="A1114" s="1"/>
      <c r="B1114" s="1"/>
      <c r="C1114" s="8"/>
      <c r="D1114" s="1"/>
      <c r="E1114" s="1"/>
      <c r="F1114" s="1"/>
    </row>
    <row r="1115" spans="1:6" ht="15.75" x14ac:dyDescent="0.25">
      <c r="A1115" s="1"/>
      <c r="B1115" s="1"/>
      <c r="C1115" s="8"/>
      <c r="D1115" s="1"/>
      <c r="E1115" s="1"/>
      <c r="F1115" s="1"/>
    </row>
    <row r="1116" spans="1:6" ht="15.75" x14ac:dyDescent="0.25">
      <c r="A1116" s="1"/>
      <c r="B1116" s="1"/>
      <c r="C1116" s="8"/>
      <c r="D1116" s="1"/>
      <c r="E1116" s="1"/>
      <c r="F1116" s="1"/>
    </row>
    <row r="1117" spans="1:6" ht="15.75" x14ac:dyDescent="0.25">
      <c r="A1117" s="1"/>
      <c r="B1117" s="1"/>
      <c r="C1117" s="8"/>
      <c r="D1117" s="1"/>
      <c r="E1117" s="1"/>
      <c r="F1117" s="1"/>
    </row>
    <row r="1118" spans="1:6" ht="15.75" x14ac:dyDescent="0.25">
      <c r="A1118" s="1"/>
      <c r="B1118" s="1"/>
      <c r="C1118" s="8"/>
      <c r="D1118" s="1"/>
      <c r="E1118" s="1"/>
      <c r="F1118" s="1"/>
    </row>
    <row r="1119" spans="1:6" ht="15.75" x14ac:dyDescent="0.25">
      <c r="A1119" s="1"/>
      <c r="B1119" s="1"/>
      <c r="C1119" s="8"/>
      <c r="D1119" s="1"/>
      <c r="E1119" s="1"/>
      <c r="F1119" s="1"/>
    </row>
    <row r="1120" spans="1:6" ht="15.75" x14ac:dyDescent="0.25">
      <c r="A1120" s="1"/>
      <c r="B1120" s="1"/>
      <c r="C1120" s="8"/>
      <c r="D1120" s="1"/>
      <c r="E1120" s="1"/>
      <c r="F1120" s="1"/>
    </row>
    <row r="1121" spans="1:6" ht="15.75" x14ac:dyDescent="0.25">
      <c r="A1121" s="1"/>
      <c r="B1121" s="1"/>
      <c r="C1121" s="8"/>
      <c r="D1121" s="1"/>
      <c r="E1121" s="1"/>
      <c r="F1121" s="1"/>
    </row>
    <row r="1122" spans="1:6" ht="15.75" x14ac:dyDescent="0.25">
      <c r="A1122" s="1"/>
      <c r="B1122" s="1"/>
      <c r="C1122" s="8"/>
      <c r="D1122" s="1"/>
      <c r="E1122" s="1"/>
      <c r="F1122" s="1"/>
    </row>
    <row r="1123" spans="1:6" ht="15.75" x14ac:dyDescent="0.25">
      <c r="A1123" s="1"/>
      <c r="B1123" s="1"/>
      <c r="C1123" s="8"/>
      <c r="D1123" s="1"/>
      <c r="E1123" s="1"/>
      <c r="F1123" s="1"/>
    </row>
    <row r="1124" spans="1:6" ht="15.75" x14ac:dyDescent="0.25">
      <c r="A1124" s="1"/>
      <c r="B1124" s="1"/>
      <c r="C1124" s="8"/>
      <c r="D1124" s="1"/>
      <c r="E1124" s="1"/>
      <c r="F1124" s="1"/>
    </row>
    <row r="1125" spans="1:6" ht="15.75" x14ac:dyDescent="0.25">
      <c r="A1125" s="1"/>
      <c r="B1125" s="1"/>
      <c r="C1125" s="8"/>
      <c r="D1125" s="1"/>
      <c r="E1125" s="1"/>
      <c r="F1125" s="1"/>
    </row>
    <row r="1126" spans="1:6" ht="15.75" x14ac:dyDescent="0.25">
      <c r="A1126" s="1"/>
      <c r="B1126" s="1"/>
      <c r="C1126" s="8"/>
      <c r="D1126" s="1"/>
      <c r="E1126" s="1"/>
      <c r="F1126" s="1"/>
    </row>
    <row r="1127" spans="1:6" ht="15.75" x14ac:dyDescent="0.25">
      <c r="A1127" s="1"/>
      <c r="B1127" s="1"/>
      <c r="C1127" s="8"/>
      <c r="D1127" s="1"/>
      <c r="E1127" s="1"/>
      <c r="F1127" s="1"/>
    </row>
    <row r="1128" spans="1:6" ht="15.75" x14ac:dyDescent="0.25">
      <c r="A1128" s="1"/>
      <c r="B1128" s="1"/>
      <c r="C1128" s="8"/>
      <c r="D1128" s="1"/>
      <c r="E1128" s="1"/>
      <c r="F1128" s="1"/>
    </row>
    <row r="1129" spans="1:6" ht="15.75" x14ac:dyDescent="0.25">
      <c r="A1129" s="1"/>
      <c r="B1129" s="1"/>
      <c r="C1129" s="8"/>
      <c r="D1129" s="1"/>
      <c r="E1129" s="1"/>
      <c r="F1129" s="1"/>
    </row>
    <row r="1130" spans="1:6" ht="15.75" x14ac:dyDescent="0.25">
      <c r="A1130" s="1"/>
      <c r="B1130" s="1"/>
      <c r="C1130" s="8"/>
      <c r="D1130" s="1"/>
      <c r="E1130" s="1"/>
      <c r="F1130" s="1"/>
    </row>
    <row r="1131" spans="1:6" ht="15.75" x14ac:dyDescent="0.25">
      <c r="A1131" s="1"/>
      <c r="B1131" s="1"/>
      <c r="C1131" s="8"/>
      <c r="D1131" s="1"/>
      <c r="E1131" s="1"/>
      <c r="F1131" s="1"/>
    </row>
    <row r="1132" spans="1:6" ht="15.75" x14ac:dyDescent="0.25">
      <c r="A1132" s="1"/>
      <c r="B1132" s="1"/>
      <c r="C1132" s="8"/>
      <c r="D1132" s="1"/>
      <c r="E1132" s="1"/>
      <c r="F1132" s="1"/>
    </row>
    <row r="1133" spans="1:6" ht="15.75" x14ac:dyDescent="0.25">
      <c r="A1133" s="1"/>
      <c r="B1133" s="1"/>
      <c r="C1133" s="8"/>
      <c r="D1133" s="1"/>
      <c r="E1133" s="1"/>
      <c r="F1133" s="1"/>
    </row>
    <row r="1134" spans="1:6" ht="15.75" x14ac:dyDescent="0.25">
      <c r="A1134" s="1"/>
      <c r="B1134" s="1"/>
      <c r="C1134" s="8"/>
      <c r="D1134" s="1"/>
      <c r="E1134" s="1"/>
      <c r="F1134" s="1"/>
    </row>
    <row r="1135" spans="1:6" ht="15.75" x14ac:dyDescent="0.25">
      <c r="A1135" s="1"/>
      <c r="B1135" s="1"/>
      <c r="C1135" s="8"/>
      <c r="D1135" s="1"/>
      <c r="E1135" s="1"/>
      <c r="F1135" s="1"/>
    </row>
    <row r="1136" spans="1:6" ht="15.75" x14ac:dyDescent="0.25">
      <c r="A1136" s="1"/>
      <c r="B1136" s="1"/>
      <c r="C1136" s="8"/>
      <c r="D1136" s="1"/>
      <c r="E1136" s="1"/>
      <c r="F1136" s="1"/>
    </row>
    <row r="1137" spans="1:6" ht="15.75" x14ac:dyDescent="0.25">
      <c r="A1137" s="1"/>
      <c r="B1137" s="1"/>
      <c r="C1137" s="8"/>
      <c r="D1137" s="1"/>
      <c r="E1137" s="1"/>
      <c r="F1137" s="1"/>
    </row>
    <row r="1138" spans="1:6" ht="15.75" x14ac:dyDescent="0.25">
      <c r="A1138" s="1"/>
      <c r="B1138" s="1"/>
      <c r="C1138" s="8"/>
      <c r="D1138" s="1"/>
      <c r="E1138" s="1"/>
      <c r="F1138" s="1"/>
    </row>
    <row r="1139" spans="1:6" ht="15.75" x14ac:dyDescent="0.25">
      <c r="A1139" s="1"/>
      <c r="B1139" s="1"/>
      <c r="C1139" s="8"/>
      <c r="D1139" s="1"/>
      <c r="E1139" s="1"/>
      <c r="F1139" s="1"/>
    </row>
    <row r="1140" spans="1:6" ht="15.75" x14ac:dyDescent="0.25">
      <c r="A1140" s="1"/>
      <c r="B1140" s="1"/>
      <c r="C1140" s="8"/>
      <c r="D1140" s="1"/>
      <c r="E1140" s="1"/>
      <c r="F1140" s="1"/>
    </row>
    <row r="1141" spans="1:6" ht="15.75" x14ac:dyDescent="0.25">
      <c r="A1141" s="1"/>
      <c r="B1141" s="1"/>
      <c r="C1141" s="8"/>
      <c r="D1141" s="1"/>
      <c r="E1141" s="1"/>
      <c r="F1141" s="1"/>
    </row>
    <row r="1142" spans="1:6" ht="15.75" x14ac:dyDescent="0.25">
      <c r="A1142" s="1"/>
      <c r="B1142" s="1"/>
      <c r="C1142" s="8"/>
      <c r="D1142" s="1"/>
      <c r="E1142" s="1"/>
      <c r="F1142" s="1"/>
    </row>
    <row r="1143" spans="1:6" ht="15.75" x14ac:dyDescent="0.25">
      <c r="A1143" s="1"/>
      <c r="B1143" s="1"/>
      <c r="C1143" s="8"/>
      <c r="D1143" s="1"/>
      <c r="E1143" s="1"/>
      <c r="F1143" s="1"/>
    </row>
    <row r="1144" spans="1:6" ht="15.75" x14ac:dyDescent="0.25">
      <c r="A1144" s="1"/>
      <c r="B1144" s="1"/>
      <c r="C1144" s="8"/>
      <c r="D1144" s="1"/>
      <c r="E1144" s="1"/>
      <c r="F1144" s="1"/>
    </row>
    <row r="1145" spans="1:6" ht="15.75" x14ac:dyDescent="0.25">
      <c r="A1145" s="1"/>
      <c r="B1145" s="1"/>
      <c r="C1145" s="8"/>
      <c r="D1145" s="1"/>
      <c r="E1145" s="1"/>
      <c r="F1145" s="1"/>
    </row>
    <row r="1146" spans="1:6" ht="15.75" x14ac:dyDescent="0.25">
      <c r="A1146" s="1"/>
      <c r="B1146" s="1"/>
      <c r="C1146" s="8"/>
      <c r="D1146" s="1"/>
      <c r="E1146" s="1"/>
      <c r="F1146" s="1"/>
    </row>
    <row r="1147" spans="1:6" ht="15.75" x14ac:dyDescent="0.25">
      <c r="A1147" s="1"/>
      <c r="B1147" s="1"/>
      <c r="C1147" s="8"/>
      <c r="D1147" s="1"/>
      <c r="E1147" s="1"/>
      <c r="F1147" s="1"/>
    </row>
    <row r="1148" spans="1:6" ht="15.75" x14ac:dyDescent="0.25">
      <c r="A1148" s="1"/>
      <c r="B1148" s="1"/>
      <c r="C1148" s="8"/>
      <c r="D1148" s="1"/>
      <c r="E1148" s="1"/>
      <c r="F1148" s="1"/>
    </row>
    <row r="1149" spans="1:6" ht="15.75" x14ac:dyDescent="0.25">
      <c r="A1149" s="1"/>
      <c r="B1149" s="1"/>
      <c r="C1149" s="8"/>
      <c r="D1149" s="1"/>
      <c r="E1149" s="1"/>
      <c r="F1149" s="1"/>
    </row>
    <row r="1150" spans="1:6" ht="15.75" x14ac:dyDescent="0.25">
      <c r="A1150" s="1"/>
      <c r="B1150" s="1"/>
      <c r="C1150" s="8"/>
      <c r="D1150" s="1"/>
      <c r="E1150" s="1"/>
      <c r="F1150" s="1"/>
    </row>
    <row r="1151" spans="1:6" ht="15.75" x14ac:dyDescent="0.25">
      <c r="A1151" s="1"/>
      <c r="B1151" s="1"/>
      <c r="C1151" s="8"/>
      <c r="D1151" s="1"/>
      <c r="E1151" s="1"/>
      <c r="F1151" s="1"/>
    </row>
    <row r="1152" spans="1:6" ht="15.75" x14ac:dyDescent="0.25">
      <c r="A1152" s="1"/>
      <c r="B1152" s="1"/>
      <c r="C1152" s="8"/>
      <c r="D1152" s="1"/>
      <c r="E1152" s="1"/>
      <c r="F1152" s="1"/>
    </row>
    <row r="1153" spans="1:6" ht="15.75" x14ac:dyDescent="0.25">
      <c r="A1153" s="1"/>
      <c r="B1153" s="1"/>
      <c r="C1153" s="8"/>
      <c r="D1153" s="1"/>
      <c r="E1153" s="1"/>
      <c r="F1153" s="1"/>
    </row>
    <row r="1154" spans="1:6" ht="15.75" x14ac:dyDescent="0.25">
      <c r="A1154" s="1"/>
      <c r="B1154" s="1"/>
      <c r="C1154" s="8"/>
      <c r="D1154" s="1"/>
      <c r="E1154" s="1"/>
      <c r="F1154" s="1"/>
    </row>
    <row r="1155" spans="1:6" ht="15.75" x14ac:dyDescent="0.25">
      <c r="A1155" s="1"/>
      <c r="B1155" s="1"/>
      <c r="C1155" s="8"/>
      <c r="D1155" s="1"/>
      <c r="E1155" s="1"/>
      <c r="F1155" s="1"/>
    </row>
    <row r="1156" spans="1:6" ht="15.75" x14ac:dyDescent="0.25">
      <c r="A1156" s="1"/>
      <c r="B1156" s="1"/>
      <c r="C1156" s="8"/>
      <c r="D1156" s="1"/>
      <c r="E1156" s="1"/>
      <c r="F1156" s="1"/>
    </row>
    <row r="1157" spans="1:6" ht="15.75" x14ac:dyDescent="0.25">
      <c r="A1157" s="1"/>
      <c r="B1157" s="1"/>
      <c r="C1157" s="8"/>
      <c r="D1157" s="1"/>
      <c r="E1157" s="1"/>
      <c r="F1157" s="1"/>
    </row>
    <row r="1158" spans="1:6" ht="15.75" x14ac:dyDescent="0.25">
      <c r="A1158" s="1"/>
      <c r="B1158" s="1"/>
      <c r="C1158" s="8"/>
      <c r="D1158" s="1"/>
      <c r="E1158" s="1"/>
      <c r="F1158" s="1"/>
    </row>
    <row r="1159" spans="1:6" ht="15.75" x14ac:dyDescent="0.25">
      <c r="A1159" s="1"/>
      <c r="B1159" s="1"/>
      <c r="C1159" s="8"/>
      <c r="D1159" s="1"/>
      <c r="E1159" s="1"/>
      <c r="F1159" s="1"/>
    </row>
    <row r="1160" spans="1:6" ht="15.75" x14ac:dyDescent="0.25">
      <c r="A1160" s="1"/>
      <c r="B1160" s="1"/>
      <c r="C1160" s="8"/>
      <c r="D1160" s="1"/>
      <c r="E1160" s="1"/>
      <c r="F1160" s="1"/>
    </row>
    <row r="1161" spans="1:6" ht="15.75" x14ac:dyDescent="0.25">
      <c r="A1161" s="1"/>
      <c r="B1161" s="1"/>
      <c r="C1161" s="8"/>
      <c r="D1161" s="1"/>
      <c r="E1161" s="1"/>
      <c r="F1161" s="1"/>
    </row>
    <row r="1162" spans="1:6" ht="15.75" x14ac:dyDescent="0.25">
      <c r="A1162" s="1"/>
      <c r="B1162" s="1"/>
      <c r="C1162" s="8"/>
      <c r="D1162" s="1"/>
      <c r="E1162" s="1"/>
      <c r="F1162" s="1"/>
    </row>
    <row r="1163" spans="1:6" ht="15.75" x14ac:dyDescent="0.25">
      <c r="A1163" s="1"/>
      <c r="B1163" s="1"/>
      <c r="C1163" s="8"/>
      <c r="D1163" s="1"/>
      <c r="E1163" s="1"/>
      <c r="F1163" s="1"/>
    </row>
    <row r="1164" spans="1:6" ht="15.75" x14ac:dyDescent="0.25">
      <c r="A1164" s="1"/>
      <c r="B1164" s="1"/>
      <c r="C1164" s="8"/>
      <c r="D1164" s="1"/>
      <c r="E1164" s="1"/>
      <c r="F1164" s="1"/>
    </row>
    <row r="1165" spans="1:6" ht="15.75" x14ac:dyDescent="0.25">
      <c r="A1165" s="1"/>
      <c r="B1165" s="1"/>
      <c r="C1165" s="8"/>
      <c r="D1165" s="1"/>
      <c r="E1165" s="1"/>
      <c r="F1165" s="1"/>
    </row>
    <row r="1166" spans="1:6" ht="15.75" x14ac:dyDescent="0.25">
      <c r="A1166" s="1"/>
      <c r="B1166" s="1"/>
      <c r="C1166" s="8"/>
      <c r="D1166" s="1"/>
      <c r="E1166" s="1"/>
      <c r="F1166" s="1"/>
    </row>
    <row r="1167" spans="1:6" ht="15.75" x14ac:dyDescent="0.25">
      <c r="A1167" s="1"/>
      <c r="B1167" s="1"/>
      <c r="C1167" s="8"/>
      <c r="D1167" s="1"/>
      <c r="E1167" s="1"/>
      <c r="F1167" s="1"/>
    </row>
    <row r="1168" spans="1:6" ht="15.75" x14ac:dyDescent="0.25">
      <c r="A1168" s="1"/>
      <c r="B1168" s="1"/>
      <c r="C1168" s="8"/>
      <c r="D1168" s="1"/>
      <c r="E1168" s="1"/>
      <c r="F1168" s="1"/>
    </row>
    <row r="1169" spans="1:6" ht="15.75" x14ac:dyDescent="0.25">
      <c r="A1169" s="1"/>
      <c r="B1169" s="1"/>
      <c r="C1169" s="8"/>
      <c r="D1169" s="1"/>
      <c r="E1169" s="1"/>
      <c r="F1169" s="1"/>
    </row>
    <row r="1170" spans="1:6" ht="15.75" x14ac:dyDescent="0.25">
      <c r="A1170" s="1"/>
      <c r="B1170" s="1"/>
      <c r="C1170" s="8"/>
      <c r="D1170" s="1"/>
      <c r="E1170" s="1"/>
      <c r="F1170" s="1"/>
    </row>
    <row r="1171" spans="1:6" ht="15.75" x14ac:dyDescent="0.25">
      <c r="A1171" s="1"/>
      <c r="B1171" s="1"/>
      <c r="C1171" s="8"/>
      <c r="D1171" s="1"/>
      <c r="E1171" s="1"/>
      <c r="F1171" s="1"/>
    </row>
    <row r="1172" spans="1:6" ht="15.75" x14ac:dyDescent="0.25">
      <c r="A1172" s="1"/>
      <c r="B1172" s="1"/>
      <c r="C1172" s="8"/>
      <c r="D1172" s="1"/>
      <c r="E1172" s="1"/>
      <c r="F1172" s="1"/>
    </row>
    <row r="1173" spans="1:6" ht="15.75" x14ac:dyDescent="0.25">
      <c r="A1173" s="1"/>
      <c r="B1173" s="1"/>
      <c r="C1173" s="8"/>
      <c r="D1173" s="1"/>
      <c r="E1173" s="1"/>
      <c r="F1173" s="1"/>
    </row>
    <row r="1174" spans="1:6" ht="15.75" x14ac:dyDescent="0.25">
      <c r="A1174" s="1"/>
      <c r="B1174" s="1"/>
      <c r="C1174" s="8"/>
      <c r="D1174" s="1"/>
      <c r="E1174" s="1"/>
      <c r="F1174" s="1"/>
    </row>
    <row r="1175" spans="1:6" ht="15.75" x14ac:dyDescent="0.25">
      <c r="A1175" s="1"/>
      <c r="B1175" s="1"/>
      <c r="C1175" s="8"/>
      <c r="D1175" s="1"/>
      <c r="E1175" s="1"/>
      <c r="F1175" s="1"/>
    </row>
    <row r="1176" spans="1:6" ht="15.75" x14ac:dyDescent="0.25">
      <c r="A1176" s="1"/>
      <c r="B1176" s="1"/>
      <c r="C1176" s="8"/>
      <c r="D1176" s="1"/>
      <c r="E1176" s="1"/>
      <c r="F1176" s="1"/>
    </row>
    <row r="1177" spans="1:6" ht="15.75" x14ac:dyDescent="0.25">
      <c r="A1177" s="1"/>
      <c r="B1177" s="1"/>
      <c r="C1177" s="8"/>
      <c r="D1177" s="1"/>
      <c r="E1177" s="1"/>
      <c r="F1177" s="1"/>
    </row>
    <row r="1178" spans="1:6" ht="15.75" x14ac:dyDescent="0.25">
      <c r="A1178" s="1"/>
      <c r="B1178" s="1"/>
      <c r="C1178" s="8"/>
      <c r="D1178" s="1"/>
      <c r="E1178" s="1"/>
      <c r="F1178" s="1"/>
    </row>
    <row r="1179" spans="1:6" ht="15.75" x14ac:dyDescent="0.25">
      <c r="A1179" s="1"/>
      <c r="B1179" s="1"/>
      <c r="C1179" s="8"/>
      <c r="D1179" s="1"/>
      <c r="E1179" s="1"/>
      <c r="F1179" s="1"/>
    </row>
    <row r="1180" spans="1:6" ht="15.75" x14ac:dyDescent="0.25">
      <c r="A1180" s="1"/>
      <c r="B1180" s="1"/>
      <c r="C1180" s="8"/>
      <c r="D1180" s="1"/>
      <c r="E1180" s="1"/>
      <c r="F1180" s="1"/>
    </row>
    <row r="1181" spans="1:6" ht="15.75" x14ac:dyDescent="0.25">
      <c r="A1181" s="1"/>
      <c r="B1181" s="1"/>
      <c r="C1181" s="8"/>
      <c r="D1181" s="1"/>
      <c r="E1181" s="1"/>
      <c r="F1181" s="1"/>
    </row>
    <row r="1182" spans="1:6" ht="15.75" x14ac:dyDescent="0.25">
      <c r="A1182" s="1"/>
      <c r="B1182" s="1"/>
      <c r="C1182" s="8"/>
      <c r="D1182" s="1"/>
      <c r="E1182" s="1"/>
      <c r="F1182" s="1"/>
    </row>
    <row r="1183" spans="1:6" ht="15.75" x14ac:dyDescent="0.25">
      <c r="A1183" s="1"/>
      <c r="B1183" s="1"/>
      <c r="C1183" s="8"/>
      <c r="D1183" s="1"/>
      <c r="E1183" s="1"/>
      <c r="F1183" s="1"/>
    </row>
    <row r="1184" spans="1:6" ht="15.75" x14ac:dyDescent="0.25">
      <c r="A1184" s="1"/>
      <c r="B1184" s="1"/>
      <c r="C1184" s="8"/>
      <c r="D1184" s="1"/>
      <c r="E1184" s="1"/>
      <c r="F1184" s="1"/>
    </row>
    <row r="1185" spans="1:6" ht="15.75" x14ac:dyDescent="0.25">
      <c r="A1185" s="1"/>
      <c r="B1185" s="1"/>
      <c r="C1185" s="8"/>
      <c r="D1185" s="1"/>
      <c r="E1185" s="1"/>
      <c r="F1185" s="1"/>
    </row>
    <row r="1186" spans="1:6" ht="15.75" x14ac:dyDescent="0.25">
      <c r="A1186" s="1"/>
      <c r="B1186" s="1"/>
      <c r="C1186" s="8"/>
      <c r="D1186" s="1"/>
      <c r="E1186" s="1"/>
      <c r="F1186" s="1"/>
    </row>
    <row r="1187" spans="1:6" ht="15.75" x14ac:dyDescent="0.25">
      <c r="A1187" s="1"/>
      <c r="B1187" s="1"/>
      <c r="C1187" s="8"/>
      <c r="D1187" s="1"/>
      <c r="E1187" s="1"/>
      <c r="F1187" s="1"/>
    </row>
    <row r="1188" spans="1:6" ht="15.75" x14ac:dyDescent="0.25">
      <c r="A1188" s="1"/>
      <c r="B1188" s="1"/>
      <c r="C1188" s="8"/>
      <c r="D1188" s="1"/>
      <c r="E1188" s="1"/>
      <c r="F1188" s="1"/>
    </row>
    <row r="1189" spans="1:6" ht="15.75" x14ac:dyDescent="0.25">
      <c r="A1189" s="1"/>
      <c r="B1189" s="1"/>
      <c r="C1189" s="8"/>
      <c r="D1189" s="1"/>
      <c r="E1189" s="1"/>
      <c r="F1189" s="1"/>
    </row>
    <row r="1190" spans="1:6" ht="15.75" x14ac:dyDescent="0.25">
      <c r="A1190" s="1"/>
      <c r="B1190" s="1"/>
      <c r="C1190" s="8"/>
      <c r="D1190" s="1"/>
      <c r="E1190" s="1"/>
      <c r="F1190" s="1"/>
    </row>
    <row r="1191" spans="1:6" ht="15.75" x14ac:dyDescent="0.25">
      <c r="A1191" s="1"/>
      <c r="B1191" s="1"/>
      <c r="C1191" s="8"/>
      <c r="D1191" s="1"/>
      <c r="E1191" s="1"/>
      <c r="F1191" s="1"/>
    </row>
    <row r="1192" spans="1:6" ht="15.75" x14ac:dyDescent="0.25">
      <c r="A1192" s="1"/>
      <c r="B1192" s="1"/>
      <c r="C1192" s="8"/>
      <c r="D1192" s="1"/>
      <c r="E1192" s="1"/>
      <c r="F1192" s="1"/>
    </row>
    <row r="1193" spans="1:6" ht="15.75" x14ac:dyDescent="0.25">
      <c r="A1193" s="1"/>
      <c r="B1193" s="1"/>
      <c r="C1193" s="8"/>
      <c r="D1193" s="1"/>
      <c r="E1193" s="1"/>
      <c r="F1193" s="1"/>
    </row>
    <row r="1194" spans="1:6" ht="15.75" x14ac:dyDescent="0.25">
      <c r="A1194" s="1"/>
      <c r="B1194" s="1"/>
      <c r="C1194" s="8"/>
      <c r="D1194" s="1"/>
      <c r="E1194" s="1"/>
      <c r="F1194" s="1"/>
    </row>
    <row r="1195" spans="1:6" ht="15.75" x14ac:dyDescent="0.25">
      <c r="A1195" s="1"/>
      <c r="B1195" s="1"/>
      <c r="C1195" s="8"/>
      <c r="D1195" s="1"/>
      <c r="E1195" s="1"/>
      <c r="F1195" s="1"/>
    </row>
    <row r="1196" spans="1:6" ht="15.75" x14ac:dyDescent="0.25">
      <c r="A1196" s="1"/>
      <c r="B1196" s="1"/>
      <c r="C1196" s="8"/>
      <c r="D1196" s="1"/>
      <c r="E1196" s="1"/>
      <c r="F1196" s="1"/>
    </row>
    <row r="1197" spans="1:6" ht="15.75" x14ac:dyDescent="0.25">
      <c r="A1197" s="1"/>
      <c r="B1197" s="1"/>
      <c r="C1197" s="8"/>
      <c r="D1197" s="1"/>
      <c r="E1197" s="1"/>
      <c r="F1197" s="1"/>
    </row>
    <row r="1198" spans="1:6" ht="15.75" x14ac:dyDescent="0.25">
      <c r="A1198" s="1"/>
      <c r="B1198" s="1"/>
      <c r="C1198" s="8"/>
      <c r="D1198" s="1"/>
      <c r="E1198" s="1"/>
      <c r="F1198" s="1"/>
    </row>
    <row r="1199" spans="1:6" ht="15.75" x14ac:dyDescent="0.25">
      <c r="A1199" s="1"/>
      <c r="B1199" s="1"/>
      <c r="C1199" s="8"/>
      <c r="D1199" s="1"/>
      <c r="E1199" s="1"/>
      <c r="F1199" s="1"/>
    </row>
    <row r="1200" spans="1:6" ht="15.75" x14ac:dyDescent="0.25">
      <c r="A1200" s="1"/>
      <c r="B1200" s="1"/>
      <c r="C1200" s="8"/>
      <c r="D1200" s="1"/>
      <c r="E1200" s="1"/>
      <c r="F1200" s="1"/>
    </row>
    <row r="1201" spans="1:6" ht="15.75" x14ac:dyDescent="0.25">
      <c r="A1201" s="1"/>
      <c r="B1201" s="1"/>
      <c r="C1201" s="8"/>
      <c r="D1201" s="1"/>
      <c r="E1201" s="1"/>
      <c r="F1201" s="1"/>
    </row>
    <row r="1202" spans="1:6" ht="15.75" x14ac:dyDescent="0.25">
      <c r="A1202" s="1"/>
      <c r="B1202" s="1"/>
      <c r="C1202" s="8"/>
      <c r="D1202" s="1"/>
      <c r="E1202" s="1"/>
      <c r="F1202" s="1"/>
    </row>
    <row r="1203" spans="1:6" ht="15.75" x14ac:dyDescent="0.25">
      <c r="A1203" s="1"/>
      <c r="B1203" s="1"/>
      <c r="C1203" s="8"/>
      <c r="D1203" s="1"/>
      <c r="E1203" s="1"/>
      <c r="F1203" s="1"/>
    </row>
    <row r="1204" spans="1:6" ht="15.75" x14ac:dyDescent="0.25">
      <c r="A1204" s="1"/>
      <c r="B1204" s="1"/>
      <c r="C1204" s="8"/>
      <c r="D1204" s="1"/>
      <c r="E1204" s="1"/>
      <c r="F1204" s="1"/>
    </row>
    <row r="1205" spans="1:6" ht="15.75" x14ac:dyDescent="0.25">
      <c r="A1205" s="1"/>
      <c r="B1205" s="1"/>
      <c r="C1205" s="8"/>
      <c r="D1205" s="1"/>
      <c r="E1205" s="1"/>
      <c r="F1205" s="1"/>
    </row>
    <row r="1206" spans="1:6" ht="15.75" x14ac:dyDescent="0.25">
      <c r="A1206" s="1"/>
      <c r="B1206" s="1"/>
      <c r="C1206" s="8"/>
      <c r="D1206" s="1"/>
      <c r="E1206" s="1"/>
      <c r="F1206" s="1"/>
    </row>
    <row r="1207" spans="1:6" ht="15.75" x14ac:dyDescent="0.25">
      <c r="A1207" s="1"/>
      <c r="B1207" s="1"/>
      <c r="C1207" s="8"/>
      <c r="D1207" s="1"/>
      <c r="E1207" s="1"/>
      <c r="F1207" s="1"/>
    </row>
    <row r="1208" spans="1:6" ht="15.75" x14ac:dyDescent="0.25">
      <c r="A1208" s="1"/>
      <c r="B1208" s="1"/>
      <c r="C1208" s="8"/>
      <c r="D1208" s="1"/>
      <c r="E1208" s="1"/>
      <c r="F1208" s="1"/>
    </row>
    <row r="1209" spans="1:6" ht="15.75" x14ac:dyDescent="0.25">
      <c r="A1209" s="1"/>
      <c r="B1209" s="1"/>
      <c r="C1209" s="8"/>
      <c r="D1209" s="1"/>
      <c r="E1209" s="1"/>
      <c r="F1209" s="1"/>
    </row>
    <row r="1210" spans="1:6" ht="15.75" x14ac:dyDescent="0.25">
      <c r="A1210" s="1"/>
      <c r="B1210" s="1"/>
      <c r="C1210" s="8"/>
      <c r="D1210" s="1"/>
      <c r="E1210" s="1"/>
      <c r="F1210" s="1"/>
    </row>
    <row r="1211" spans="1:6" ht="15.75" x14ac:dyDescent="0.25">
      <c r="A1211" s="1"/>
      <c r="B1211" s="1"/>
      <c r="C1211" s="8"/>
      <c r="D1211" s="1"/>
      <c r="E1211" s="1"/>
      <c r="F1211" s="1"/>
    </row>
    <row r="1212" spans="1:6" ht="15.75" x14ac:dyDescent="0.25">
      <c r="A1212" s="1"/>
      <c r="B1212" s="1"/>
      <c r="C1212" s="8"/>
      <c r="D1212" s="1"/>
      <c r="E1212" s="1"/>
      <c r="F1212" s="1"/>
    </row>
    <row r="1213" spans="1:6" ht="15.75" x14ac:dyDescent="0.25">
      <c r="A1213" s="1"/>
      <c r="B1213" s="1"/>
      <c r="C1213" s="8"/>
      <c r="D1213" s="1"/>
      <c r="E1213" s="1"/>
      <c r="F1213" s="1"/>
    </row>
    <row r="1214" spans="1:6" ht="15.75" x14ac:dyDescent="0.25">
      <c r="A1214" s="1"/>
      <c r="B1214" s="1"/>
      <c r="C1214" s="8"/>
      <c r="D1214" s="1"/>
      <c r="E1214" s="1"/>
      <c r="F1214" s="1"/>
    </row>
    <row r="1215" spans="1:6" ht="15.75" x14ac:dyDescent="0.25">
      <c r="A1215" s="1"/>
      <c r="B1215" s="1"/>
      <c r="C1215" s="8"/>
      <c r="D1215" s="1"/>
      <c r="E1215" s="1"/>
      <c r="F1215" s="1"/>
    </row>
    <row r="1216" spans="1:6" ht="15.75" x14ac:dyDescent="0.25">
      <c r="A1216" s="1"/>
      <c r="B1216" s="1"/>
      <c r="C1216" s="8"/>
      <c r="D1216" s="1"/>
      <c r="E1216" s="1"/>
      <c r="F1216" s="1"/>
    </row>
    <row r="1217" spans="1:6" ht="15.75" x14ac:dyDescent="0.25">
      <c r="A1217" s="1"/>
      <c r="B1217" s="1"/>
      <c r="C1217" s="8"/>
      <c r="D1217" s="1"/>
      <c r="E1217" s="1"/>
      <c r="F1217" s="1"/>
    </row>
    <row r="1218" spans="1:6" ht="15.75" x14ac:dyDescent="0.25">
      <c r="A1218" s="1"/>
      <c r="B1218" s="1"/>
      <c r="C1218" s="8"/>
      <c r="D1218" s="1"/>
      <c r="E1218" s="1"/>
      <c r="F1218" s="1"/>
    </row>
    <row r="1219" spans="1:6" ht="15.75" x14ac:dyDescent="0.25">
      <c r="A1219" s="1"/>
      <c r="B1219" s="1"/>
      <c r="C1219" s="8"/>
      <c r="D1219" s="1"/>
      <c r="E1219" s="1"/>
      <c r="F1219" s="1"/>
    </row>
    <row r="1220" spans="1:6" ht="15.75" x14ac:dyDescent="0.25">
      <c r="A1220" s="1"/>
      <c r="B1220" s="1"/>
      <c r="C1220" s="8"/>
      <c r="D1220" s="1"/>
      <c r="E1220" s="1"/>
      <c r="F1220" s="1"/>
    </row>
    <row r="1221" spans="1:6" ht="15.75" x14ac:dyDescent="0.25">
      <c r="A1221" s="1"/>
      <c r="B1221" s="1"/>
      <c r="C1221" s="8"/>
      <c r="D1221" s="1"/>
      <c r="E1221" s="1"/>
      <c r="F1221" s="1"/>
    </row>
    <row r="1222" spans="1:6" ht="15.75" x14ac:dyDescent="0.25">
      <c r="A1222" s="1"/>
      <c r="B1222" s="1"/>
      <c r="C1222" s="8"/>
      <c r="D1222" s="1"/>
      <c r="E1222" s="1"/>
      <c r="F1222" s="1"/>
    </row>
    <row r="1223" spans="1:6" ht="15.75" x14ac:dyDescent="0.25">
      <c r="A1223" s="1"/>
      <c r="B1223" s="1"/>
      <c r="C1223" s="8"/>
      <c r="D1223" s="1"/>
      <c r="E1223" s="1"/>
      <c r="F1223" s="1"/>
    </row>
    <row r="1224" spans="1:6" ht="15.75" x14ac:dyDescent="0.25">
      <c r="A1224" s="1"/>
      <c r="B1224" s="1"/>
      <c r="C1224" s="8"/>
      <c r="D1224" s="1"/>
      <c r="E1224" s="1"/>
      <c r="F1224" s="1"/>
    </row>
    <row r="1225" spans="1:6" ht="15.75" x14ac:dyDescent="0.25">
      <c r="A1225" s="1"/>
      <c r="B1225" s="1"/>
      <c r="C1225" s="8"/>
      <c r="D1225" s="1"/>
      <c r="E1225" s="1"/>
      <c r="F1225" s="1"/>
    </row>
    <row r="1226" spans="1:6" ht="15.75" x14ac:dyDescent="0.25">
      <c r="A1226" s="1"/>
      <c r="B1226" s="1"/>
      <c r="C1226" s="8"/>
      <c r="D1226" s="1"/>
      <c r="E1226" s="1"/>
      <c r="F1226" s="1"/>
    </row>
    <row r="1227" spans="1:6" ht="15.75" x14ac:dyDescent="0.25">
      <c r="A1227" s="1"/>
      <c r="B1227" s="1"/>
      <c r="C1227" s="8"/>
      <c r="D1227" s="1"/>
      <c r="E1227" s="1"/>
      <c r="F1227" s="1"/>
    </row>
    <row r="1228" spans="1:6" ht="15.75" x14ac:dyDescent="0.25">
      <c r="A1228" s="1"/>
      <c r="B1228" s="1"/>
      <c r="C1228" s="8"/>
      <c r="D1228" s="1"/>
      <c r="E1228" s="1"/>
      <c r="F1228" s="1"/>
    </row>
    <row r="1229" spans="1:6" ht="15.75" x14ac:dyDescent="0.25">
      <c r="A1229" s="1"/>
      <c r="B1229" s="1"/>
      <c r="C1229" s="8"/>
      <c r="D1229" s="1"/>
      <c r="E1229" s="1"/>
      <c r="F1229" s="1"/>
    </row>
    <row r="1230" spans="1:6" ht="15.75" x14ac:dyDescent="0.25">
      <c r="A1230" s="1"/>
      <c r="B1230" s="1"/>
      <c r="C1230" s="8"/>
      <c r="D1230" s="1"/>
      <c r="E1230" s="1"/>
      <c r="F1230" s="1"/>
    </row>
    <row r="1231" spans="1:6" ht="15.75" x14ac:dyDescent="0.25">
      <c r="A1231" s="1"/>
      <c r="B1231" s="1"/>
      <c r="C1231" s="8"/>
      <c r="D1231" s="1"/>
      <c r="E1231" s="1"/>
      <c r="F1231" s="1"/>
    </row>
    <row r="1232" spans="1:6" ht="15.75" x14ac:dyDescent="0.25">
      <c r="A1232" s="1"/>
      <c r="B1232" s="1"/>
      <c r="C1232" s="8"/>
      <c r="D1232" s="1"/>
      <c r="E1232" s="1"/>
      <c r="F1232" s="1"/>
    </row>
    <row r="1233" spans="1:6" ht="15.75" x14ac:dyDescent="0.25">
      <c r="A1233" s="1"/>
      <c r="B1233" s="1"/>
      <c r="C1233" s="8"/>
      <c r="D1233" s="1"/>
      <c r="E1233" s="1"/>
      <c r="F1233" s="1"/>
    </row>
    <row r="1234" spans="1:6" ht="15.75" x14ac:dyDescent="0.25">
      <c r="A1234" s="1"/>
      <c r="B1234" s="1"/>
      <c r="C1234" s="8"/>
      <c r="D1234" s="1"/>
      <c r="E1234" s="1"/>
      <c r="F1234" s="1"/>
    </row>
    <row r="1235" spans="1:6" ht="15.75" x14ac:dyDescent="0.25">
      <c r="A1235" s="1"/>
      <c r="B1235" s="1"/>
      <c r="C1235" s="8"/>
      <c r="D1235" s="1"/>
      <c r="E1235" s="1"/>
      <c r="F1235" s="1"/>
    </row>
    <row r="1236" spans="1:6" ht="15.75" x14ac:dyDescent="0.25">
      <c r="A1236" s="1"/>
      <c r="B1236" s="1"/>
      <c r="C1236" s="8"/>
      <c r="D1236" s="1"/>
      <c r="E1236" s="1"/>
      <c r="F1236" s="1"/>
    </row>
    <row r="1237" spans="1:6" ht="15.75" x14ac:dyDescent="0.25">
      <c r="A1237" s="1"/>
      <c r="B1237" s="1"/>
      <c r="C1237" s="8"/>
      <c r="D1237" s="1"/>
      <c r="E1237" s="1"/>
      <c r="F1237" s="1"/>
    </row>
    <row r="1238" spans="1:6" ht="15.75" x14ac:dyDescent="0.25">
      <c r="A1238" s="1"/>
      <c r="B1238" s="1"/>
      <c r="C1238" s="8"/>
      <c r="D1238" s="1"/>
      <c r="E1238" s="1"/>
      <c r="F1238" s="1"/>
    </row>
    <row r="1239" spans="1:6" ht="15.75" x14ac:dyDescent="0.25">
      <c r="A1239" s="1"/>
      <c r="B1239" s="1"/>
      <c r="C1239" s="8"/>
      <c r="D1239" s="1"/>
      <c r="E1239" s="1"/>
      <c r="F1239" s="1"/>
    </row>
    <row r="1240" spans="1:6" ht="15.75" x14ac:dyDescent="0.25">
      <c r="A1240" s="1"/>
      <c r="B1240" s="1"/>
      <c r="C1240" s="8"/>
      <c r="D1240" s="1"/>
      <c r="E1240" s="1"/>
      <c r="F1240" s="1"/>
    </row>
    <row r="1241" spans="1:6" ht="15.75" x14ac:dyDescent="0.25">
      <c r="A1241" s="1"/>
      <c r="B1241" s="1"/>
      <c r="C1241" s="8"/>
      <c r="D1241" s="1"/>
      <c r="E1241" s="1"/>
      <c r="F1241" s="1"/>
    </row>
    <row r="1242" spans="1:6" ht="15.75" x14ac:dyDescent="0.25">
      <c r="A1242" s="1"/>
      <c r="B1242" s="1"/>
      <c r="C1242" s="8"/>
      <c r="D1242" s="1"/>
      <c r="E1242" s="1"/>
      <c r="F1242" s="1"/>
    </row>
    <row r="1243" spans="1:6" ht="15.75" x14ac:dyDescent="0.25">
      <c r="A1243" s="1"/>
      <c r="B1243" s="1"/>
      <c r="C1243" s="8"/>
      <c r="D1243" s="1"/>
      <c r="E1243" s="1"/>
      <c r="F1243" s="1"/>
    </row>
    <row r="1244" spans="1:6" ht="15.75" x14ac:dyDescent="0.25">
      <c r="A1244" s="1"/>
      <c r="B1244" s="1"/>
      <c r="C1244" s="8"/>
      <c r="D1244" s="1"/>
      <c r="E1244" s="1"/>
      <c r="F1244" s="1"/>
    </row>
    <row r="1245" spans="1:6" ht="15.75" x14ac:dyDescent="0.25">
      <c r="A1245" s="1"/>
      <c r="B1245" s="1"/>
      <c r="C1245" s="8"/>
      <c r="D1245" s="1"/>
      <c r="E1245" s="1"/>
      <c r="F1245" s="1"/>
    </row>
    <row r="1246" spans="1:6" ht="15.75" x14ac:dyDescent="0.25">
      <c r="A1246" s="1"/>
      <c r="B1246" s="1"/>
      <c r="C1246" s="8"/>
      <c r="D1246" s="1"/>
      <c r="E1246" s="1"/>
      <c r="F1246" s="1"/>
    </row>
    <row r="1247" spans="1:6" ht="15.75" x14ac:dyDescent="0.25">
      <c r="A1247" s="1"/>
      <c r="B1247" s="1"/>
      <c r="C1247" s="8"/>
      <c r="D1247" s="1"/>
      <c r="E1247" s="1"/>
      <c r="F1247" s="1"/>
    </row>
    <row r="1248" spans="1:6" ht="15.75" x14ac:dyDescent="0.25">
      <c r="A1248" s="1"/>
      <c r="B1248" s="1"/>
      <c r="C1248" s="8"/>
      <c r="D1248" s="1"/>
      <c r="E1248" s="1"/>
      <c r="F1248" s="1"/>
    </row>
    <row r="1249" spans="1:6" ht="15.75" x14ac:dyDescent="0.25">
      <c r="A1249" s="1"/>
      <c r="B1249" s="1"/>
      <c r="C1249" s="8"/>
      <c r="D1249" s="1"/>
      <c r="E1249" s="1"/>
      <c r="F1249" s="1"/>
    </row>
    <row r="1250" spans="1:6" ht="15.75" x14ac:dyDescent="0.25">
      <c r="A1250" s="1"/>
      <c r="B1250" s="1"/>
      <c r="C1250" s="8"/>
      <c r="D1250" s="1"/>
      <c r="E1250" s="1"/>
      <c r="F1250" s="1"/>
    </row>
    <row r="1251" spans="1:6" ht="15.75" x14ac:dyDescent="0.25">
      <c r="A1251" s="1"/>
      <c r="B1251" s="1"/>
      <c r="C1251" s="8"/>
      <c r="D1251" s="1"/>
      <c r="E1251" s="1"/>
      <c r="F1251" s="1"/>
    </row>
    <row r="1252" spans="1:6" ht="15.75" x14ac:dyDescent="0.25">
      <c r="A1252" s="1"/>
      <c r="B1252" s="1"/>
      <c r="C1252" s="8"/>
      <c r="D1252" s="1"/>
      <c r="E1252" s="1"/>
      <c r="F1252" s="1"/>
    </row>
    <row r="1253" spans="1:6" ht="15.75" x14ac:dyDescent="0.25">
      <c r="A1253" s="1"/>
      <c r="B1253" s="1"/>
      <c r="C1253" s="8"/>
      <c r="D1253" s="1"/>
      <c r="E1253" s="1"/>
      <c r="F1253" s="1"/>
    </row>
    <row r="1254" spans="1:6" ht="15.75" x14ac:dyDescent="0.25">
      <c r="A1254" s="1"/>
      <c r="B1254" s="1"/>
      <c r="C1254" s="8"/>
      <c r="D1254" s="1"/>
      <c r="E1254" s="1"/>
      <c r="F1254" s="1"/>
    </row>
    <row r="1255" spans="1:6" ht="15.75" x14ac:dyDescent="0.25">
      <c r="A1255" s="1"/>
      <c r="B1255" s="1"/>
      <c r="C1255" s="8"/>
      <c r="D1255" s="1"/>
      <c r="E1255" s="1"/>
      <c r="F1255" s="1"/>
    </row>
    <row r="1256" spans="1:6" ht="15.75" x14ac:dyDescent="0.25">
      <c r="A1256" s="1"/>
      <c r="B1256" s="1"/>
      <c r="C1256" s="8"/>
      <c r="D1256" s="1"/>
      <c r="E1256" s="1"/>
      <c r="F1256" s="1"/>
    </row>
    <row r="1257" spans="1:6" ht="15.75" x14ac:dyDescent="0.25">
      <c r="A1257" s="1"/>
      <c r="B1257" s="1"/>
      <c r="C1257" s="8"/>
      <c r="D1257" s="1"/>
      <c r="E1257" s="1"/>
      <c r="F1257" s="1"/>
    </row>
    <row r="1258" spans="1:6" ht="15.75" x14ac:dyDescent="0.25">
      <c r="A1258" s="1"/>
      <c r="B1258" s="1"/>
      <c r="C1258" s="8"/>
      <c r="D1258" s="1"/>
      <c r="E1258" s="1"/>
      <c r="F1258" s="1"/>
    </row>
    <row r="1259" spans="1:6" ht="15.75" x14ac:dyDescent="0.25">
      <c r="A1259" s="1"/>
      <c r="B1259" s="1"/>
      <c r="C1259" s="8"/>
      <c r="D1259" s="1"/>
      <c r="E1259" s="1"/>
      <c r="F1259" s="1"/>
    </row>
    <row r="1260" spans="1:6" ht="15.75" x14ac:dyDescent="0.25">
      <c r="A1260" s="1"/>
      <c r="B1260" s="1"/>
      <c r="C1260" s="8"/>
      <c r="D1260" s="1"/>
      <c r="E1260" s="1"/>
      <c r="F1260" s="1"/>
    </row>
    <row r="1261" spans="1:6" ht="15.75" x14ac:dyDescent="0.25">
      <c r="A1261" s="1"/>
      <c r="B1261" s="1"/>
      <c r="C1261" s="8"/>
      <c r="D1261" s="1"/>
      <c r="E1261" s="1"/>
      <c r="F1261" s="1"/>
    </row>
    <row r="1262" spans="1:6" ht="15.75" x14ac:dyDescent="0.25">
      <c r="A1262" s="1"/>
      <c r="B1262" s="1"/>
      <c r="C1262" s="8"/>
      <c r="D1262" s="1"/>
      <c r="E1262" s="1"/>
      <c r="F1262" s="1"/>
    </row>
    <row r="1263" spans="1:6" ht="15.75" x14ac:dyDescent="0.25">
      <c r="A1263" s="1"/>
      <c r="B1263" s="1"/>
      <c r="C1263" s="8"/>
      <c r="D1263" s="1"/>
      <c r="E1263" s="1"/>
      <c r="F1263" s="1"/>
    </row>
    <row r="1264" spans="1:6" ht="15.75" x14ac:dyDescent="0.25">
      <c r="A1264" s="1"/>
      <c r="B1264" s="1"/>
      <c r="C1264" s="8"/>
      <c r="D1264" s="1"/>
      <c r="E1264" s="1"/>
      <c r="F1264" s="1"/>
    </row>
    <row r="1265" spans="1:6" ht="15.75" x14ac:dyDescent="0.25">
      <c r="A1265" s="1"/>
      <c r="B1265" s="1"/>
      <c r="C1265" s="8"/>
      <c r="D1265" s="1"/>
      <c r="E1265" s="1"/>
      <c r="F1265" s="1"/>
    </row>
    <row r="1266" spans="1:6" ht="15.75" x14ac:dyDescent="0.25">
      <c r="A1266" s="1"/>
      <c r="B1266" s="1"/>
      <c r="C1266" s="8"/>
      <c r="D1266" s="1"/>
      <c r="E1266" s="1"/>
      <c r="F1266" s="1"/>
    </row>
    <row r="1267" spans="1:6" ht="15.75" x14ac:dyDescent="0.25">
      <c r="A1267" s="1"/>
      <c r="B1267" s="1"/>
      <c r="C1267" s="8"/>
      <c r="D1267" s="1"/>
      <c r="E1267" s="1"/>
      <c r="F1267" s="1"/>
    </row>
    <row r="1268" spans="1:6" ht="15.75" x14ac:dyDescent="0.25">
      <c r="A1268" s="1"/>
      <c r="B1268" s="1"/>
      <c r="C1268" s="8"/>
      <c r="D1268" s="1"/>
      <c r="E1268" s="1"/>
      <c r="F1268" s="1"/>
    </row>
    <row r="1269" spans="1:6" ht="15.75" x14ac:dyDescent="0.25">
      <c r="A1269" s="1"/>
      <c r="B1269" s="1"/>
      <c r="C1269" s="8"/>
      <c r="D1269" s="1"/>
      <c r="E1269" s="1"/>
      <c r="F1269" s="1"/>
    </row>
    <row r="1270" spans="1:6" ht="15.75" x14ac:dyDescent="0.25">
      <c r="A1270" s="1"/>
      <c r="B1270" s="1"/>
      <c r="C1270" s="8"/>
      <c r="D1270" s="1"/>
      <c r="E1270" s="1"/>
      <c r="F1270" s="1"/>
    </row>
    <row r="1271" spans="1:6" ht="15.75" x14ac:dyDescent="0.25">
      <c r="A1271" s="1"/>
      <c r="B1271" s="1"/>
      <c r="C1271" s="8"/>
      <c r="D1271" s="1"/>
      <c r="E1271" s="1"/>
      <c r="F1271" s="1"/>
    </row>
    <row r="1272" spans="1:6" ht="15.75" x14ac:dyDescent="0.25">
      <c r="A1272" s="1"/>
      <c r="B1272" s="1"/>
      <c r="C1272" s="8"/>
      <c r="D1272" s="1"/>
      <c r="E1272" s="1"/>
      <c r="F1272" s="1"/>
    </row>
    <row r="1273" spans="1:6" ht="15.75" x14ac:dyDescent="0.25">
      <c r="A1273" s="1"/>
      <c r="B1273" s="1"/>
      <c r="C1273" s="8"/>
      <c r="D1273" s="1"/>
      <c r="E1273" s="1"/>
      <c r="F1273" s="1"/>
    </row>
    <row r="1274" spans="1:6" ht="15.75" x14ac:dyDescent="0.25">
      <c r="A1274" s="1"/>
      <c r="B1274" s="1"/>
      <c r="C1274" s="8"/>
      <c r="D1274" s="1"/>
      <c r="E1274" s="1"/>
      <c r="F1274" s="1"/>
    </row>
    <row r="1275" spans="1:6" ht="15.75" x14ac:dyDescent="0.25">
      <c r="A1275" s="1"/>
      <c r="B1275" s="1"/>
      <c r="C1275" s="8"/>
      <c r="D1275" s="1"/>
      <c r="E1275" s="1"/>
      <c r="F1275" s="1"/>
    </row>
    <row r="1276" spans="1:6" ht="15.75" x14ac:dyDescent="0.25">
      <c r="A1276" s="1"/>
      <c r="B1276" s="1"/>
      <c r="C1276" s="8"/>
      <c r="D1276" s="1"/>
      <c r="E1276" s="1"/>
      <c r="F1276" s="1"/>
    </row>
    <row r="1277" spans="1:6" ht="15.75" x14ac:dyDescent="0.25">
      <c r="A1277" s="1"/>
      <c r="B1277" s="1"/>
      <c r="C1277" s="8"/>
      <c r="D1277" s="1"/>
      <c r="E1277" s="1"/>
      <c r="F1277" s="1"/>
    </row>
    <row r="1278" spans="1:6" ht="15.75" x14ac:dyDescent="0.25">
      <c r="A1278" s="1"/>
      <c r="B1278" s="1"/>
      <c r="C1278" s="8"/>
      <c r="D1278" s="1"/>
      <c r="E1278" s="1"/>
      <c r="F1278" s="1"/>
    </row>
    <row r="1279" spans="1:6" ht="15.75" x14ac:dyDescent="0.25">
      <c r="A1279" s="1"/>
      <c r="B1279" s="1"/>
      <c r="C1279" s="8"/>
      <c r="D1279" s="1"/>
      <c r="E1279" s="1"/>
      <c r="F1279" s="1"/>
    </row>
    <row r="1280" spans="1:6" ht="15.75" x14ac:dyDescent="0.25">
      <c r="A1280" s="1"/>
      <c r="B1280" s="1"/>
      <c r="C1280" s="8"/>
      <c r="D1280" s="1"/>
      <c r="E1280" s="1"/>
      <c r="F1280" s="1"/>
    </row>
    <row r="1281" spans="1:6" ht="15.75" x14ac:dyDescent="0.25">
      <c r="A1281" s="1"/>
      <c r="B1281" s="1"/>
      <c r="C1281" s="8"/>
      <c r="D1281" s="1"/>
      <c r="E1281" s="1"/>
      <c r="F1281" s="1"/>
    </row>
    <row r="1282" spans="1:6" ht="15.75" x14ac:dyDescent="0.25">
      <c r="A1282" s="1"/>
      <c r="B1282" s="1"/>
      <c r="C1282" s="8"/>
      <c r="D1282" s="1"/>
      <c r="E1282" s="1"/>
      <c r="F1282" s="1"/>
    </row>
    <row r="1283" spans="1:6" ht="15.75" x14ac:dyDescent="0.25">
      <c r="A1283" s="1"/>
      <c r="B1283" s="1"/>
      <c r="C1283" s="8"/>
      <c r="D1283" s="1"/>
      <c r="E1283" s="1"/>
      <c r="F1283" s="1"/>
    </row>
    <row r="1284" spans="1:6" ht="15.75" x14ac:dyDescent="0.25">
      <c r="A1284" s="1"/>
      <c r="B1284" s="1"/>
      <c r="C1284" s="8"/>
      <c r="D1284" s="1"/>
      <c r="E1284" s="1"/>
      <c r="F1284" s="1"/>
    </row>
    <row r="1285" spans="1:6" ht="15.75" x14ac:dyDescent="0.25">
      <c r="A1285" s="1"/>
      <c r="B1285" s="1"/>
      <c r="C1285" s="8"/>
      <c r="D1285" s="1"/>
      <c r="E1285" s="1"/>
      <c r="F1285" s="1"/>
    </row>
    <row r="1286" spans="1:6" ht="15.75" x14ac:dyDescent="0.25">
      <c r="A1286" s="1"/>
      <c r="B1286" s="1"/>
      <c r="C1286" s="8"/>
      <c r="D1286" s="1"/>
      <c r="E1286" s="1"/>
      <c r="F1286" s="1"/>
    </row>
    <row r="1287" spans="1:6" ht="15.75" x14ac:dyDescent="0.25">
      <c r="A1287" s="1"/>
      <c r="B1287" s="1"/>
      <c r="C1287" s="8"/>
      <c r="D1287" s="1"/>
      <c r="E1287" s="1"/>
      <c r="F1287" s="1"/>
    </row>
    <row r="1288" spans="1:6" ht="15.75" x14ac:dyDescent="0.25">
      <c r="A1288" s="1"/>
      <c r="B1288" s="1"/>
      <c r="C1288" s="8"/>
      <c r="D1288" s="1"/>
      <c r="E1288" s="1"/>
      <c r="F1288" s="1"/>
    </row>
    <row r="1289" spans="1:6" ht="15.75" x14ac:dyDescent="0.25">
      <c r="A1289" s="1"/>
      <c r="B1289" s="1"/>
      <c r="C1289" s="8"/>
      <c r="D1289" s="1"/>
      <c r="E1289" s="1"/>
      <c r="F1289" s="1"/>
    </row>
    <row r="1290" spans="1:6" ht="15.75" x14ac:dyDescent="0.25">
      <c r="A1290" s="1"/>
      <c r="B1290" s="1"/>
      <c r="C1290" s="8"/>
      <c r="D1290" s="1"/>
      <c r="E1290" s="1"/>
      <c r="F1290" s="1"/>
    </row>
    <row r="1291" spans="1:6" ht="15.75" x14ac:dyDescent="0.25">
      <c r="A1291" s="1"/>
      <c r="B1291" s="1"/>
      <c r="C1291" s="8"/>
      <c r="D1291" s="1"/>
      <c r="E1291" s="1"/>
      <c r="F1291" s="1"/>
    </row>
    <row r="1292" spans="1:6" ht="15.75" x14ac:dyDescent="0.25">
      <c r="A1292" s="1"/>
      <c r="B1292" s="1"/>
      <c r="C1292" s="8"/>
      <c r="D1292" s="1"/>
      <c r="E1292" s="1"/>
      <c r="F1292" s="1"/>
    </row>
    <row r="1293" spans="1:6" ht="15.75" x14ac:dyDescent="0.25">
      <c r="A1293" s="1"/>
      <c r="B1293" s="1"/>
      <c r="C1293" s="8"/>
      <c r="D1293" s="1"/>
      <c r="E1293" s="1"/>
      <c r="F1293" s="1"/>
    </row>
    <row r="1294" spans="1:6" ht="15.75" x14ac:dyDescent="0.25">
      <c r="A1294" s="1"/>
      <c r="B1294" s="1"/>
      <c r="C1294" s="8"/>
      <c r="D1294" s="1"/>
      <c r="E1294" s="1"/>
      <c r="F1294" s="1"/>
    </row>
    <row r="1295" spans="1:6" ht="15.75" x14ac:dyDescent="0.25">
      <c r="A1295" s="1"/>
      <c r="B1295" s="1"/>
      <c r="C1295" s="8"/>
      <c r="D1295" s="1"/>
      <c r="E1295" s="1"/>
      <c r="F1295" s="1"/>
    </row>
    <row r="1296" spans="1:6" ht="15.75" x14ac:dyDescent="0.25">
      <c r="A1296" s="1"/>
      <c r="B1296" s="1"/>
      <c r="C1296" s="8"/>
      <c r="D1296" s="1"/>
      <c r="E1296" s="1"/>
      <c r="F1296" s="1"/>
    </row>
    <row r="1297" spans="1:6" ht="15.75" x14ac:dyDescent="0.25">
      <c r="A1297" s="1"/>
      <c r="B1297" s="1"/>
      <c r="C1297" s="8"/>
      <c r="D1297" s="1"/>
      <c r="E1297" s="1"/>
      <c r="F1297" s="1"/>
    </row>
    <row r="1298" spans="1:6" ht="15.75" x14ac:dyDescent="0.25">
      <c r="A1298" s="1"/>
      <c r="B1298" s="1"/>
      <c r="C1298" s="8"/>
      <c r="D1298" s="1"/>
      <c r="E1298" s="1"/>
      <c r="F1298" s="1"/>
    </row>
    <row r="1299" spans="1:6" ht="15.75" x14ac:dyDescent="0.25">
      <c r="A1299" s="1"/>
      <c r="B1299" s="1"/>
      <c r="C1299" s="8"/>
      <c r="D1299" s="1"/>
      <c r="E1299" s="1"/>
      <c r="F1299" s="1"/>
    </row>
    <row r="1300" spans="1:6" ht="15.75" x14ac:dyDescent="0.25">
      <c r="A1300" s="1"/>
      <c r="B1300" s="1"/>
      <c r="C1300" s="8"/>
      <c r="D1300" s="1"/>
      <c r="E1300" s="1"/>
      <c r="F1300" s="1"/>
    </row>
    <row r="1301" spans="1:6" ht="15.75" x14ac:dyDescent="0.25">
      <c r="A1301" s="1"/>
      <c r="B1301" s="1"/>
      <c r="C1301" s="8"/>
      <c r="D1301" s="1"/>
      <c r="E1301" s="1"/>
      <c r="F1301" s="1"/>
    </row>
    <row r="1302" spans="1:6" ht="15.75" x14ac:dyDescent="0.25">
      <c r="A1302" s="1"/>
      <c r="B1302" s="1"/>
      <c r="C1302" s="8"/>
      <c r="D1302" s="1"/>
      <c r="E1302" s="1"/>
      <c r="F1302" s="1"/>
    </row>
    <row r="1303" spans="1:6" ht="15.75" x14ac:dyDescent="0.25">
      <c r="A1303" s="1"/>
      <c r="B1303" s="1"/>
      <c r="C1303" s="8"/>
      <c r="D1303" s="1"/>
      <c r="E1303" s="1"/>
      <c r="F1303" s="1"/>
    </row>
    <row r="1304" spans="1:6" ht="15.75" x14ac:dyDescent="0.25">
      <c r="A1304" s="1"/>
      <c r="B1304" s="1"/>
      <c r="C1304" s="8"/>
      <c r="D1304" s="1"/>
      <c r="E1304" s="1"/>
      <c r="F1304" s="1"/>
    </row>
    <row r="1305" spans="1:6" ht="15.75" x14ac:dyDescent="0.25">
      <c r="A1305" s="1"/>
      <c r="B1305" s="1"/>
      <c r="C1305" s="8"/>
      <c r="D1305" s="1"/>
      <c r="E1305" s="1"/>
      <c r="F1305" s="1"/>
    </row>
    <row r="1306" spans="1:6" ht="15.75" x14ac:dyDescent="0.25">
      <c r="A1306" s="1"/>
      <c r="B1306" s="1"/>
      <c r="C1306" s="8"/>
      <c r="D1306" s="1"/>
      <c r="E1306" s="1"/>
      <c r="F1306" s="1"/>
    </row>
    <row r="1307" spans="1:6" ht="15.75" x14ac:dyDescent="0.25">
      <c r="A1307" s="1"/>
      <c r="B1307" s="1"/>
      <c r="C1307" s="8"/>
      <c r="D1307" s="1"/>
      <c r="E1307" s="1"/>
      <c r="F1307" s="1"/>
    </row>
    <row r="1308" spans="1:6" ht="15.75" x14ac:dyDescent="0.25">
      <c r="A1308" s="1"/>
      <c r="B1308" s="1"/>
      <c r="C1308" s="8"/>
      <c r="D1308" s="1"/>
      <c r="E1308" s="1"/>
      <c r="F1308" s="1"/>
    </row>
    <row r="1309" spans="1:6" ht="15.75" x14ac:dyDescent="0.25">
      <c r="A1309" s="1"/>
      <c r="B1309" s="1"/>
      <c r="C1309" s="8"/>
      <c r="D1309" s="1"/>
      <c r="E1309" s="1"/>
      <c r="F1309" s="1"/>
    </row>
    <row r="1310" spans="1:6" ht="15.75" x14ac:dyDescent="0.25">
      <c r="A1310" s="1"/>
      <c r="B1310" s="1"/>
      <c r="C1310" s="8"/>
      <c r="D1310" s="1"/>
      <c r="E1310" s="1"/>
      <c r="F1310" s="1"/>
    </row>
    <row r="1311" spans="1:6" ht="15.75" x14ac:dyDescent="0.25">
      <c r="A1311" s="1"/>
      <c r="B1311" s="1"/>
      <c r="C1311" s="8"/>
      <c r="D1311" s="1"/>
      <c r="E1311" s="1"/>
      <c r="F1311" s="1"/>
    </row>
    <row r="1312" spans="1:6" ht="15.75" x14ac:dyDescent="0.25">
      <c r="A1312" s="1"/>
      <c r="B1312" s="1"/>
      <c r="C1312" s="8"/>
      <c r="D1312" s="1"/>
      <c r="E1312" s="1"/>
      <c r="F1312" s="1"/>
    </row>
    <row r="1313" spans="1:6" ht="15.75" x14ac:dyDescent="0.25">
      <c r="A1313" s="1"/>
      <c r="B1313" s="1"/>
      <c r="C1313" s="8"/>
      <c r="D1313" s="1"/>
      <c r="E1313" s="1"/>
      <c r="F1313" s="1"/>
    </row>
    <row r="1314" spans="1:6" ht="15.75" x14ac:dyDescent="0.25">
      <c r="A1314" s="1"/>
      <c r="B1314" s="1"/>
      <c r="C1314" s="8"/>
      <c r="D1314" s="1"/>
      <c r="E1314" s="1"/>
      <c r="F1314" s="1"/>
    </row>
    <row r="1315" spans="1:6" ht="15.75" x14ac:dyDescent="0.25">
      <c r="A1315" s="1"/>
      <c r="B1315" s="1"/>
      <c r="C1315" s="8"/>
      <c r="D1315" s="1"/>
      <c r="E1315" s="1"/>
      <c r="F1315" s="1"/>
    </row>
    <row r="1316" spans="1:6" ht="15.75" x14ac:dyDescent="0.25">
      <c r="A1316" s="1"/>
      <c r="B1316" s="1"/>
      <c r="C1316" s="8"/>
      <c r="D1316" s="1"/>
      <c r="E1316" s="1"/>
      <c r="F1316" s="1"/>
    </row>
    <row r="1317" spans="1:6" ht="15.75" x14ac:dyDescent="0.25">
      <c r="A1317" s="1"/>
      <c r="B1317" s="1"/>
      <c r="C1317" s="8"/>
      <c r="D1317" s="1"/>
      <c r="E1317" s="1"/>
      <c r="F1317" s="1"/>
    </row>
    <row r="1318" spans="1:6" ht="15.75" x14ac:dyDescent="0.25">
      <c r="A1318" s="1"/>
      <c r="B1318" s="1"/>
      <c r="C1318" s="8"/>
      <c r="D1318" s="1"/>
      <c r="E1318" s="1"/>
      <c r="F1318" s="1"/>
    </row>
    <row r="1319" spans="1:6" ht="15.75" x14ac:dyDescent="0.25">
      <c r="A1319" s="1"/>
      <c r="B1319" s="1"/>
      <c r="C1319" s="8"/>
      <c r="D1319" s="1"/>
      <c r="E1319" s="1"/>
      <c r="F1319" s="1"/>
    </row>
    <row r="1320" spans="1:6" ht="15.75" x14ac:dyDescent="0.25">
      <c r="A1320" s="1"/>
      <c r="B1320" s="1"/>
      <c r="C1320" s="8"/>
      <c r="D1320" s="1"/>
      <c r="E1320" s="1"/>
      <c r="F1320" s="1"/>
    </row>
    <row r="1321" spans="1:6" ht="15.75" x14ac:dyDescent="0.25">
      <c r="A1321" s="1"/>
      <c r="B1321" s="1"/>
      <c r="C1321" s="8"/>
      <c r="D1321" s="1"/>
      <c r="E1321" s="1"/>
      <c r="F1321" s="1"/>
    </row>
    <row r="1322" spans="1:6" ht="15.75" x14ac:dyDescent="0.25">
      <c r="A1322" s="1"/>
      <c r="B1322" s="1"/>
      <c r="C1322" s="8"/>
      <c r="D1322" s="1"/>
      <c r="E1322" s="1"/>
      <c r="F1322" s="1"/>
    </row>
    <row r="1323" spans="1:6" ht="15.75" x14ac:dyDescent="0.25">
      <c r="A1323" s="1"/>
      <c r="B1323" s="1"/>
      <c r="C1323" s="8"/>
      <c r="D1323" s="1"/>
      <c r="E1323" s="1"/>
      <c r="F1323" s="1"/>
    </row>
    <row r="1324" spans="1:6" ht="15.75" x14ac:dyDescent="0.25">
      <c r="A1324" s="1"/>
      <c r="B1324" s="1"/>
      <c r="C1324" s="8"/>
      <c r="D1324" s="1"/>
      <c r="E1324" s="1"/>
      <c r="F1324" s="1"/>
    </row>
    <row r="1325" spans="1:6" ht="15.75" x14ac:dyDescent="0.25">
      <c r="A1325" s="1"/>
      <c r="B1325" s="1"/>
      <c r="C1325" s="8"/>
      <c r="D1325" s="1"/>
      <c r="E1325" s="1"/>
      <c r="F1325" s="1"/>
    </row>
    <row r="1326" spans="1:6" ht="15.75" x14ac:dyDescent="0.25">
      <c r="A1326" s="1"/>
      <c r="B1326" s="1"/>
      <c r="C1326" s="8"/>
      <c r="D1326" s="1"/>
      <c r="E1326" s="1"/>
      <c r="F1326" s="1"/>
    </row>
    <row r="1327" spans="1:6" ht="15.75" x14ac:dyDescent="0.25">
      <c r="A1327" s="1"/>
      <c r="B1327" s="1"/>
      <c r="C1327" s="8"/>
      <c r="D1327" s="1"/>
      <c r="E1327" s="1"/>
      <c r="F1327" s="1"/>
    </row>
    <row r="1328" spans="1:6" ht="15.75" x14ac:dyDescent="0.25">
      <c r="A1328" s="1"/>
      <c r="B1328" s="1"/>
      <c r="C1328" s="8"/>
      <c r="D1328" s="1"/>
      <c r="E1328" s="1"/>
      <c r="F1328" s="1"/>
    </row>
    <row r="1329" spans="1:6" ht="15.75" x14ac:dyDescent="0.25">
      <c r="A1329" s="1"/>
      <c r="B1329" s="1"/>
      <c r="C1329" s="8"/>
      <c r="D1329" s="1"/>
      <c r="E1329" s="1"/>
      <c r="F1329" s="1"/>
    </row>
    <row r="1330" spans="1:6" ht="15.75" x14ac:dyDescent="0.25">
      <c r="A1330" s="1"/>
      <c r="B1330" s="1"/>
      <c r="C1330" s="8"/>
      <c r="D1330" s="1"/>
      <c r="E1330" s="1"/>
      <c r="F1330" s="1"/>
    </row>
    <row r="1331" spans="1:6" ht="15.75" x14ac:dyDescent="0.25">
      <c r="A1331" s="1"/>
      <c r="B1331" s="1"/>
      <c r="C1331" s="8"/>
      <c r="D1331" s="1"/>
      <c r="E1331" s="1"/>
      <c r="F1331" s="1"/>
    </row>
    <row r="1332" spans="1:6" ht="15.75" x14ac:dyDescent="0.25">
      <c r="A1332" s="1"/>
      <c r="B1332" s="1"/>
      <c r="C1332" s="8"/>
      <c r="D1332" s="1"/>
      <c r="E1332" s="1"/>
      <c r="F1332" s="1"/>
    </row>
    <row r="1333" spans="1:6" ht="15.75" x14ac:dyDescent="0.25">
      <c r="A1333" s="1"/>
      <c r="B1333" s="1"/>
      <c r="C1333" s="8"/>
      <c r="D1333" s="1"/>
      <c r="E1333" s="1"/>
      <c r="F1333" s="1"/>
    </row>
    <row r="1334" spans="1:6" ht="15.75" x14ac:dyDescent="0.25">
      <c r="A1334" s="1"/>
      <c r="B1334" s="1"/>
      <c r="C1334" s="8"/>
      <c r="D1334" s="1"/>
      <c r="E1334" s="1"/>
      <c r="F1334" s="1"/>
    </row>
    <row r="1335" spans="1:6" ht="15.75" x14ac:dyDescent="0.25">
      <c r="A1335" s="1"/>
      <c r="B1335" s="1"/>
      <c r="C1335" s="8"/>
      <c r="D1335" s="1"/>
      <c r="E1335" s="1"/>
      <c r="F1335" s="1"/>
    </row>
    <row r="1336" spans="1:6" ht="15.75" x14ac:dyDescent="0.25">
      <c r="A1336" s="1"/>
      <c r="B1336" s="1"/>
      <c r="C1336" s="8"/>
      <c r="D1336" s="1"/>
      <c r="E1336" s="1"/>
      <c r="F1336" s="1"/>
    </row>
    <row r="1337" spans="1:6" ht="15.75" x14ac:dyDescent="0.25">
      <c r="A1337" s="1"/>
      <c r="B1337" s="1"/>
      <c r="C1337" s="8"/>
      <c r="D1337" s="1"/>
      <c r="E1337" s="1"/>
      <c r="F1337" s="1"/>
    </row>
    <row r="1338" spans="1:6" ht="15.75" x14ac:dyDescent="0.25">
      <c r="A1338" s="1"/>
      <c r="B1338" s="1"/>
      <c r="C1338" s="8"/>
      <c r="D1338" s="1"/>
      <c r="E1338" s="1"/>
      <c r="F1338" s="1"/>
    </row>
    <row r="1339" spans="1:6" ht="15.75" x14ac:dyDescent="0.25">
      <c r="A1339" s="1"/>
      <c r="B1339" s="1"/>
      <c r="C1339" s="8"/>
      <c r="D1339" s="1"/>
      <c r="E1339" s="1"/>
      <c r="F1339" s="1"/>
    </row>
    <row r="1340" spans="1:6" ht="15.75" x14ac:dyDescent="0.25">
      <c r="A1340" s="1"/>
      <c r="B1340" s="1"/>
      <c r="C1340" s="8"/>
      <c r="D1340" s="1"/>
      <c r="E1340" s="1"/>
      <c r="F1340" s="1"/>
    </row>
    <row r="1341" spans="1:6" ht="15.75" x14ac:dyDescent="0.25">
      <c r="A1341" s="1"/>
      <c r="B1341" s="1"/>
      <c r="C1341" s="8"/>
      <c r="D1341" s="1"/>
      <c r="E1341" s="1"/>
      <c r="F1341" s="1"/>
    </row>
    <row r="1342" spans="1:6" ht="15.75" x14ac:dyDescent="0.25">
      <c r="A1342" s="1"/>
      <c r="B1342" s="1"/>
      <c r="C1342" s="8"/>
      <c r="D1342" s="1"/>
      <c r="E1342" s="1"/>
      <c r="F1342" s="1"/>
    </row>
    <row r="1343" spans="1:6" ht="15.75" x14ac:dyDescent="0.25">
      <c r="A1343" s="1"/>
      <c r="B1343" s="1"/>
      <c r="C1343" s="8"/>
      <c r="D1343" s="1"/>
      <c r="E1343" s="1"/>
      <c r="F1343" s="1"/>
    </row>
    <row r="1344" spans="1:6" ht="15.75" x14ac:dyDescent="0.25">
      <c r="A1344" s="1"/>
      <c r="B1344" s="1"/>
      <c r="C1344" s="8"/>
      <c r="D1344" s="1"/>
      <c r="E1344" s="1"/>
      <c r="F1344" s="1"/>
    </row>
    <row r="1345" spans="1:6" ht="15.75" x14ac:dyDescent="0.25">
      <c r="A1345" s="1"/>
      <c r="B1345" s="1"/>
      <c r="C1345" s="8"/>
      <c r="D1345" s="1"/>
      <c r="E1345" s="1"/>
      <c r="F1345" s="1"/>
    </row>
    <row r="1346" spans="1:6" ht="15.75" x14ac:dyDescent="0.25">
      <c r="A1346" s="1"/>
      <c r="B1346" s="1"/>
      <c r="C1346" s="8"/>
      <c r="D1346" s="1"/>
      <c r="E1346" s="1"/>
      <c r="F1346" s="1"/>
    </row>
    <row r="1347" spans="1:6" ht="15.75" x14ac:dyDescent="0.25">
      <c r="A1347" s="1"/>
      <c r="B1347" s="1"/>
      <c r="C1347" s="8"/>
      <c r="D1347" s="1"/>
      <c r="E1347" s="1"/>
      <c r="F1347" s="1"/>
    </row>
    <row r="1348" spans="1:6" ht="15.75" x14ac:dyDescent="0.25">
      <c r="A1348" s="1"/>
      <c r="B1348" s="1"/>
      <c r="C1348" s="8"/>
      <c r="D1348" s="1"/>
      <c r="E1348" s="1"/>
      <c r="F1348" s="1"/>
    </row>
    <row r="1349" spans="1:6" ht="15.75" x14ac:dyDescent="0.25">
      <c r="A1349" s="1"/>
      <c r="B1349" s="1"/>
      <c r="C1349" s="8"/>
      <c r="D1349" s="1"/>
      <c r="E1349" s="1"/>
      <c r="F1349" s="1"/>
    </row>
    <row r="1350" spans="1:6" ht="15.75" x14ac:dyDescent="0.25">
      <c r="A1350" s="1"/>
      <c r="B1350" s="1"/>
      <c r="C1350" s="8"/>
      <c r="D1350" s="1"/>
      <c r="E1350" s="1"/>
      <c r="F1350" s="1"/>
    </row>
    <row r="1351" spans="1:6" ht="15.75" x14ac:dyDescent="0.25">
      <c r="A1351" s="1"/>
      <c r="B1351" s="1"/>
      <c r="C1351" s="8"/>
      <c r="D1351" s="1"/>
      <c r="E1351" s="1"/>
      <c r="F1351" s="1"/>
    </row>
    <row r="1352" spans="1:6" ht="15.75" x14ac:dyDescent="0.25">
      <c r="A1352" s="1"/>
      <c r="B1352" s="1"/>
      <c r="C1352" s="8"/>
      <c r="D1352" s="1"/>
      <c r="E1352" s="1"/>
      <c r="F1352" s="1"/>
    </row>
    <row r="1353" spans="1:6" ht="15.75" x14ac:dyDescent="0.25">
      <c r="A1353" s="1"/>
      <c r="B1353" s="1"/>
      <c r="C1353" s="8"/>
      <c r="D1353" s="1"/>
      <c r="E1353" s="1"/>
      <c r="F1353" s="1"/>
    </row>
    <row r="1354" spans="1:6" ht="15.75" x14ac:dyDescent="0.25">
      <c r="A1354" s="1"/>
      <c r="B1354" s="1"/>
      <c r="C1354" s="8"/>
      <c r="D1354" s="1"/>
      <c r="E1354" s="1"/>
      <c r="F1354" s="1"/>
    </row>
    <row r="1355" spans="1:6" ht="15.75" x14ac:dyDescent="0.25">
      <c r="A1355" s="1"/>
      <c r="B1355" s="1"/>
      <c r="C1355" s="8"/>
      <c r="D1355" s="1"/>
      <c r="E1355" s="1"/>
      <c r="F1355" s="1"/>
    </row>
    <row r="1356" spans="1:6" ht="15.75" x14ac:dyDescent="0.25">
      <c r="A1356" s="1"/>
      <c r="B1356" s="1"/>
      <c r="C1356" s="8"/>
      <c r="D1356" s="1"/>
      <c r="E1356" s="1"/>
      <c r="F1356" s="1"/>
    </row>
    <row r="1357" spans="1:6" ht="15.75" x14ac:dyDescent="0.25">
      <c r="A1357" s="1"/>
      <c r="B1357" s="1"/>
      <c r="C1357" s="8"/>
      <c r="D1357" s="1"/>
      <c r="E1357" s="1"/>
      <c r="F1357" s="1"/>
    </row>
    <row r="1358" spans="1:6" ht="15.75" x14ac:dyDescent="0.25">
      <c r="A1358" s="1"/>
      <c r="B1358" s="1"/>
      <c r="C1358" s="8"/>
      <c r="D1358" s="1"/>
      <c r="E1358" s="1"/>
      <c r="F1358" s="1"/>
    </row>
    <row r="1359" spans="1:6" ht="15.75" x14ac:dyDescent="0.25">
      <c r="A1359" s="1"/>
      <c r="B1359" s="1"/>
      <c r="C1359" s="8"/>
      <c r="D1359" s="1"/>
      <c r="E1359" s="1"/>
      <c r="F1359" s="1"/>
    </row>
    <row r="1360" spans="1:6" ht="15.75" x14ac:dyDescent="0.25">
      <c r="A1360" s="1"/>
      <c r="B1360" s="1"/>
      <c r="C1360" s="8"/>
      <c r="D1360" s="1"/>
      <c r="E1360" s="1"/>
      <c r="F1360" s="1"/>
    </row>
    <row r="1361" spans="1:6" ht="15.75" x14ac:dyDescent="0.25">
      <c r="A1361" s="1"/>
      <c r="B1361" s="1"/>
      <c r="C1361" s="8"/>
      <c r="D1361" s="1"/>
      <c r="E1361" s="1"/>
      <c r="F1361" s="1"/>
    </row>
    <row r="1362" spans="1:6" ht="15.75" x14ac:dyDescent="0.25">
      <c r="A1362" s="1"/>
      <c r="B1362" s="1"/>
      <c r="C1362" s="8"/>
      <c r="D1362" s="1"/>
      <c r="E1362" s="1"/>
      <c r="F1362" s="1"/>
    </row>
    <row r="1363" spans="1:6" ht="15.75" x14ac:dyDescent="0.25">
      <c r="A1363" s="1"/>
      <c r="B1363" s="1"/>
      <c r="C1363" s="8"/>
      <c r="D1363" s="1"/>
      <c r="E1363" s="1"/>
      <c r="F1363" s="1"/>
    </row>
    <row r="1364" spans="1:6" ht="15.75" x14ac:dyDescent="0.25">
      <c r="A1364" s="1"/>
      <c r="B1364" s="1"/>
      <c r="C1364" s="8"/>
      <c r="D1364" s="1"/>
      <c r="E1364" s="1"/>
      <c r="F1364" s="1"/>
    </row>
    <row r="1365" spans="1:6" ht="15.75" x14ac:dyDescent="0.25">
      <c r="A1365" s="1"/>
      <c r="B1365" s="1"/>
      <c r="C1365" s="8"/>
      <c r="D1365" s="1"/>
      <c r="E1365" s="1"/>
      <c r="F1365" s="1"/>
    </row>
    <row r="1366" spans="1:6" ht="15.75" x14ac:dyDescent="0.25">
      <c r="A1366" s="1"/>
      <c r="B1366" s="1"/>
      <c r="C1366" s="8"/>
      <c r="D1366" s="1"/>
      <c r="E1366" s="1"/>
      <c r="F1366" s="1"/>
    </row>
    <row r="1367" spans="1:6" ht="15.75" x14ac:dyDescent="0.25">
      <c r="A1367" s="1"/>
      <c r="B1367" s="1"/>
      <c r="C1367" s="8"/>
      <c r="D1367" s="1"/>
      <c r="E1367" s="1"/>
      <c r="F1367" s="1"/>
    </row>
    <row r="1368" spans="1:6" ht="15.75" x14ac:dyDescent="0.25">
      <c r="A1368" s="1"/>
      <c r="B1368" s="1"/>
      <c r="C1368" s="8"/>
      <c r="D1368" s="1"/>
      <c r="E1368" s="1"/>
      <c r="F1368" s="1"/>
    </row>
    <row r="1369" spans="1:6" ht="15.75" x14ac:dyDescent="0.25">
      <c r="A1369" s="1"/>
      <c r="B1369" s="1"/>
      <c r="C1369" s="8"/>
      <c r="D1369" s="1"/>
      <c r="E1369" s="1"/>
      <c r="F1369" s="1"/>
    </row>
    <row r="1370" spans="1:6" ht="15.75" x14ac:dyDescent="0.25">
      <c r="A1370" s="1"/>
      <c r="B1370" s="1"/>
      <c r="C1370" s="8"/>
      <c r="D1370" s="1"/>
      <c r="E1370" s="1"/>
      <c r="F1370" s="1"/>
    </row>
    <row r="1371" spans="1:6" ht="15.75" x14ac:dyDescent="0.25">
      <c r="A1371" s="1"/>
      <c r="B1371" s="1"/>
      <c r="C1371" s="8"/>
      <c r="D1371" s="1"/>
      <c r="E1371" s="1"/>
      <c r="F1371" s="1"/>
    </row>
    <row r="1372" spans="1:6" ht="15.75" x14ac:dyDescent="0.25">
      <c r="A1372" s="1"/>
      <c r="B1372" s="1"/>
      <c r="C1372" s="8"/>
      <c r="D1372" s="1"/>
      <c r="E1372" s="1"/>
      <c r="F1372" s="1"/>
    </row>
    <row r="1373" spans="1:6" ht="15.75" x14ac:dyDescent="0.25">
      <c r="A1373" s="1"/>
      <c r="B1373" s="1"/>
      <c r="C1373" s="8"/>
      <c r="D1373" s="1"/>
      <c r="E1373" s="1"/>
      <c r="F1373" s="1"/>
    </row>
    <row r="1374" spans="1:6" ht="15.75" x14ac:dyDescent="0.25">
      <c r="A1374" s="1"/>
      <c r="B1374" s="1"/>
      <c r="C1374" s="8"/>
      <c r="D1374" s="1"/>
      <c r="E1374" s="1"/>
      <c r="F1374" s="1"/>
    </row>
    <row r="1375" spans="1:6" ht="15.75" x14ac:dyDescent="0.25">
      <c r="A1375" s="1"/>
      <c r="B1375" s="1"/>
      <c r="C1375" s="8"/>
      <c r="D1375" s="1"/>
      <c r="E1375" s="1"/>
      <c r="F1375" s="1"/>
    </row>
    <row r="1376" spans="1:6" ht="15.75" x14ac:dyDescent="0.25">
      <c r="A1376" s="1"/>
      <c r="B1376" s="1"/>
      <c r="C1376" s="8"/>
      <c r="D1376" s="1"/>
      <c r="E1376" s="1"/>
      <c r="F1376" s="1"/>
    </row>
    <row r="1377" spans="1:6" ht="15.75" x14ac:dyDescent="0.25">
      <c r="A1377" s="1"/>
      <c r="B1377" s="1"/>
      <c r="C1377" s="8"/>
      <c r="D1377" s="1"/>
      <c r="E1377" s="1"/>
      <c r="F1377" s="1"/>
    </row>
    <row r="1378" spans="1:6" ht="15.75" x14ac:dyDescent="0.25">
      <c r="A1378" s="1"/>
      <c r="B1378" s="1"/>
      <c r="C1378" s="8"/>
      <c r="D1378" s="1"/>
      <c r="E1378" s="1"/>
      <c r="F1378" s="1"/>
    </row>
    <row r="1379" spans="1:6" ht="15.75" x14ac:dyDescent="0.25">
      <c r="A1379" s="1"/>
      <c r="B1379" s="1"/>
      <c r="C1379" s="8"/>
      <c r="D1379" s="1"/>
      <c r="E1379" s="1"/>
      <c r="F1379" s="1"/>
    </row>
    <row r="1380" spans="1:6" ht="15.75" x14ac:dyDescent="0.25">
      <c r="A1380" s="1"/>
      <c r="B1380" s="1"/>
      <c r="C1380" s="8"/>
      <c r="D1380" s="1"/>
      <c r="E1380" s="1"/>
      <c r="F1380" s="1"/>
    </row>
    <row r="1381" spans="1:6" ht="15.75" x14ac:dyDescent="0.25">
      <c r="A1381" s="1"/>
      <c r="B1381" s="1"/>
      <c r="C1381" s="8"/>
      <c r="D1381" s="1"/>
      <c r="E1381" s="1"/>
      <c r="F1381" s="1"/>
    </row>
    <row r="1382" spans="1:6" ht="15.75" x14ac:dyDescent="0.25">
      <c r="A1382" s="1"/>
      <c r="B1382" s="1"/>
      <c r="C1382" s="8"/>
      <c r="D1382" s="1"/>
      <c r="E1382" s="1"/>
      <c r="F1382" s="1"/>
    </row>
    <row r="1383" spans="1:6" ht="15.75" x14ac:dyDescent="0.25">
      <c r="A1383" s="1"/>
      <c r="B1383" s="1"/>
      <c r="C1383" s="8"/>
      <c r="D1383" s="1"/>
      <c r="E1383" s="1"/>
      <c r="F1383" s="1"/>
    </row>
    <row r="1384" spans="1:6" ht="15.75" x14ac:dyDescent="0.25">
      <c r="A1384" s="1"/>
      <c r="B1384" s="1"/>
      <c r="C1384" s="8"/>
      <c r="D1384" s="1"/>
      <c r="E1384" s="1"/>
      <c r="F1384" s="1"/>
    </row>
    <row r="1385" spans="1:6" ht="15.75" x14ac:dyDescent="0.25">
      <c r="A1385" s="1"/>
      <c r="B1385" s="1"/>
      <c r="C1385" s="8"/>
      <c r="D1385" s="1"/>
      <c r="E1385" s="1"/>
      <c r="F1385" s="1"/>
    </row>
    <row r="1386" spans="1:6" ht="15.75" x14ac:dyDescent="0.25">
      <c r="A1386" s="1"/>
      <c r="B1386" s="1"/>
      <c r="C1386" s="8"/>
      <c r="D1386" s="1"/>
      <c r="E1386" s="1"/>
      <c r="F1386" s="1"/>
    </row>
    <row r="1387" spans="1:6" ht="15.75" x14ac:dyDescent="0.25">
      <c r="A1387" s="1"/>
      <c r="B1387" s="1"/>
      <c r="C1387" s="8"/>
      <c r="D1387" s="1"/>
      <c r="E1387" s="1"/>
      <c r="F1387" s="1"/>
    </row>
    <row r="1388" spans="1:6" ht="15.75" x14ac:dyDescent="0.25">
      <c r="A1388" s="1"/>
      <c r="B1388" s="1"/>
      <c r="C1388" s="8"/>
      <c r="D1388" s="1"/>
      <c r="E1388" s="1"/>
      <c r="F1388" s="1"/>
    </row>
    <row r="1389" spans="1:6" ht="15.75" x14ac:dyDescent="0.25">
      <c r="A1389" s="1"/>
      <c r="B1389" s="1"/>
      <c r="C1389" s="8"/>
      <c r="D1389" s="1"/>
      <c r="E1389" s="1"/>
      <c r="F1389" s="1"/>
    </row>
    <row r="1390" spans="1:6" ht="15.75" x14ac:dyDescent="0.25">
      <c r="A1390" s="1"/>
      <c r="B1390" s="1"/>
      <c r="C1390" s="8"/>
      <c r="D1390" s="1"/>
      <c r="E1390" s="1"/>
      <c r="F1390" s="1"/>
    </row>
    <row r="1391" spans="1:6" ht="15.75" x14ac:dyDescent="0.25">
      <c r="A1391" s="1"/>
      <c r="B1391" s="1"/>
      <c r="C1391" s="8"/>
      <c r="D1391" s="1"/>
      <c r="E1391" s="1"/>
      <c r="F1391" s="1"/>
    </row>
    <row r="1392" spans="1:6" ht="15.75" x14ac:dyDescent="0.25">
      <c r="A1392" s="1"/>
      <c r="B1392" s="1"/>
      <c r="C1392" s="8"/>
      <c r="D1392" s="1"/>
      <c r="E1392" s="1"/>
      <c r="F1392" s="1"/>
    </row>
    <row r="1393" spans="1:6" ht="15.75" x14ac:dyDescent="0.25">
      <c r="A1393" s="1"/>
      <c r="B1393" s="1"/>
      <c r="C1393" s="8"/>
      <c r="D1393" s="1"/>
      <c r="E1393" s="1"/>
      <c r="F1393" s="1"/>
    </row>
    <row r="1394" spans="1:6" ht="15.75" x14ac:dyDescent="0.25">
      <c r="A1394" s="1"/>
      <c r="B1394" s="1"/>
      <c r="C1394" s="8"/>
      <c r="D1394" s="1"/>
      <c r="E1394" s="1"/>
      <c r="F1394" s="1"/>
    </row>
    <row r="1395" spans="1:6" ht="15.75" x14ac:dyDescent="0.25">
      <c r="A1395" s="1"/>
      <c r="B1395" s="1"/>
      <c r="C1395" s="8"/>
      <c r="D1395" s="1"/>
      <c r="E1395" s="1"/>
      <c r="F1395" s="1"/>
    </row>
    <row r="1396" spans="1:6" ht="15.75" x14ac:dyDescent="0.25">
      <c r="A1396" s="1"/>
      <c r="B1396" s="1"/>
      <c r="C1396" s="8"/>
      <c r="D1396" s="1"/>
      <c r="E1396" s="1"/>
      <c r="F1396" s="1"/>
    </row>
    <row r="1397" spans="1:6" ht="15.75" x14ac:dyDescent="0.25">
      <c r="A1397" s="1"/>
      <c r="B1397" s="1"/>
      <c r="C1397" s="8"/>
      <c r="D1397" s="1"/>
      <c r="E1397" s="1"/>
      <c r="F1397" s="1"/>
    </row>
    <row r="1398" spans="1:6" ht="15.75" x14ac:dyDescent="0.25">
      <c r="A1398" s="1"/>
      <c r="B1398" s="1"/>
      <c r="C1398" s="8"/>
      <c r="D1398" s="1"/>
      <c r="E1398" s="1"/>
      <c r="F1398" s="1"/>
    </row>
    <row r="1399" spans="1:6" ht="15.75" x14ac:dyDescent="0.25">
      <c r="A1399" s="1"/>
      <c r="B1399" s="1"/>
      <c r="C1399" s="8"/>
      <c r="D1399" s="1"/>
      <c r="E1399" s="1"/>
      <c r="F1399" s="1"/>
    </row>
    <row r="1400" spans="1:6" ht="15.75" x14ac:dyDescent="0.25">
      <c r="A1400" s="1"/>
      <c r="B1400" s="1"/>
      <c r="C1400" s="8"/>
      <c r="D1400" s="1"/>
      <c r="E1400" s="1"/>
      <c r="F1400" s="1"/>
    </row>
    <row r="1401" spans="1:6" ht="15.75" x14ac:dyDescent="0.25">
      <c r="A1401" s="1"/>
      <c r="B1401" s="1"/>
      <c r="C1401" s="8"/>
      <c r="D1401" s="1"/>
      <c r="E1401" s="1"/>
      <c r="F1401" s="1"/>
    </row>
    <row r="1402" spans="1:6" ht="15.75" x14ac:dyDescent="0.25">
      <c r="A1402" s="1"/>
      <c r="B1402" s="1"/>
      <c r="C1402" s="8"/>
      <c r="D1402" s="1"/>
      <c r="E1402" s="1"/>
      <c r="F1402" s="1"/>
    </row>
    <row r="1403" spans="1:6" ht="15.75" x14ac:dyDescent="0.25">
      <c r="A1403" s="1"/>
      <c r="B1403" s="1"/>
      <c r="C1403" s="8"/>
      <c r="D1403" s="1"/>
      <c r="E1403" s="1"/>
      <c r="F1403" s="1"/>
    </row>
    <row r="1404" spans="1:6" ht="15.75" x14ac:dyDescent="0.25">
      <c r="A1404" s="1"/>
      <c r="B1404" s="1"/>
      <c r="C1404" s="8"/>
      <c r="D1404" s="1"/>
      <c r="E1404" s="1"/>
      <c r="F1404" s="1"/>
    </row>
    <row r="1405" spans="1:6" ht="15.75" x14ac:dyDescent="0.25">
      <c r="A1405" s="1"/>
      <c r="B1405" s="1"/>
      <c r="C1405" s="8"/>
      <c r="D1405" s="1"/>
      <c r="E1405" s="1"/>
      <c r="F1405" s="1"/>
    </row>
    <row r="1406" spans="1:6" ht="15.75" x14ac:dyDescent="0.25">
      <c r="A1406" s="1"/>
      <c r="B1406" s="1"/>
      <c r="C1406" s="8"/>
      <c r="D1406" s="1"/>
      <c r="E1406" s="1"/>
      <c r="F1406" s="1"/>
    </row>
    <row r="1407" spans="1:6" ht="15.75" x14ac:dyDescent="0.25">
      <c r="A1407" s="1"/>
      <c r="B1407" s="1"/>
      <c r="C1407" s="8"/>
      <c r="D1407" s="1"/>
      <c r="E1407" s="1"/>
      <c r="F1407" s="1"/>
    </row>
    <row r="1408" spans="1:6" ht="15.75" x14ac:dyDescent="0.25">
      <c r="A1408" s="1"/>
      <c r="B1408" s="1"/>
      <c r="C1408" s="8"/>
      <c r="D1408" s="1"/>
      <c r="E1408" s="1"/>
      <c r="F1408" s="1"/>
    </row>
    <row r="1409" spans="1:6" ht="15.75" x14ac:dyDescent="0.25">
      <c r="A1409" s="1"/>
      <c r="B1409" s="1"/>
      <c r="C1409" s="8"/>
      <c r="D1409" s="1"/>
      <c r="E1409" s="1"/>
      <c r="F1409" s="1"/>
    </row>
    <row r="1410" spans="1:6" ht="15.75" x14ac:dyDescent="0.25">
      <c r="A1410" s="1"/>
      <c r="B1410" s="1"/>
      <c r="C1410" s="8"/>
      <c r="D1410" s="1"/>
      <c r="E1410" s="1"/>
      <c r="F1410" s="1"/>
    </row>
    <row r="1411" spans="1:6" ht="15.75" x14ac:dyDescent="0.25">
      <c r="A1411" s="1"/>
      <c r="B1411" s="1"/>
      <c r="C1411" s="8"/>
      <c r="D1411" s="1"/>
      <c r="E1411" s="1"/>
      <c r="F1411" s="1"/>
    </row>
    <row r="1412" spans="1:6" ht="15.75" x14ac:dyDescent="0.25">
      <c r="A1412" s="1"/>
      <c r="B1412" s="1"/>
      <c r="C1412" s="8"/>
      <c r="D1412" s="1"/>
      <c r="E1412" s="1"/>
      <c r="F1412" s="1"/>
    </row>
    <row r="1413" spans="1:6" ht="15.75" x14ac:dyDescent="0.25">
      <c r="A1413" s="1"/>
      <c r="B1413" s="1"/>
      <c r="C1413" s="8"/>
      <c r="D1413" s="1"/>
      <c r="E1413" s="1"/>
      <c r="F1413" s="1"/>
    </row>
    <row r="1414" spans="1:6" ht="15.75" x14ac:dyDescent="0.25">
      <c r="A1414" s="1"/>
      <c r="B1414" s="1"/>
      <c r="C1414" s="8"/>
      <c r="D1414" s="1"/>
      <c r="E1414" s="1"/>
      <c r="F1414" s="1"/>
    </row>
    <row r="1415" spans="1:6" ht="15.75" x14ac:dyDescent="0.25">
      <c r="A1415" s="1"/>
      <c r="B1415" s="1"/>
      <c r="C1415" s="8"/>
      <c r="D1415" s="1"/>
      <c r="E1415" s="1"/>
      <c r="F1415" s="1"/>
    </row>
    <row r="1416" spans="1:6" ht="15.75" x14ac:dyDescent="0.25">
      <c r="A1416" s="1"/>
      <c r="B1416" s="1"/>
      <c r="C1416" s="8"/>
      <c r="D1416" s="1"/>
      <c r="E1416" s="1"/>
      <c r="F1416" s="1"/>
    </row>
    <row r="1417" spans="1:6" ht="15.75" x14ac:dyDescent="0.25">
      <c r="A1417" s="1"/>
      <c r="B1417" s="1"/>
      <c r="C1417" s="8"/>
      <c r="D1417" s="1"/>
      <c r="E1417" s="1"/>
      <c r="F1417" s="1"/>
    </row>
    <row r="1418" spans="1:6" ht="15.75" x14ac:dyDescent="0.25">
      <c r="A1418" s="1"/>
      <c r="B1418" s="1"/>
      <c r="C1418" s="8"/>
      <c r="D1418" s="1"/>
      <c r="E1418" s="1"/>
      <c r="F1418" s="1"/>
    </row>
    <row r="1419" spans="1:6" ht="15.75" x14ac:dyDescent="0.25">
      <c r="A1419" s="1"/>
      <c r="B1419" s="1"/>
      <c r="C1419" s="8"/>
      <c r="D1419" s="1"/>
      <c r="E1419" s="1"/>
      <c r="F1419" s="1"/>
    </row>
    <row r="1420" spans="1:6" ht="15.75" x14ac:dyDescent="0.25">
      <c r="A1420" s="1"/>
      <c r="B1420" s="1"/>
      <c r="C1420" s="8"/>
      <c r="D1420" s="1"/>
      <c r="E1420" s="1"/>
      <c r="F1420" s="1"/>
    </row>
    <row r="1421" spans="1:6" ht="15.75" x14ac:dyDescent="0.25">
      <c r="A1421" s="1"/>
      <c r="B1421" s="1"/>
      <c r="C1421" s="8"/>
      <c r="D1421" s="1"/>
      <c r="E1421" s="1"/>
      <c r="F1421" s="1"/>
    </row>
    <row r="1422" spans="1:6" ht="15.75" x14ac:dyDescent="0.25">
      <c r="A1422" s="1"/>
      <c r="B1422" s="1"/>
      <c r="C1422" s="8"/>
      <c r="D1422" s="1"/>
      <c r="E1422" s="1"/>
      <c r="F1422" s="1"/>
    </row>
    <row r="1423" spans="1:6" ht="15.75" x14ac:dyDescent="0.25">
      <c r="A1423" s="1"/>
      <c r="B1423" s="1"/>
      <c r="C1423" s="8"/>
      <c r="D1423" s="1"/>
      <c r="E1423" s="1"/>
      <c r="F1423" s="1"/>
    </row>
    <row r="1424" spans="1:6" ht="15.75" x14ac:dyDescent="0.25">
      <c r="A1424" s="1"/>
      <c r="B1424" s="1"/>
      <c r="C1424" s="8"/>
      <c r="D1424" s="1"/>
      <c r="E1424" s="1"/>
      <c r="F1424" s="1"/>
    </row>
    <row r="1425" spans="1:6" ht="15.75" x14ac:dyDescent="0.25">
      <c r="A1425" s="1"/>
      <c r="B1425" s="1"/>
      <c r="C1425" s="8"/>
      <c r="D1425" s="1"/>
      <c r="E1425" s="1"/>
      <c r="F1425" s="1"/>
    </row>
    <row r="1426" spans="1:6" ht="15.75" x14ac:dyDescent="0.25">
      <c r="A1426" s="1"/>
      <c r="B1426" s="1"/>
      <c r="C1426" s="8"/>
      <c r="D1426" s="1"/>
      <c r="E1426" s="1"/>
      <c r="F1426" s="1"/>
    </row>
    <row r="1427" spans="1:6" ht="15.75" x14ac:dyDescent="0.25">
      <c r="A1427" s="1"/>
      <c r="B1427" s="1"/>
      <c r="C1427" s="8"/>
      <c r="D1427" s="1"/>
      <c r="E1427" s="1"/>
      <c r="F1427" s="1"/>
    </row>
    <row r="1428" spans="1:6" ht="15.75" x14ac:dyDescent="0.25">
      <c r="A1428" s="1"/>
      <c r="B1428" s="1"/>
      <c r="C1428" s="8"/>
      <c r="D1428" s="1"/>
      <c r="E1428" s="1"/>
      <c r="F1428" s="1"/>
    </row>
    <row r="1429" spans="1:6" ht="15.75" x14ac:dyDescent="0.25">
      <c r="A1429" s="1"/>
      <c r="B1429" s="1"/>
      <c r="C1429" s="8"/>
      <c r="D1429" s="1"/>
      <c r="E1429" s="1"/>
      <c r="F1429" s="1"/>
    </row>
    <row r="1430" spans="1:6" ht="15.75" x14ac:dyDescent="0.25">
      <c r="A1430" s="1"/>
      <c r="B1430" s="1"/>
      <c r="C1430" s="8"/>
      <c r="D1430" s="1"/>
      <c r="E1430" s="1"/>
      <c r="F1430" s="1"/>
    </row>
    <row r="1431" spans="1:6" ht="15.75" x14ac:dyDescent="0.25">
      <c r="A1431" s="1"/>
      <c r="B1431" s="1"/>
      <c r="C1431" s="8"/>
      <c r="D1431" s="1"/>
      <c r="E1431" s="1"/>
      <c r="F1431" s="1"/>
    </row>
    <row r="1432" spans="1:6" ht="15.75" x14ac:dyDescent="0.25">
      <c r="A1432" s="1"/>
      <c r="B1432" s="1"/>
      <c r="C1432" s="8"/>
      <c r="D1432" s="1"/>
      <c r="E1432" s="1"/>
      <c r="F1432" s="1"/>
    </row>
    <row r="1433" spans="1:6" ht="15.75" x14ac:dyDescent="0.25">
      <c r="A1433" s="1"/>
      <c r="B1433" s="1"/>
      <c r="C1433" s="8"/>
      <c r="D1433" s="1"/>
      <c r="E1433" s="1"/>
      <c r="F1433" s="1"/>
    </row>
    <row r="1434" spans="1:6" ht="15.75" x14ac:dyDescent="0.25">
      <c r="A1434" s="1"/>
      <c r="B1434" s="1"/>
      <c r="C1434" s="8"/>
      <c r="D1434" s="1"/>
      <c r="E1434" s="1"/>
      <c r="F1434" s="1"/>
    </row>
    <row r="1435" spans="1:6" ht="15.75" x14ac:dyDescent="0.25">
      <c r="A1435" s="1"/>
      <c r="B1435" s="1"/>
      <c r="C1435" s="8"/>
      <c r="D1435" s="1"/>
      <c r="E1435" s="1"/>
      <c r="F1435" s="1"/>
    </row>
    <row r="1436" spans="1:6" ht="15.75" x14ac:dyDescent="0.25">
      <c r="A1436" s="1"/>
      <c r="B1436" s="1"/>
      <c r="C1436" s="8"/>
      <c r="D1436" s="1"/>
      <c r="E1436" s="1"/>
      <c r="F1436" s="1"/>
    </row>
    <row r="1437" spans="1:6" ht="15.75" x14ac:dyDescent="0.25">
      <c r="A1437" s="1"/>
      <c r="B1437" s="1"/>
      <c r="C1437" s="8"/>
      <c r="D1437" s="1"/>
      <c r="E1437" s="1"/>
      <c r="F1437" s="1"/>
    </row>
    <row r="1438" spans="1:6" ht="15.75" x14ac:dyDescent="0.25">
      <c r="A1438" s="1"/>
      <c r="B1438" s="1"/>
      <c r="C1438" s="8"/>
      <c r="D1438" s="1"/>
      <c r="E1438" s="1"/>
      <c r="F1438" s="1"/>
    </row>
    <row r="1439" spans="1:6" ht="15.75" x14ac:dyDescent="0.25">
      <c r="A1439" s="1"/>
      <c r="B1439" s="1"/>
      <c r="C1439" s="8"/>
      <c r="D1439" s="1"/>
      <c r="E1439" s="1"/>
      <c r="F1439" s="1"/>
    </row>
    <row r="1440" spans="1:6" ht="15.75" x14ac:dyDescent="0.25">
      <c r="A1440" s="1"/>
      <c r="B1440" s="1"/>
      <c r="C1440" s="8"/>
      <c r="D1440" s="1"/>
      <c r="E1440" s="1"/>
      <c r="F1440" s="1"/>
    </row>
    <row r="1441" spans="1:6" ht="15.75" x14ac:dyDescent="0.25">
      <c r="A1441" s="1"/>
      <c r="B1441" s="1"/>
      <c r="C1441" s="8"/>
      <c r="D1441" s="1"/>
      <c r="E1441" s="1"/>
      <c r="F1441" s="1"/>
    </row>
    <row r="1442" spans="1:6" ht="15.75" x14ac:dyDescent="0.25">
      <c r="A1442" s="1"/>
      <c r="B1442" s="1"/>
      <c r="C1442" s="8"/>
      <c r="D1442" s="1"/>
      <c r="E1442" s="1"/>
      <c r="F1442" s="1"/>
    </row>
    <row r="1443" spans="1:6" ht="15.75" x14ac:dyDescent="0.25">
      <c r="A1443" s="1"/>
      <c r="B1443" s="1"/>
      <c r="C1443" s="8"/>
      <c r="D1443" s="1"/>
      <c r="E1443" s="1"/>
      <c r="F1443" s="1"/>
    </row>
    <row r="1444" spans="1:6" ht="15.75" x14ac:dyDescent="0.25">
      <c r="A1444" s="1"/>
      <c r="B1444" s="1"/>
      <c r="C1444" s="8"/>
      <c r="D1444" s="1"/>
      <c r="E1444" s="1"/>
      <c r="F1444" s="1"/>
    </row>
    <row r="1445" spans="1:6" ht="15.75" x14ac:dyDescent="0.25">
      <c r="A1445" s="1"/>
      <c r="B1445" s="1"/>
      <c r="C1445" s="8"/>
      <c r="D1445" s="1"/>
      <c r="E1445" s="1"/>
      <c r="F1445" s="1"/>
    </row>
    <row r="1446" spans="1:6" ht="15.75" x14ac:dyDescent="0.25">
      <c r="A1446" s="1"/>
      <c r="B1446" s="1"/>
      <c r="C1446" s="8"/>
      <c r="D1446" s="1"/>
      <c r="E1446" s="1"/>
      <c r="F1446" s="1"/>
    </row>
    <row r="1447" spans="1:6" ht="15.75" x14ac:dyDescent="0.25">
      <c r="A1447" s="1"/>
      <c r="B1447" s="1"/>
      <c r="C1447" s="8"/>
      <c r="D1447" s="1"/>
      <c r="E1447" s="1"/>
      <c r="F1447" s="1"/>
    </row>
    <row r="1448" spans="1:6" ht="15.75" x14ac:dyDescent="0.25">
      <c r="A1448" s="1"/>
      <c r="B1448" s="1"/>
      <c r="C1448" s="8"/>
      <c r="D1448" s="1"/>
      <c r="E1448" s="1"/>
      <c r="F1448" s="1"/>
    </row>
    <row r="1449" spans="1:6" ht="15.75" x14ac:dyDescent="0.25">
      <c r="A1449" s="1"/>
      <c r="B1449" s="1"/>
      <c r="C1449" s="8"/>
      <c r="D1449" s="1"/>
      <c r="E1449" s="1"/>
      <c r="F1449" s="1"/>
    </row>
    <row r="1450" spans="1:6" ht="15.75" x14ac:dyDescent="0.25">
      <c r="A1450" s="1"/>
      <c r="B1450" s="1"/>
      <c r="C1450" s="8"/>
      <c r="D1450" s="1"/>
      <c r="E1450" s="1"/>
      <c r="F1450" s="1"/>
    </row>
    <row r="1451" spans="1:6" ht="15.75" x14ac:dyDescent="0.25">
      <c r="A1451" s="1"/>
      <c r="B1451" s="1"/>
      <c r="C1451" s="8"/>
      <c r="D1451" s="1"/>
      <c r="E1451" s="1"/>
      <c r="F1451" s="1"/>
    </row>
    <row r="1452" spans="1:6" ht="15.75" x14ac:dyDescent="0.25">
      <c r="A1452" s="1"/>
      <c r="B1452" s="1"/>
      <c r="C1452" s="8"/>
      <c r="D1452" s="1"/>
      <c r="E1452" s="1"/>
      <c r="F1452" s="1"/>
    </row>
    <row r="1453" spans="1:6" ht="15.75" x14ac:dyDescent="0.25">
      <c r="A1453" s="1"/>
      <c r="B1453" s="1"/>
      <c r="C1453" s="8"/>
      <c r="D1453" s="1"/>
      <c r="E1453" s="1"/>
      <c r="F1453" s="1"/>
    </row>
    <row r="1454" spans="1:6" ht="15.75" x14ac:dyDescent="0.25">
      <c r="A1454" s="1"/>
      <c r="B1454" s="1"/>
      <c r="C1454" s="8"/>
      <c r="D1454" s="1"/>
      <c r="E1454" s="1"/>
      <c r="F1454" s="1"/>
    </row>
    <row r="1455" spans="1:6" ht="15.75" x14ac:dyDescent="0.25">
      <c r="A1455" s="1"/>
      <c r="B1455" s="1"/>
      <c r="C1455" s="8"/>
      <c r="D1455" s="1"/>
      <c r="E1455" s="1"/>
      <c r="F1455" s="1"/>
    </row>
    <row r="1456" spans="1:6" ht="15.75" x14ac:dyDescent="0.25">
      <c r="A1456" s="1"/>
      <c r="B1456" s="1"/>
      <c r="C1456" s="8"/>
      <c r="D1456" s="1"/>
      <c r="E1456" s="1"/>
      <c r="F1456" s="1"/>
    </row>
    <row r="1457" spans="1:6" ht="15.75" x14ac:dyDescent="0.25">
      <c r="A1457" s="1"/>
      <c r="B1457" s="1"/>
      <c r="C1457" s="8"/>
      <c r="D1457" s="1"/>
      <c r="E1457" s="1"/>
      <c r="F1457" s="1"/>
    </row>
    <row r="1458" spans="1:6" ht="15.75" x14ac:dyDescent="0.25">
      <c r="A1458" s="1"/>
      <c r="B1458" s="1"/>
      <c r="C1458" s="8"/>
      <c r="D1458" s="1"/>
      <c r="E1458" s="1"/>
      <c r="F1458" s="1"/>
    </row>
    <row r="1459" spans="1:6" ht="15.75" x14ac:dyDescent="0.25">
      <c r="A1459" s="1"/>
      <c r="B1459" s="1"/>
      <c r="C1459" s="8"/>
      <c r="D1459" s="1"/>
      <c r="E1459" s="1"/>
      <c r="F1459" s="1"/>
    </row>
    <row r="1460" spans="1:6" ht="15.75" x14ac:dyDescent="0.25">
      <c r="A1460" s="1"/>
      <c r="B1460" s="1"/>
      <c r="C1460" s="8"/>
      <c r="D1460" s="1"/>
      <c r="E1460" s="1"/>
      <c r="F1460" s="1"/>
    </row>
    <row r="1461" spans="1:6" ht="15.75" x14ac:dyDescent="0.25">
      <c r="A1461" s="1"/>
      <c r="B1461" s="1"/>
      <c r="C1461" s="8"/>
      <c r="D1461" s="1"/>
      <c r="E1461" s="1"/>
      <c r="F1461" s="1"/>
    </row>
    <row r="1462" spans="1:6" ht="15.75" x14ac:dyDescent="0.25">
      <c r="A1462" s="1"/>
      <c r="B1462" s="1"/>
      <c r="C1462" s="8"/>
      <c r="D1462" s="1"/>
      <c r="E1462" s="1"/>
      <c r="F1462" s="1"/>
    </row>
    <row r="1463" spans="1:6" ht="15.75" x14ac:dyDescent="0.25">
      <c r="A1463" s="1"/>
      <c r="B1463" s="1"/>
      <c r="C1463" s="8"/>
      <c r="D1463" s="1"/>
      <c r="E1463" s="1"/>
      <c r="F1463" s="1"/>
    </row>
    <row r="1464" spans="1:6" ht="15.75" x14ac:dyDescent="0.25">
      <c r="A1464" s="1"/>
      <c r="B1464" s="1"/>
      <c r="C1464" s="8"/>
      <c r="D1464" s="1"/>
      <c r="E1464" s="1"/>
      <c r="F1464" s="1"/>
    </row>
    <row r="1465" spans="1:6" ht="15.75" x14ac:dyDescent="0.25">
      <c r="A1465" s="1"/>
      <c r="B1465" s="1"/>
      <c r="C1465" s="8"/>
      <c r="D1465" s="1"/>
      <c r="E1465" s="1"/>
      <c r="F1465" s="1"/>
    </row>
    <row r="1466" spans="1:6" ht="15.75" x14ac:dyDescent="0.25">
      <c r="A1466" s="1"/>
      <c r="B1466" s="1"/>
      <c r="C1466" s="8"/>
      <c r="D1466" s="1"/>
      <c r="E1466" s="1"/>
      <c r="F1466" s="1"/>
    </row>
    <row r="1467" spans="1:6" ht="15.75" x14ac:dyDescent="0.25">
      <c r="A1467" s="1"/>
      <c r="B1467" s="1"/>
      <c r="C1467" s="8"/>
      <c r="D1467" s="1"/>
      <c r="E1467" s="1"/>
      <c r="F1467" s="1"/>
    </row>
    <row r="1468" spans="1:6" ht="15.75" x14ac:dyDescent="0.25">
      <c r="A1468" s="1"/>
      <c r="B1468" s="1"/>
      <c r="C1468" s="8"/>
      <c r="D1468" s="1"/>
      <c r="E1468" s="1"/>
      <c r="F1468" s="1"/>
    </row>
    <row r="1469" spans="1:6" ht="15.75" x14ac:dyDescent="0.25">
      <c r="A1469" s="1"/>
      <c r="B1469" s="1"/>
      <c r="C1469" s="8"/>
      <c r="D1469" s="1"/>
      <c r="E1469" s="1"/>
      <c r="F1469" s="1"/>
    </row>
    <row r="1470" spans="1:6" ht="15.75" x14ac:dyDescent="0.25">
      <c r="A1470" s="1"/>
      <c r="B1470" s="1"/>
      <c r="C1470" s="8"/>
      <c r="D1470" s="1"/>
      <c r="E1470" s="1"/>
      <c r="F1470" s="1"/>
    </row>
    <row r="1471" spans="1:6" ht="15.75" x14ac:dyDescent="0.25">
      <c r="A1471" s="1"/>
      <c r="B1471" s="1"/>
      <c r="C1471" s="8"/>
      <c r="D1471" s="1"/>
      <c r="E1471" s="1"/>
      <c r="F1471" s="1"/>
    </row>
    <row r="1472" spans="1:6" ht="15.75" x14ac:dyDescent="0.25">
      <c r="A1472" s="1"/>
      <c r="B1472" s="1"/>
      <c r="C1472" s="8"/>
      <c r="D1472" s="1"/>
      <c r="E1472" s="1"/>
      <c r="F1472" s="1"/>
    </row>
    <row r="1473" spans="1:6" ht="15.75" x14ac:dyDescent="0.25">
      <c r="A1473" s="1"/>
      <c r="B1473" s="1"/>
      <c r="C1473" s="8"/>
      <c r="D1473" s="1"/>
      <c r="E1473" s="1"/>
      <c r="F1473" s="1"/>
    </row>
    <row r="1474" spans="1:6" ht="15.75" x14ac:dyDescent="0.25">
      <c r="A1474" s="1"/>
      <c r="B1474" s="1"/>
      <c r="C1474" s="8"/>
      <c r="D1474" s="1"/>
      <c r="E1474" s="1"/>
      <c r="F1474" s="1"/>
    </row>
    <row r="1475" spans="1:6" ht="15.75" x14ac:dyDescent="0.25">
      <c r="A1475" s="1"/>
      <c r="B1475" s="1"/>
      <c r="C1475" s="8"/>
      <c r="D1475" s="1"/>
      <c r="E1475" s="1"/>
      <c r="F1475" s="1"/>
    </row>
    <row r="1476" spans="1:6" ht="15.75" x14ac:dyDescent="0.25">
      <c r="A1476" s="1"/>
      <c r="B1476" s="1"/>
      <c r="C1476" s="8"/>
      <c r="D1476" s="1"/>
      <c r="E1476" s="1"/>
      <c r="F1476" s="1"/>
    </row>
    <row r="1477" spans="1:6" ht="15.75" x14ac:dyDescent="0.25">
      <c r="A1477" s="1"/>
      <c r="B1477" s="1"/>
      <c r="C1477" s="8"/>
      <c r="D1477" s="1"/>
      <c r="E1477" s="1"/>
      <c r="F1477" s="1"/>
    </row>
    <row r="1478" spans="1:6" ht="15.75" x14ac:dyDescent="0.25">
      <c r="A1478" s="1"/>
      <c r="B1478" s="1"/>
      <c r="C1478" s="8"/>
      <c r="D1478" s="1"/>
      <c r="E1478" s="1"/>
      <c r="F1478" s="1"/>
    </row>
    <row r="1479" spans="1:6" ht="15.75" x14ac:dyDescent="0.25">
      <c r="A1479" s="1"/>
      <c r="B1479" s="1"/>
      <c r="C1479" s="8"/>
      <c r="D1479" s="1"/>
      <c r="E1479" s="1"/>
      <c r="F1479" s="1"/>
    </row>
    <row r="1480" spans="1:6" ht="15.75" x14ac:dyDescent="0.25">
      <c r="A1480" s="1"/>
      <c r="B1480" s="1"/>
      <c r="C1480" s="8"/>
      <c r="D1480" s="1"/>
      <c r="E1480" s="1"/>
      <c r="F1480" s="1"/>
    </row>
    <row r="1481" spans="1:6" ht="15.75" x14ac:dyDescent="0.25">
      <c r="A1481" s="1"/>
      <c r="B1481" s="1"/>
      <c r="C1481" s="8"/>
      <c r="D1481" s="1"/>
      <c r="E1481" s="1"/>
      <c r="F1481" s="1"/>
    </row>
    <row r="1482" spans="1:6" ht="15.75" x14ac:dyDescent="0.25">
      <c r="A1482" s="1"/>
      <c r="B1482" s="1"/>
      <c r="C1482" s="8"/>
      <c r="D1482" s="1"/>
      <c r="E1482" s="1"/>
      <c r="F1482" s="1"/>
    </row>
    <row r="1483" spans="1:6" ht="15.75" x14ac:dyDescent="0.25">
      <c r="A1483" s="1"/>
      <c r="B1483" s="1"/>
      <c r="C1483" s="8"/>
      <c r="D1483" s="1"/>
      <c r="E1483" s="1"/>
      <c r="F1483" s="1"/>
    </row>
    <row r="1484" spans="1:6" ht="15.75" x14ac:dyDescent="0.25">
      <c r="A1484" s="1"/>
      <c r="B1484" s="1"/>
      <c r="C1484" s="8"/>
      <c r="D1484" s="1"/>
      <c r="E1484" s="1"/>
      <c r="F1484" s="1"/>
    </row>
    <row r="1485" spans="1:6" ht="15.75" x14ac:dyDescent="0.25">
      <c r="A1485" s="1"/>
      <c r="B1485" s="1"/>
      <c r="C1485" s="8"/>
      <c r="D1485" s="1"/>
      <c r="E1485" s="1"/>
      <c r="F1485" s="1"/>
    </row>
    <row r="1486" spans="1:6" ht="15.75" x14ac:dyDescent="0.25">
      <c r="A1486" s="1"/>
      <c r="B1486" s="1"/>
      <c r="C1486" s="8"/>
      <c r="D1486" s="1"/>
      <c r="E1486" s="1"/>
      <c r="F1486" s="1"/>
    </row>
    <row r="1487" spans="1:6" ht="15.75" x14ac:dyDescent="0.25">
      <c r="A1487" s="1"/>
      <c r="B1487" s="1"/>
      <c r="C1487" s="8"/>
      <c r="D1487" s="1"/>
      <c r="E1487" s="1"/>
      <c r="F1487" s="1"/>
    </row>
    <row r="1488" spans="1:6" ht="15.75" x14ac:dyDescent="0.25">
      <c r="A1488" s="1"/>
      <c r="B1488" s="1"/>
      <c r="C1488" s="8"/>
      <c r="D1488" s="1"/>
      <c r="E1488" s="1"/>
      <c r="F1488" s="1"/>
    </row>
    <row r="1489" spans="1:6" ht="15.75" x14ac:dyDescent="0.25">
      <c r="A1489" s="1"/>
      <c r="B1489" s="1"/>
      <c r="C1489" s="8"/>
      <c r="D1489" s="1"/>
      <c r="E1489" s="1"/>
      <c r="F1489" s="1"/>
    </row>
    <row r="1490" spans="1:6" ht="15.75" x14ac:dyDescent="0.25">
      <c r="A1490" s="1"/>
      <c r="B1490" s="1"/>
      <c r="C1490" s="8"/>
      <c r="D1490" s="1"/>
      <c r="E1490" s="1"/>
      <c r="F1490" s="1"/>
    </row>
    <row r="1491" spans="1:6" ht="15.75" x14ac:dyDescent="0.25">
      <c r="A1491" s="1"/>
      <c r="B1491" s="1"/>
      <c r="C1491" s="8"/>
      <c r="D1491" s="1"/>
      <c r="E1491" s="1"/>
      <c r="F1491" s="1"/>
    </row>
    <row r="1492" spans="1:6" ht="15.75" x14ac:dyDescent="0.25">
      <c r="A1492" s="1"/>
      <c r="B1492" s="1"/>
      <c r="C1492" s="8"/>
      <c r="D1492" s="1"/>
      <c r="E1492" s="1"/>
      <c r="F1492" s="1"/>
    </row>
    <row r="1493" spans="1:6" ht="15.75" x14ac:dyDescent="0.25">
      <c r="A1493" s="1"/>
      <c r="B1493" s="1"/>
      <c r="C1493" s="8"/>
      <c r="D1493" s="1"/>
      <c r="E1493" s="1"/>
      <c r="F1493" s="1"/>
    </row>
    <row r="1494" spans="1:6" ht="15.75" x14ac:dyDescent="0.25">
      <c r="A1494" s="1"/>
      <c r="B1494" s="1"/>
      <c r="C1494" s="8"/>
      <c r="D1494" s="1"/>
      <c r="E1494" s="1"/>
      <c r="F1494" s="1"/>
    </row>
    <row r="1495" spans="1:6" ht="15.75" x14ac:dyDescent="0.25">
      <c r="A1495" s="1"/>
      <c r="B1495" s="1"/>
      <c r="C1495" s="8"/>
      <c r="D1495" s="1"/>
      <c r="E1495" s="1"/>
      <c r="F1495" s="1"/>
    </row>
    <row r="1496" spans="1:6" ht="15.75" x14ac:dyDescent="0.25">
      <c r="A1496" s="1"/>
      <c r="B1496" s="1"/>
      <c r="C1496" s="8"/>
      <c r="D1496" s="1"/>
      <c r="E1496" s="1"/>
      <c r="F1496" s="1"/>
    </row>
    <row r="1497" spans="1:6" ht="15.75" x14ac:dyDescent="0.25">
      <c r="A1497" s="1"/>
      <c r="B1497" s="1"/>
      <c r="C1497" s="8"/>
      <c r="D1497" s="1"/>
      <c r="E1497" s="1"/>
      <c r="F1497" s="1"/>
    </row>
    <row r="1498" spans="1:6" ht="15.75" x14ac:dyDescent="0.25">
      <c r="A1498" s="1"/>
      <c r="B1498" s="1"/>
      <c r="C1498" s="8"/>
      <c r="D1498" s="1"/>
      <c r="E1498" s="1"/>
      <c r="F1498" s="1"/>
    </row>
    <row r="1499" spans="1:6" ht="15.75" x14ac:dyDescent="0.25">
      <c r="A1499" s="1"/>
      <c r="B1499" s="1"/>
      <c r="C1499" s="8"/>
      <c r="D1499" s="1"/>
      <c r="E1499" s="1"/>
      <c r="F1499" s="1"/>
    </row>
    <row r="1500" spans="1:6" ht="15.75" x14ac:dyDescent="0.25">
      <c r="A1500" s="1"/>
      <c r="B1500" s="1"/>
      <c r="C1500" s="8"/>
      <c r="D1500" s="1"/>
      <c r="E1500" s="1"/>
      <c r="F1500" s="1"/>
    </row>
    <row r="1501" spans="1:6" ht="15.75" x14ac:dyDescent="0.25">
      <c r="A1501" s="1"/>
      <c r="B1501" s="1"/>
      <c r="C1501" s="8"/>
      <c r="D1501" s="1"/>
      <c r="E1501" s="1"/>
      <c r="F1501" s="1"/>
    </row>
    <row r="1502" spans="1:6" ht="15.75" x14ac:dyDescent="0.25">
      <c r="A1502" s="1"/>
      <c r="B1502" s="1"/>
      <c r="C1502" s="8"/>
      <c r="D1502" s="1"/>
      <c r="E1502" s="1"/>
      <c r="F1502" s="1"/>
    </row>
    <row r="1503" spans="1:6" ht="15.75" x14ac:dyDescent="0.25">
      <c r="A1503" s="1"/>
      <c r="B1503" s="1"/>
      <c r="C1503" s="8"/>
      <c r="D1503" s="1"/>
      <c r="E1503" s="1"/>
      <c r="F1503" s="1"/>
    </row>
    <row r="1504" spans="1:6" ht="15.75" x14ac:dyDescent="0.25">
      <c r="A1504" s="1"/>
      <c r="B1504" s="1"/>
      <c r="C1504" s="8"/>
      <c r="D1504" s="1"/>
      <c r="E1504" s="1"/>
      <c r="F1504" s="1"/>
    </row>
    <row r="1505" spans="1:6" ht="15.75" x14ac:dyDescent="0.25">
      <c r="A1505" s="1"/>
      <c r="B1505" s="1"/>
      <c r="C1505" s="8"/>
      <c r="D1505" s="1"/>
      <c r="E1505" s="1"/>
      <c r="F1505" s="1"/>
    </row>
    <row r="1506" spans="1:6" ht="15.75" x14ac:dyDescent="0.25">
      <c r="A1506" s="1"/>
      <c r="B1506" s="1"/>
      <c r="C1506" s="8"/>
      <c r="D1506" s="1"/>
      <c r="E1506" s="1"/>
      <c r="F1506" s="1"/>
    </row>
    <row r="1507" spans="1:6" ht="15.75" x14ac:dyDescent="0.25">
      <c r="A1507" s="1"/>
      <c r="B1507" s="1"/>
      <c r="C1507" s="8"/>
      <c r="D1507" s="1"/>
      <c r="E1507" s="1"/>
      <c r="F1507" s="1"/>
    </row>
    <row r="1508" spans="1:6" ht="15.75" x14ac:dyDescent="0.25">
      <c r="A1508" s="1"/>
      <c r="B1508" s="1"/>
      <c r="C1508" s="8"/>
      <c r="D1508" s="1"/>
      <c r="E1508" s="1"/>
      <c r="F1508" s="1"/>
    </row>
    <row r="1509" spans="1:6" ht="15.75" x14ac:dyDescent="0.25">
      <c r="A1509" s="1"/>
      <c r="B1509" s="1"/>
      <c r="C1509" s="8"/>
      <c r="D1509" s="1"/>
      <c r="E1509" s="1"/>
      <c r="F1509" s="1"/>
    </row>
    <row r="1510" spans="1:6" ht="15.75" x14ac:dyDescent="0.25">
      <c r="A1510" s="1"/>
      <c r="B1510" s="1"/>
      <c r="C1510" s="8"/>
      <c r="D1510" s="1"/>
      <c r="E1510" s="1"/>
      <c r="F1510" s="1"/>
    </row>
    <row r="1511" spans="1:6" ht="15.75" x14ac:dyDescent="0.25">
      <c r="A1511" s="1"/>
      <c r="B1511" s="1"/>
      <c r="C1511" s="8"/>
      <c r="D1511" s="1"/>
      <c r="E1511" s="1"/>
      <c r="F1511" s="1"/>
    </row>
    <row r="1512" spans="1:6" ht="15.75" x14ac:dyDescent="0.25">
      <c r="A1512" s="1"/>
      <c r="B1512" s="1"/>
      <c r="C1512" s="8"/>
      <c r="D1512" s="1"/>
      <c r="E1512" s="1"/>
      <c r="F1512" s="1"/>
    </row>
    <row r="1513" spans="1:6" ht="15.75" x14ac:dyDescent="0.25">
      <c r="A1513" s="1"/>
      <c r="B1513" s="1"/>
      <c r="C1513" s="8"/>
      <c r="D1513" s="1"/>
      <c r="E1513" s="1"/>
      <c r="F1513" s="1"/>
    </row>
    <row r="1514" spans="1:6" ht="15.75" x14ac:dyDescent="0.25">
      <c r="A1514" s="1"/>
      <c r="B1514" s="1"/>
      <c r="C1514" s="8"/>
      <c r="D1514" s="1"/>
      <c r="E1514" s="1"/>
      <c r="F1514" s="1"/>
    </row>
    <row r="1515" spans="1:6" ht="15.75" x14ac:dyDescent="0.25">
      <c r="A1515" s="1"/>
      <c r="B1515" s="1"/>
      <c r="C1515" s="8"/>
      <c r="D1515" s="1"/>
      <c r="E1515" s="1"/>
      <c r="F1515" s="1"/>
    </row>
    <row r="1516" spans="1:6" ht="15.75" x14ac:dyDescent="0.25">
      <c r="A1516" s="1"/>
      <c r="B1516" s="1"/>
      <c r="C1516" s="8"/>
      <c r="D1516" s="1"/>
      <c r="E1516" s="1"/>
      <c r="F1516" s="1"/>
    </row>
    <row r="1517" spans="1:6" ht="15.75" x14ac:dyDescent="0.25">
      <c r="A1517" s="1"/>
      <c r="B1517" s="1"/>
      <c r="C1517" s="8"/>
      <c r="D1517" s="1"/>
      <c r="E1517" s="1"/>
      <c r="F1517" s="1"/>
    </row>
    <row r="1518" spans="1:6" ht="15.75" x14ac:dyDescent="0.25">
      <c r="A1518" s="1"/>
      <c r="B1518" s="1"/>
      <c r="C1518" s="8"/>
      <c r="D1518" s="1"/>
      <c r="E1518" s="1"/>
      <c r="F1518" s="1"/>
    </row>
    <row r="1519" spans="1:6" ht="15.75" x14ac:dyDescent="0.25">
      <c r="A1519" s="1"/>
      <c r="B1519" s="1"/>
      <c r="C1519" s="8"/>
      <c r="D1519" s="1"/>
      <c r="E1519" s="1"/>
      <c r="F1519" s="1"/>
    </row>
    <row r="1520" spans="1:6" ht="15.75" x14ac:dyDescent="0.25">
      <c r="A1520" s="1"/>
      <c r="B1520" s="1"/>
      <c r="C1520" s="8"/>
      <c r="D1520" s="1"/>
      <c r="E1520" s="1"/>
      <c r="F1520" s="1"/>
    </row>
    <row r="1521" spans="1:6" ht="15.75" x14ac:dyDescent="0.25">
      <c r="A1521" s="1"/>
      <c r="B1521" s="1"/>
      <c r="C1521" s="8"/>
      <c r="D1521" s="1"/>
      <c r="E1521" s="1"/>
      <c r="F1521" s="1"/>
    </row>
    <row r="1522" spans="1:6" ht="15.75" x14ac:dyDescent="0.25">
      <c r="A1522" s="1"/>
      <c r="B1522" s="1"/>
      <c r="C1522" s="8"/>
      <c r="D1522" s="1"/>
      <c r="E1522" s="1"/>
      <c r="F1522" s="1"/>
    </row>
    <row r="1523" spans="1:6" ht="15.75" x14ac:dyDescent="0.25">
      <c r="A1523" s="1"/>
      <c r="B1523" s="1"/>
      <c r="C1523" s="8"/>
      <c r="D1523" s="1"/>
      <c r="E1523" s="1"/>
      <c r="F1523" s="1"/>
    </row>
    <row r="1524" spans="1:6" ht="15.75" x14ac:dyDescent="0.25">
      <c r="A1524" s="1"/>
      <c r="B1524" s="1"/>
      <c r="C1524" s="8"/>
      <c r="D1524" s="1"/>
      <c r="E1524" s="1"/>
      <c r="F1524" s="1"/>
    </row>
    <row r="1525" spans="1:6" ht="15.75" x14ac:dyDescent="0.25">
      <c r="A1525" s="1"/>
      <c r="B1525" s="1"/>
      <c r="C1525" s="8"/>
      <c r="D1525" s="1"/>
      <c r="E1525" s="1"/>
      <c r="F1525" s="1"/>
    </row>
    <row r="1526" spans="1:6" ht="15.75" x14ac:dyDescent="0.25">
      <c r="A1526" s="1"/>
      <c r="B1526" s="1"/>
      <c r="C1526" s="8"/>
      <c r="D1526" s="1"/>
      <c r="E1526" s="1"/>
      <c r="F1526" s="1"/>
    </row>
    <row r="1527" spans="1:6" ht="15.75" x14ac:dyDescent="0.25">
      <c r="A1527" s="1"/>
      <c r="B1527" s="1"/>
      <c r="C1527" s="8"/>
      <c r="D1527" s="1"/>
      <c r="E1527" s="1"/>
      <c r="F1527" s="1"/>
    </row>
    <row r="1528" spans="1:6" ht="15.75" x14ac:dyDescent="0.25">
      <c r="A1528" s="1"/>
      <c r="B1528" s="1"/>
      <c r="C1528" s="8"/>
      <c r="D1528" s="1"/>
      <c r="E1528" s="1"/>
      <c r="F1528" s="1"/>
    </row>
    <row r="1529" spans="1:6" ht="15.75" x14ac:dyDescent="0.25">
      <c r="A1529" s="1"/>
      <c r="B1529" s="1"/>
      <c r="C1529" s="8"/>
      <c r="D1529" s="1"/>
      <c r="E1529" s="1"/>
      <c r="F1529" s="1"/>
    </row>
    <row r="1530" spans="1:6" ht="15.75" x14ac:dyDescent="0.25">
      <c r="A1530" s="1"/>
      <c r="B1530" s="1"/>
      <c r="C1530" s="8"/>
      <c r="D1530" s="1"/>
      <c r="E1530" s="1"/>
      <c r="F1530" s="1"/>
    </row>
    <row r="1531" spans="1:6" ht="15.75" x14ac:dyDescent="0.25">
      <c r="A1531" s="1"/>
      <c r="B1531" s="1"/>
      <c r="C1531" s="8"/>
      <c r="D1531" s="1"/>
      <c r="E1531" s="1"/>
      <c r="F1531" s="1"/>
    </row>
    <row r="1532" spans="1:6" ht="15.75" x14ac:dyDescent="0.25">
      <c r="A1532" s="1"/>
      <c r="B1532" s="1"/>
      <c r="C1532" s="8"/>
      <c r="D1532" s="1"/>
      <c r="E1532" s="1"/>
      <c r="F1532" s="1"/>
    </row>
    <row r="1533" spans="1:6" ht="15.75" x14ac:dyDescent="0.25">
      <c r="A1533" s="1"/>
      <c r="B1533" s="1"/>
      <c r="C1533" s="8"/>
      <c r="D1533" s="1"/>
      <c r="E1533" s="1"/>
      <c r="F1533" s="1"/>
    </row>
    <row r="1534" spans="1:6" ht="15.75" x14ac:dyDescent="0.25">
      <c r="A1534" s="1"/>
      <c r="B1534" s="1"/>
      <c r="C1534" s="8"/>
      <c r="D1534" s="1"/>
      <c r="E1534" s="1"/>
      <c r="F1534" s="1"/>
    </row>
    <row r="1535" spans="1:6" ht="15.75" x14ac:dyDescent="0.25">
      <c r="A1535" s="1"/>
      <c r="B1535" s="1"/>
      <c r="C1535" s="8"/>
      <c r="D1535" s="1"/>
      <c r="E1535" s="1"/>
      <c r="F1535" s="1"/>
    </row>
    <row r="1536" spans="1:6" ht="15.75" x14ac:dyDescent="0.25">
      <c r="A1536" s="1"/>
      <c r="B1536" s="1"/>
      <c r="C1536" s="8"/>
      <c r="D1536" s="1"/>
      <c r="E1536" s="1"/>
      <c r="F1536" s="1"/>
    </row>
    <row r="1537" spans="1:6" ht="15.75" x14ac:dyDescent="0.25">
      <c r="A1537" s="1"/>
      <c r="B1537" s="1"/>
      <c r="C1537" s="8"/>
      <c r="D1537" s="1"/>
      <c r="E1537" s="1"/>
      <c r="F1537" s="1"/>
    </row>
    <row r="1538" spans="1:6" ht="15.75" x14ac:dyDescent="0.25">
      <c r="A1538" s="1"/>
      <c r="B1538" s="1"/>
      <c r="C1538" s="8"/>
      <c r="D1538" s="1"/>
      <c r="E1538" s="1"/>
      <c r="F1538" s="1"/>
    </row>
    <row r="1539" spans="1:6" ht="15.75" x14ac:dyDescent="0.25">
      <c r="A1539" s="1"/>
      <c r="B1539" s="1"/>
      <c r="C1539" s="8"/>
      <c r="D1539" s="1"/>
      <c r="E1539" s="1"/>
      <c r="F1539" s="1"/>
    </row>
    <row r="1540" spans="1:6" ht="15.75" x14ac:dyDescent="0.25">
      <c r="A1540" s="1"/>
      <c r="B1540" s="1"/>
      <c r="C1540" s="8"/>
      <c r="D1540" s="1"/>
      <c r="E1540" s="1"/>
      <c r="F1540" s="1"/>
    </row>
    <row r="1541" spans="1:6" ht="15.75" x14ac:dyDescent="0.25">
      <c r="A1541" s="1"/>
      <c r="B1541" s="1"/>
      <c r="C1541" s="8"/>
      <c r="D1541" s="1"/>
      <c r="E1541" s="1"/>
      <c r="F1541" s="1"/>
    </row>
    <row r="1542" spans="1:6" ht="15.75" x14ac:dyDescent="0.25">
      <c r="A1542" s="1"/>
      <c r="B1542" s="1"/>
      <c r="C1542" s="8"/>
      <c r="D1542" s="1"/>
      <c r="E1542" s="1"/>
      <c r="F1542" s="1"/>
    </row>
    <row r="1543" spans="1:6" ht="15.75" x14ac:dyDescent="0.25">
      <c r="A1543" s="1"/>
      <c r="B1543" s="1"/>
      <c r="C1543" s="8"/>
      <c r="D1543" s="1"/>
      <c r="E1543" s="1"/>
      <c r="F1543" s="1"/>
    </row>
    <row r="1544" spans="1:6" ht="15.75" x14ac:dyDescent="0.25">
      <c r="A1544" s="1"/>
      <c r="B1544" s="1"/>
      <c r="C1544" s="8"/>
      <c r="D1544" s="1"/>
      <c r="E1544" s="1"/>
      <c r="F1544" s="1"/>
    </row>
    <row r="1545" spans="1:6" ht="15.75" x14ac:dyDescent="0.25">
      <c r="A1545" s="1"/>
      <c r="B1545" s="1"/>
      <c r="C1545" s="8"/>
      <c r="D1545" s="1"/>
      <c r="E1545" s="1"/>
      <c r="F1545" s="1"/>
    </row>
    <row r="1546" spans="1:6" ht="15.75" x14ac:dyDescent="0.25">
      <c r="A1546" s="1"/>
      <c r="B1546" s="1"/>
      <c r="C1546" s="8"/>
      <c r="D1546" s="1"/>
      <c r="E1546" s="1"/>
      <c r="F1546" s="1"/>
    </row>
    <row r="1547" spans="1:6" ht="15.75" x14ac:dyDescent="0.25">
      <c r="A1547" s="1"/>
      <c r="B1547" s="1"/>
      <c r="C1547" s="8"/>
      <c r="D1547" s="1"/>
      <c r="E1547" s="1"/>
      <c r="F1547" s="1"/>
    </row>
    <row r="1548" spans="1:6" ht="15.75" x14ac:dyDescent="0.25">
      <c r="A1548" s="1"/>
      <c r="B1548" s="1"/>
      <c r="C1548" s="8"/>
      <c r="D1548" s="1"/>
      <c r="E1548" s="1"/>
      <c r="F1548" s="1"/>
    </row>
    <row r="1549" spans="1:6" ht="15.75" x14ac:dyDescent="0.25">
      <c r="A1549" s="1"/>
      <c r="B1549" s="1"/>
      <c r="C1549" s="8"/>
      <c r="D1549" s="1"/>
      <c r="E1549" s="1"/>
      <c r="F1549" s="1"/>
    </row>
    <row r="1550" spans="1:6" ht="15.75" x14ac:dyDescent="0.25">
      <c r="A1550" s="1"/>
      <c r="B1550" s="1"/>
      <c r="C1550" s="8"/>
      <c r="D1550" s="1"/>
      <c r="E1550" s="1"/>
      <c r="F1550" s="1"/>
    </row>
    <row r="1551" spans="1:6" ht="15.75" x14ac:dyDescent="0.25">
      <c r="A1551" s="1"/>
      <c r="B1551" s="1"/>
      <c r="C1551" s="8"/>
      <c r="D1551" s="1"/>
      <c r="E1551" s="1"/>
      <c r="F1551" s="1"/>
    </row>
    <row r="1552" spans="1:6" ht="15.75" x14ac:dyDescent="0.25">
      <c r="A1552" s="1"/>
      <c r="B1552" s="1"/>
      <c r="C1552" s="8"/>
      <c r="D1552" s="1"/>
      <c r="E1552" s="1"/>
      <c r="F1552" s="1"/>
    </row>
    <row r="1553" spans="1:6" ht="15.75" x14ac:dyDescent="0.25">
      <c r="A1553" s="1"/>
      <c r="B1553" s="1"/>
      <c r="C1553" s="8"/>
      <c r="D1553" s="1"/>
      <c r="E1553" s="1"/>
      <c r="F1553" s="1"/>
    </row>
    <row r="1554" spans="1:6" ht="15.75" x14ac:dyDescent="0.25">
      <c r="A1554" s="1"/>
      <c r="B1554" s="1"/>
      <c r="C1554" s="8"/>
      <c r="D1554" s="1"/>
      <c r="E1554" s="1"/>
      <c r="F1554" s="1"/>
    </row>
    <row r="1555" spans="1:6" ht="15.75" x14ac:dyDescent="0.25">
      <c r="A1555" s="1"/>
      <c r="B1555" s="1"/>
      <c r="C1555" s="8"/>
      <c r="D1555" s="1"/>
      <c r="E1555" s="1"/>
      <c r="F1555" s="1"/>
    </row>
    <row r="1556" spans="1:6" ht="15.75" x14ac:dyDescent="0.25">
      <c r="A1556" s="1"/>
      <c r="B1556" s="1"/>
      <c r="C1556" s="8"/>
      <c r="D1556" s="1"/>
      <c r="E1556" s="1"/>
      <c r="F1556" s="1"/>
    </row>
    <row r="1557" spans="1:6" ht="15.75" x14ac:dyDescent="0.25">
      <c r="A1557" s="1"/>
      <c r="B1557" s="1"/>
      <c r="C1557" s="8"/>
      <c r="D1557" s="1"/>
      <c r="E1557" s="1"/>
      <c r="F1557" s="1"/>
    </row>
    <row r="1558" spans="1:6" ht="15.75" x14ac:dyDescent="0.25">
      <c r="A1558" s="1"/>
      <c r="B1558" s="1"/>
      <c r="C1558" s="8"/>
      <c r="D1558" s="1"/>
      <c r="E1558" s="1"/>
      <c r="F1558" s="1"/>
    </row>
    <row r="1559" spans="1:6" ht="15.75" x14ac:dyDescent="0.25">
      <c r="A1559" s="1"/>
      <c r="B1559" s="1"/>
      <c r="C1559" s="8"/>
      <c r="D1559" s="1"/>
      <c r="E1559" s="1"/>
      <c r="F1559" s="1"/>
    </row>
    <row r="1560" spans="1:6" ht="15.75" x14ac:dyDescent="0.25">
      <c r="A1560" s="1"/>
      <c r="B1560" s="1"/>
      <c r="C1560" s="8"/>
      <c r="D1560" s="1"/>
      <c r="E1560" s="1"/>
      <c r="F1560" s="1"/>
    </row>
    <row r="1561" spans="1:6" ht="15.75" x14ac:dyDescent="0.25">
      <c r="A1561" s="1"/>
      <c r="B1561" s="1"/>
      <c r="C1561" s="8"/>
      <c r="D1561" s="1"/>
      <c r="E1561" s="1"/>
      <c r="F1561" s="1"/>
    </row>
    <row r="1562" spans="1:6" ht="15.75" x14ac:dyDescent="0.25">
      <c r="A1562" s="1"/>
      <c r="B1562" s="1"/>
      <c r="C1562" s="8"/>
      <c r="D1562" s="1"/>
      <c r="E1562" s="1"/>
      <c r="F1562" s="1"/>
    </row>
    <row r="1563" spans="1:6" ht="15.75" x14ac:dyDescent="0.25">
      <c r="A1563" s="1"/>
      <c r="B1563" s="1"/>
      <c r="C1563" s="8"/>
      <c r="D1563" s="1"/>
      <c r="E1563" s="1"/>
      <c r="F1563" s="1"/>
    </row>
    <row r="1564" spans="1:6" ht="15.75" x14ac:dyDescent="0.25">
      <c r="A1564" s="1"/>
      <c r="B1564" s="1"/>
      <c r="C1564" s="8"/>
      <c r="D1564" s="1"/>
      <c r="E1564" s="1"/>
      <c r="F1564" s="1"/>
    </row>
    <row r="1565" spans="1:6" ht="15.75" x14ac:dyDescent="0.25">
      <c r="A1565" s="1"/>
      <c r="B1565" s="1"/>
      <c r="C1565" s="8"/>
      <c r="D1565" s="1"/>
      <c r="E1565" s="1"/>
      <c r="F1565" s="1"/>
    </row>
    <row r="1566" spans="1:6" ht="15.75" x14ac:dyDescent="0.25">
      <c r="A1566" s="1"/>
      <c r="B1566" s="1"/>
      <c r="C1566" s="8"/>
      <c r="D1566" s="1"/>
      <c r="E1566" s="1"/>
      <c r="F1566" s="1"/>
    </row>
    <row r="1567" spans="1:6" ht="15.75" x14ac:dyDescent="0.25">
      <c r="A1567" s="1"/>
      <c r="B1567" s="1"/>
      <c r="C1567" s="8"/>
      <c r="D1567" s="1"/>
      <c r="E1567" s="1"/>
      <c r="F1567" s="1"/>
    </row>
    <row r="1568" spans="1:6" ht="15.75" x14ac:dyDescent="0.25">
      <c r="A1568" s="1"/>
      <c r="B1568" s="1"/>
      <c r="C1568" s="8"/>
      <c r="D1568" s="1"/>
      <c r="E1568" s="1"/>
      <c r="F1568" s="1"/>
    </row>
    <row r="1569" spans="1:6" ht="15.75" x14ac:dyDescent="0.25">
      <c r="A1569" s="1"/>
      <c r="B1569" s="1"/>
      <c r="C1569" s="8"/>
      <c r="D1569" s="1"/>
      <c r="E1569" s="1"/>
      <c r="F1569" s="1"/>
    </row>
    <row r="1570" spans="1:6" ht="15.75" x14ac:dyDescent="0.25">
      <c r="A1570" s="1"/>
      <c r="B1570" s="1"/>
      <c r="C1570" s="8"/>
      <c r="D1570" s="1"/>
      <c r="E1570" s="1"/>
      <c r="F1570" s="1"/>
    </row>
    <row r="1571" spans="1:6" ht="15.75" x14ac:dyDescent="0.25">
      <c r="A1571" s="1"/>
      <c r="B1571" s="1"/>
      <c r="C1571" s="8"/>
      <c r="D1571" s="1"/>
      <c r="E1571" s="1"/>
      <c r="F1571" s="1"/>
    </row>
    <row r="1572" spans="1:6" ht="15.75" x14ac:dyDescent="0.25">
      <c r="A1572" s="1"/>
      <c r="B1572" s="1"/>
      <c r="C1572" s="8"/>
      <c r="D1572" s="1"/>
      <c r="E1572" s="1"/>
      <c r="F1572" s="1"/>
    </row>
    <row r="1573" spans="1:6" ht="15.75" x14ac:dyDescent="0.25">
      <c r="A1573" s="1"/>
      <c r="B1573" s="1"/>
      <c r="C1573" s="8"/>
      <c r="D1573" s="1"/>
      <c r="E1573" s="1"/>
      <c r="F1573" s="1"/>
    </row>
    <row r="1574" spans="1:6" ht="15.75" x14ac:dyDescent="0.25">
      <c r="A1574" s="1"/>
      <c r="B1574" s="1"/>
      <c r="C1574" s="8"/>
      <c r="D1574" s="1"/>
      <c r="E1574" s="1"/>
      <c r="F1574" s="1"/>
    </row>
    <row r="1575" spans="1:6" ht="15.75" x14ac:dyDescent="0.25">
      <c r="A1575" s="1"/>
      <c r="B1575" s="1"/>
      <c r="C1575" s="8"/>
      <c r="D1575" s="1"/>
      <c r="E1575" s="1"/>
      <c r="F1575" s="1"/>
    </row>
    <row r="1576" spans="1:6" ht="15.75" x14ac:dyDescent="0.25">
      <c r="A1576" s="1"/>
      <c r="B1576" s="1"/>
      <c r="C1576" s="8"/>
      <c r="D1576" s="1"/>
      <c r="E1576" s="1"/>
      <c r="F1576" s="1"/>
    </row>
    <row r="1577" spans="1:6" ht="15.75" x14ac:dyDescent="0.25">
      <c r="A1577" s="1"/>
      <c r="B1577" s="1"/>
      <c r="C1577" s="8"/>
      <c r="D1577" s="1"/>
      <c r="E1577" s="1"/>
      <c r="F1577" s="1"/>
    </row>
    <row r="1578" spans="1:6" ht="15.75" x14ac:dyDescent="0.25">
      <c r="A1578" s="1"/>
      <c r="B1578" s="1"/>
      <c r="C1578" s="8"/>
      <c r="D1578" s="1"/>
      <c r="E1578" s="1"/>
      <c r="F1578" s="1"/>
    </row>
    <row r="1579" spans="1:6" ht="15.75" x14ac:dyDescent="0.25">
      <c r="A1579" s="1"/>
      <c r="B1579" s="1"/>
      <c r="C1579" s="8"/>
      <c r="D1579" s="1"/>
      <c r="E1579" s="1"/>
      <c r="F1579" s="1"/>
    </row>
    <row r="1580" spans="1:6" ht="15.75" x14ac:dyDescent="0.25">
      <c r="A1580" s="1"/>
      <c r="B1580" s="1"/>
      <c r="C1580" s="8"/>
      <c r="D1580" s="1"/>
      <c r="E1580" s="1"/>
      <c r="F1580" s="1"/>
    </row>
    <row r="1581" spans="1:6" ht="15.75" x14ac:dyDescent="0.25">
      <c r="A1581" s="1"/>
      <c r="B1581" s="1"/>
      <c r="C1581" s="8"/>
      <c r="D1581" s="1"/>
      <c r="E1581" s="1"/>
      <c r="F1581" s="1"/>
    </row>
    <row r="1582" spans="1:6" ht="15.75" x14ac:dyDescent="0.25">
      <c r="A1582" s="1"/>
      <c r="B1582" s="1"/>
      <c r="C1582" s="8"/>
      <c r="D1582" s="1"/>
      <c r="E1582" s="1"/>
      <c r="F1582" s="1"/>
    </row>
    <row r="1583" spans="1:6" ht="15.75" x14ac:dyDescent="0.25">
      <c r="A1583" s="1"/>
      <c r="B1583" s="1"/>
      <c r="C1583" s="8"/>
      <c r="D1583" s="1"/>
      <c r="E1583" s="1"/>
      <c r="F1583" s="1"/>
    </row>
    <row r="1584" spans="1:6" ht="15.75" x14ac:dyDescent="0.25">
      <c r="A1584" s="1"/>
      <c r="B1584" s="1"/>
      <c r="C1584" s="8"/>
      <c r="D1584" s="1"/>
      <c r="E1584" s="1"/>
      <c r="F1584" s="1"/>
    </row>
    <row r="1585" spans="1:6" ht="15.75" x14ac:dyDescent="0.25">
      <c r="A1585" s="1"/>
      <c r="B1585" s="1"/>
      <c r="C1585" s="8"/>
      <c r="D1585" s="1"/>
      <c r="E1585" s="1"/>
      <c r="F1585" s="1"/>
    </row>
    <row r="1586" spans="1:6" ht="15.75" x14ac:dyDescent="0.25">
      <c r="A1586" s="1"/>
      <c r="B1586" s="1"/>
      <c r="C1586" s="8"/>
      <c r="D1586" s="1"/>
      <c r="E1586" s="1"/>
      <c r="F1586" s="1"/>
    </row>
    <row r="1587" spans="1:6" ht="15.75" x14ac:dyDescent="0.25">
      <c r="A1587" s="1"/>
      <c r="B1587" s="1"/>
      <c r="C1587" s="8"/>
      <c r="D1587" s="1"/>
      <c r="E1587" s="1"/>
      <c r="F1587" s="1"/>
    </row>
    <row r="1588" spans="1:6" ht="15.75" x14ac:dyDescent="0.25">
      <c r="A1588" s="1"/>
      <c r="B1588" s="1"/>
      <c r="C1588" s="8"/>
      <c r="D1588" s="1"/>
      <c r="E1588" s="1"/>
      <c r="F1588" s="1"/>
    </row>
    <row r="1589" spans="1:6" ht="15.75" x14ac:dyDescent="0.25">
      <c r="A1589" s="1"/>
      <c r="B1589" s="1"/>
      <c r="C1589" s="8"/>
      <c r="D1589" s="1"/>
      <c r="E1589" s="1"/>
      <c r="F1589" s="1"/>
    </row>
    <row r="1590" spans="1:6" ht="15.75" x14ac:dyDescent="0.25">
      <c r="A1590" s="1"/>
      <c r="B1590" s="1"/>
      <c r="C1590" s="8"/>
      <c r="D1590" s="1"/>
      <c r="E1590" s="1"/>
      <c r="F1590" s="1"/>
    </row>
    <row r="1591" spans="1:6" ht="15.75" x14ac:dyDescent="0.25">
      <c r="A1591" s="1"/>
      <c r="B1591" s="1"/>
      <c r="C1591" s="8"/>
      <c r="D1591" s="1"/>
      <c r="E1591" s="1"/>
      <c r="F1591" s="1"/>
    </row>
    <row r="1592" spans="1:6" ht="15.75" x14ac:dyDescent="0.25">
      <c r="A1592" s="1"/>
      <c r="B1592" s="1"/>
      <c r="C1592" s="8"/>
      <c r="D1592" s="1"/>
      <c r="E1592" s="1"/>
      <c r="F1592" s="1"/>
    </row>
    <row r="1593" spans="1:6" ht="15.75" x14ac:dyDescent="0.25">
      <c r="A1593" s="1"/>
      <c r="B1593" s="1"/>
      <c r="C1593" s="8"/>
      <c r="D1593" s="1"/>
      <c r="E1593" s="1"/>
      <c r="F1593" s="1"/>
    </row>
    <row r="1594" spans="1:6" ht="15.75" x14ac:dyDescent="0.25">
      <c r="A1594" s="1"/>
      <c r="B1594" s="1"/>
      <c r="C1594" s="8"/>
      <c r="D1594" s="1"/>
      <c r="E1594" s="1"/>
      <c r="F1594" s="1"/>
    </row>
    <row r="1595" spans="1:6" ht="15.75" x14ac:dyDescent="0.25">
      <c r="A1595" s="1"/>
      <c r="B1595" s="1"/>
      <c r="C1595" s="8"/>
      <c r="D1595" s="1"/>
      <c r="E1595" s="1"/>
      <c r="F1595" s="1"/>
    </row>
    <row r="1596" spans="1:6" ht="15.75" x14ac:dyDescent="0.25">
      <c r="A1596" s="1"/>
      <c r="B1596" s="1"/>
      <c r="C1596" s="8"/>
      <c r="D1596" s="1"/>
      <c r="E1596" s="1"/>
      <c r="F1596" s="1"/>
    </row>
    <row r="1597" spans="1:6" ht="15.75" x14ac:dyDescent="0.25">
      <c r="A1597" s="1"/>
      <c r="B1597" s="1"/>
      <c r="C1597" s="8"/>
      <c r="D1597" s="1"/>
      <c r="E1597" s="1"/>
      <c r="F1597" s="1"/>
    </row>
    <row r="1598" spans="1:6" ht="15.75" x14ac:dyDescent="0.25">
      <c r="A1598" s="1"/>
      <c r="B1598" s="1"/>
      <c r="C1598" s="8"/>
      <c r="D1598" s="1"/>
      <c r="E1598" s="1"/>
      <c r="F1598" s="1"/>
    </row>
    <row r="1599" spans="1:6" ht="15.75" x14ac:dyDescent="0.25">
      <c r="A1599" s="1"/>
      <c r="B1599" s="1"/>
      <c r="C1599" s="8"/>
      <c r="D1599" s="1"/>
      <c r="E1599" s="1"/>
      <c r="F1599" s="1"/>
    </row>
    <row r="1600" spans="1:6" ht="15.75" x14ac:dyDescent="0.25">
      <c r="A1600" s="1"/>
      <c r="B1600" s="1"/>
      <c r="C1600" s="8"/>
      <c r="D1600" s="1"/>
      <c r="E1600" s="1"/>
      <c r="F1600" s="1"/>
    </row>
    <row r="1601" spans="1:6" ht="15.75" x14ac:dyDescent="0.25">
      <c r="A1601" s="1"/>
      <c r="B1601" s="1"/>
      <c r="C1601" s="8"/>
      <c r="D1601" s="1"/>
      <c r="E1601" s="1"/>
      <c r="F1601" s="1"/>
    </row>
    <row r="1602" spans="1:6" ht="15.75" x14ac:dyDescent="0.25">
      <c r="A1602" s="1"/>
      <c r="B1602" s="1"/>
      <c r="C1602" s="8"/>
      <c r="D1602" s="1"/>
      <c r="E1602" s="1"/>
      <c r="F1602" s="1"/>
    </row>
    <row r="1603" spans="1:6" ht="15.75" x14ac:dyDescent="0.25">
      <c r="A1603" s="1"/>
      <c r="B1603" s="1"/>
      <c r="C1603" s="8"/>
      <c r="D1603" s="1"/>
      <c r="E1603" s="1"/>
      <c r="F1603" s="1"/>
    </row>
    <row r="1604" spans="1:6" ht="15.75" x14ac:dyDescent="0.25">
      <c r="A1604" s="1"/>
      <c r="B1604" s="1"/>
      <c r="C1604" s="8"/>
      <c r="D1604" s="1"/>
      <c r="E1604" s="1"/>
      <c r="F1604" s="1"/>
    </row>
    <row r="1605" spans="1:6" ht="15.75" x14ac:dyDescent="0.25">
      <c r="A1605" s="1"/>
      <c r="B1605" s="1"/>
      <c r="C1605" s="8"/>
      <c r="D1605" s="1"/>
      <c r="E1605" s="1"/>
      <c r="F1605" s="1"/>
    </row>
    <row r="1606" spans="1:6" ht="15.75" x14ac:dyDescent="0.25">
      <c r="A1606" s="1"/>
      <c r="B1606" s="1"/>
      <c r="C1606" s="8"/>
      <c r="D1606" s="1"/>
      <c r="E1606" s="1"/>
      <c r="F1606" s="1"/>
    </row>
  </sheetData>
  <mergeCells count="4">
    <mergeCell ref="A8:E8"/>
    <mergeCell ref="A11:E11"/>
    <mergeCell ref="A12:E12"/>
    <mergeCell ref="A13:E13"/>
  </mergeCells>
  <phoneticPr fontId="0" type="noConversion"/>
  <printOptions horizontalCentered="1" gridLinesSet="0"/>
  <pageMargins left="1.25" right="0.5" top="1" bottom="0.75" header="0.5" footer="0.5"/>
  <pageSetup scale="61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pageSetUpPr fitToPage="1"/>
  </sheetPr>
  <dimension ref="A1:R50"/>
  <sheetViews>
    <sheetView showGridLines="0" view="pageBreakPreview" zoomScale="70" zoomScaleNormal="55" zoomScaleSheetLayoutView="70" workbookViewId="0">
      <selection activeCell="E19" sqref="E19"/>
    </sheetView>
  </sheetViews>
  <sheetFormatPr defaultRowHeight="15.75" x14ac:dyDescent="0.25"/>
  <cols>
    <col min="1" max="1" width="3.875" style="298" bestFit="1" customWidth="1"/>
    <col min="2" max="2" width="50.5" style="299" customWidth="1"/>
    <col min="3" max="3" width="1.625" style="300" customWidth="1"/>
    <col min="4" max="4" width="16.625" style="299" customWidth="1"/>
    <col min="5" max="5" width="1.625" style="300" customWidth="1"/>
    <col min="6" max="6" width="16.625" style="299" customWidth="1"/>
    <col min="7" max="7" width="1.625" style="300" customWidth="1"/>
    <col min="8" max="8" width="16.625" style="299" customWidth="1"/>
    <col min="9" max="9" width="1.625" style="300" customWidth="1"/>
    <col min="10" max="10" width="16.625" style="299" customWidth="1"/>
    <col min="11" max="11" width="1.625" style="300" customWidth="1"/>
    <col min="12" max="12" width="16.625" style="299" customWidth="1"/>
    <col min="13" max="13" width="1.625" style="300" customWidth="1"/>
    <col min="14" max="14" width="9" style="299"/>
    <col min="15" max="15" width="11.5" style="299" customWidth="1"/>
    <col min="16" max="16" width="9" style="299"/>
    <col min="17" max="17" width="27.75" style="299" customWidth="1"/>
    <col min="18" max="18" width="17.125" style="551" customWidth="1"/>
    <col min="19" max="16384" width="9" style="299"/>
  </cols>
  <sheetData>
    <row r="1" spans="1:18" x14ac:dyDescent="0.25">
      <c r="L1" s="528" t="s">
        <v>276</v>
      </c>
    </row>
    <row r="2" spans="1:18" x14ac:dyDescent="0.25">
      <c r="J2" s="528"/>
      <c r="L2" s="529" t="str">
        <f>"Sponsoring Witness: "&amp;Inputs!$B9&amp;""</f>
        <v>Sponsoring Witness: Blake</v>
      </c>
    </row>
    <row r="3" spans="1:18" x14ac:dyDescent="0.25">
      <c r="L3" s="398" t="s">
        <v>2</v>
      </c>
    </row>
    <row r="5" spans="1:18" x14ac:dyDescent="0.25">
      <c r="A5" s="799" t="s">
        <v>230</v>
      </c>
      <c r="B5" s="799"/>
      <c r="C5" s="799"/>
      <c r="D5" s="799"/>
      <c r="E5" s="799"/>
      <c r="F5" s="799"/>
      <c r="G5" s="799"/>
      <c r="H5" s="799"/>
      <c r="I5" s="610"/>
      <c r="J5" s="459"/>
      <c r="K5" s="459"/>
      <c r="L5" s="459"/>
      <c r="M5" s="459"/>
    </row>
    <row r="7" spans="1:18" x14ac:dyDescent="0.25">
      <c r="A7" s="807" t="s">
        <v>329</v>
      </c>
      <c r="B7" s="807"/>
      <c r="C7" s="807"/>
      <c r="D7" s="807"/>
      <c r="E7" s="807"/>
      <c r="F7" s="807"/>
      <c r="G7" s="807"/>
      <c r="H7" s="807"/>
      <c r="I7" s="613"/>
      <c r="J7" s="461"/>
      <c r="K7" s="461"/>
      <c r="L7" s="461"/>
      <c r="M7" s="461"/>
    </row>
    <row r="8" spans="1:18" x14ac:dyDescent="0.25">
      <c r="A8" s="805" t="str">
        <f>"At "&amp;Inputs!B3&amp;""</f>
        <v>At March 31, 2012</v>
      </c>
      <c r="B8" s="805"/>
      <c r="C8" s="805"/>
      <c r="D8" s="805"/>
      <c r="E8" s="805"/>
      <c r="F8" s="805"/>
      <c r="G8" s="805"/>
      <c r="H8" s="805"/>
      <c r="I8" s="612"/>
      <c r="J8" s="460"/>
      <c r="K8" s="460"/>
      <c r="L8" s="460"/>
      <c r="M8" s="460"/>
    </row>
    <row r="9" spans="1:18" x14ac:dyDescent="0.25">
      <c r="A9" s="301"/>
      <c r="B9" s="6"/>
      <c r="C9" s="78"/>
      <c r="D9" s="6"/>
      <c r="E9" s="78"/>
      <c r="F9" s="6"/>
      <c r="G9" s="78"/>
      <c r="H9" s="6"/>
      <c r="I9" s="78"/>
      <c r="J9" s="6"/>
      <c r="K9" s="78"/>
      <c r="L9" s="6"/>
      <c r="M9" s="78"/>
    </row>
    <row r="10" spans="1:18" x14ac:dyDescent="0.25">
      <c r="A10" s="301"/>
    </row>
    <row r="11" spans="1:18" x14ac:dyDescent="0.25">
      <c r="A11" s="301"/>
      <c r="B11" s="6"/>
      <c r="C11" s="78"/>
      <c r="D11" s="6"/>
      <c r="E11" s="78"/>
      <c r="F11" s="6"/>
      <c r="G11" s="78"/>
      <c r="H11" s="428"/>
      <c r="I11" s="78"/>
      <c r="J11" s="20"/>
      <c r="K11" s="78"/>
      <c r="L11" s="20"/>
      <c r="M11" s="78"/>
    </row>
    <row r="12" spans="1:18" x14ac:dyDescent="0.25">
      <c r="A12" s="301"/>
      <c r="E12" s="78"/>
      <c r="G12" s="78"/>
      <c r="I12" s="78"/>
      <c r="J12" s="8" t="s">
        <v>239</v>
      </c>
      <c r="K12" s="78"/>
      <c r="L12" s="8" t="s">
        <v>239</v>
      </c>
      <c r="M12" s="78"/>
    </row>
    <row r="13" spans="1:18" x14ac:dyDescent="0.25">
      <c r="A13" s="301"/>
      <c r="B13" s="6"/>
      <c r="C13" s="78"/>
      <c r="D13" s="8" t="s">
        <v>239</v>
      </c>
      <c r="E13" s="78"/>
      <c r="F13" s="8" t="s">
        <v>261</v>
      </c>
      <c r="G13" s="78"/>
      <c r="H13" s="8" t="s">
        <v>151</v>
      </c>
      <c r="I13" s="78"/>
      <c r="J13" s="8" t="s">
        <v>238</v>
      </c>
      <c r="K13" s="78"/>
      <c r="L13" s="8" t="s">
        <v>238</v>
      </c>
      <c r="M13" s="78"/>
    </row>
    <row r="14" spans="1:18" x14ac:dyDescent="0.25">
      <c r="A14" s="301"/>
      <c r="B14" s="6"/>
      <c r="C14" s="78"/>
      <c r="D14" s="8" t="s">
        <v>238</v>
      </c>
      <c r="E14" s="78"/>
      <c r="F14" s="8" t="s">
        <v>238</v>
      </c>
      <c r="G14" s="78"/>
      <c r="H14" s="8" t="s">
        <v>237</v>
      </c>
      <c r="I14" s="78"/>
      <c r="J14" s="20" t="s">
        <v>571</v>
      </c>
      <c r="K14" s="78"/>
      <c r="L14" s="20" t="s">
        <v>338</v>
      </c>
      <c r="M14" s="78"/>
      <c r="O14" s="437"/>
    </row>
    <row r="15" spans="1:18" x14ac:dyDescent="0.25">
      <c r="A15" s="301"/>
      <c r="B15" s="6" t="s">
        <v>291</v>
      </c>
      <c r="C15" s="78"/>
      <c r="D15" s="20" t="s">
        <v>460</v>
      </c>
      <c r="E15" s="78"/>
      <c r="F15" s="20" t="s">
        <v>460</v>
      </c>
      <c r="G15" s="78"/>
      <c r="H15" s="20" t="s">
        <v>460</v>
      </c>
      <c r="I15" s="78"/>
      <c r="J15" s="384" t="s">
        <v>213</v>
      </c>
      <c r="K15" s="78"/>
      <c r="L15" s="384" t="s">
        <v>213</v>
      </c>
      <c r="M15" s="78"/>
      <c r="O15" s="437" t="s">
        <v>479</v>
      </c>
      <c r="R15" s="641" t="s">
        <v>569</v>
      </c>
    </row>
    <row r="16" spans="1:18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  <c r="I16" s="78"/>
      <c r="J16" s="462">
        <v>-5</v>
      </c>
      <c r="K16" s="78"/>
      <c r="L16" s="462">
        <v>-6</v>
      </c>
      <c r="M16" s="78"/>
      <c r="O16" s="626" t="s">
        <v>480</v>
      </c>
      <c r="P16" s="314"/>
      <c r="Q16" s="314"/>
      <c r="R16" s="551" t="s">
        <v>419</v>
      </c>
    </row>
    <row r="17" spans="1:18" x14ac:dyDescent="0.25">
      <c r="A17" s="301"/>
      <c r="B17" s="6"/>
      <c r="C17" s="78"/>
      <c r="D17" s="6"/>
      <c r="E17" s="78"/>
      <c r="F17" s="6"/>
      <c r="G17" s="78"/>
      <c r="H17" s="6"/>
      <c r="I17" s="78"/>
      <c r="J17" s="6"/>
      <c r="K17" s="78"/>
      <c r="L17" s="20" t="s">
        <v>572</v>
      </c>
      <c r="M17" s="78"/>
      <c r="R17" s="641" t="s">
        <v>570</v>
      </c>
    </row>
    <row r="18" spans="1:18" ht="21" customHeight="1" x14ac:dyDescent="0.25">
      <c r="A18" s="304">
        <f>1</f>
        <v>1</v>
      </c>
      <c r="B18" s="1" t="s">
        <v>319</v>
      </c>
      <c r="C18" s="29"/>
      <c r="D18" s="119">
        <f>ROUND(H18*$O18,0)</f>
        <v>1312398572</v>
      </c>
      <c r="E18" s="39"/>
      <c r="F18" s="119">
        <f>H18-D18</f>
        <v>203966230</v>
      </c>
      <c r="G18" s="39"/>
      <c r="H18" s="329">
        <f>1493850020+22514782</f>
        <v>1516364802</v>
      </c>
      <c r="I18" s="39"/>
      <c r="J18" s="119">
        <f>ROUND(R18*$O18,0)</f>
        <v>1130003626</v>
      </c>
      <c r="K18" s="39"/>
      <c r="L18" s="119">
        <f>D18-J18</f>
        <v>182394946</v>
      </c>
      <c r="M18" s="39"/>
      <c r="O18" s="420">
        <v>0.86548999999999998</v>
      </c>
      <c r="P18" s="299" t="s">
        <v>54</v>
      </c>
      <c r="R18" s="553">
        <v>1305622972</v>
      </c>
    </row>
    <row r="19" spans="1:18" ht="13.5" customHeight="1" x14ac:dyDescent="0.25">
      <c r="A19" s="301"/>
      <c r="B19" s="1"/>
      <c r="C19" s="29"/>
      <c r="D19" s="89"/>
      <c r="E19" s="39"/>
      <c r="F19" s="89"/>
      <c r="G19" s="39"/>
      <c r="H19" s="89"/>
      <c r="I19" s="39"/>
      <c r="J19" s="89"/>
      <c r="K19" s="39"/>
      <c r="L19" s="89"/>
      <c r="M19" s="39"/>
    </row>
    <row r="20" spans="1:18" ht="21" customHeight="1" x14ac:dyDescent="0.25">
      <c r="A20" s="304">
        <f>1+A18</f>
        <v>2</v>
      </c>
      <c r="B20" s="1" t="s">
        <v>293</v>
      </c>
      <c r="C20" s="29"/>
      <c r="D20" s="89"/>
      <c r="E20" s="39"/>
      <c r="F20" s="89"/>
      <c r="G20" s="39"/>
      <c r="H20" s="89"/>
      <c r="I20" s="39"/>
      <c r="J20" s="89"/>
      <c r="K20" s="39"/>
      <c r="L20" s="89"/>
      <c r="M20" s="39"/>
    </row>
    <row r="21" spans="1:18" ht="21" customHeight="1" x14ac:dyDescent="0.25">
      <c r="A21" s="304">
        <f>1+A20</f>
        <v>3</v>
      </c>
      <c r="B21" s="1" t="s">
        <v>320</v>
      </c>
      <c r="C21" s="29"/>
      <c r="D21" s="89">
        <f>ROUND(H21*$O21,0)</f>
        <v>104601971</v>
      </c>
      <c r="E21" s="39"/>
      <c r="F21" s="89">
        <f>H21-D21</f>
        <v>16256700</v>
      </c>
      <c r="G21" s="39"/>
      <c r="H21" s="330">
        <v>120858671</v>
      </c>
      <c r="I21" s="39"/>
      <c r="J21" s="89">
        <f>ROUND(R21*$O21,0)</f>
        <v>104543164</v>
      </c>
      <c r="K21" s="39"/>
      <c r="L21" s="89">
        <f>D21-J21</f>
        <v>58807</v>
      </c>
      <c r="M21" s="39"/>
      <c r="O21" s="420">
        <v>0.86548999999999998</v>
      </c>
      <c r="P21" s="299" t="s">
        <v>55</v>
      </c>
      <c r="R21" s="553">
        <v>120790724</v>
      </c>
    </row>
    <row r="22" spans="1:18" ht="15" customHeight="1" x14ac:dyDescent="0.25">
      <c r="A22" s="304"/>
      <c r="B22" s="1"/>
      <c r="C22" s="29"/>
      <c r="D22" s="89"/>
      <c r="E22" s="39"/>
      <c r="F22" s="89"/>
      <c r="G22" s="39"/>
      <c r="H22" s="89"/>
      <c r="I22" s="39"/>
      <c r="J22" s="89"/>
      <c r="K22" s="39"/>
      <c r="L22" s="89"/>
      <c r="M22" s="39"/>
    </row>
    <row r="23" spans="1:18" ht="21" customHeight="1" x14ac:dyDescent="0.25">
      <c r="A23" s="304">
        <f>1+A21</f>
        <v>4</v>
      </c>
      <c r="B23" s="1" t="s">
        <v>321</v>
      </c>
      <c r="C23" s="29"/>
      <c r="D23" s="305">
        <f>+D18-D21</f>
        <v>1207796601</v>
      </c>
      <c r="E23" s="39"/>
      <c r="F23" s="305">
        <f>+F18-F21</f>
        <v>187709530</v>
      </c>
      <c r="G23" s="39"/>
      <c r="H23" s="305">
        <f>+H18-H21</f>
        <v>1395506131</v>
      </c>
      <c r="I23" s="39"/>
      <c r="J23" s="305">
        <f>+J18-J21</f>
        <v>1025460462</v>
      </c>
      <c r="K23" s="39"/>
      <c r="L23" s="305">
        <f>+L18-L21</f>
        <v>182336139</v>
      </c>
      <c r="M23" s="39"/>
      <c r="R23" s="305">
        <f>+R18-R21</f>
        <v>1184832248</v>
      </c>
    </row>
    <row r="24" spans="1:18" ht="13.5" customHeight="1" x14ac:dyDescent="0.25">
      <c r="A24" s="304"/>
      <c r="B24" s="1"/>
      <c r="C24" s="29"/>
      <c r="D24" s="89"/>
      <c r="E24" s="39"/>
      <c r="F24" s="89"/>
      <c r="G24" s="39"/>
      <c r="H24" s="89"/>
      <c r="I24" s="39"/>
      <c r="J24" s="89"/>
      <c r="K24" s="39"/>
      <c r="L24" s="89"/>
      <c r="M24" s="39"/>
    </row>
    <row r="25" spans="1:18" ht="21" customHeight="1" x14ac:dyDescent="0.25">
      <c r="A25" s="304">
        <f>1+A23</f>
        <v>5</v>
      </c>
      <c r="B25" s="1" t="s">
        <v>293</v>
      </c>
      <c r="C25" s="29"/>
      <c r="D25" s="89"/>
      <c r="E25" s="39"/>
      <c r="F25" s="89"/>
      <c r="G25" s="39"/>
      <c r="H25" s="89"/>
      <c r="I25" s="39"/>
      <c r="J25" s="89"/>
      <c r="K25" s="39"/>
      <c r="L25" s="89"/>
      <c r="M25" s="39"/>
    </row>
    <row r="26" spans="1:18" ht="21" customHeight="1" x14ac:dyDescent="0.25">
      <c r="A26" s="304">
        <f>1+A25</f>
        <v>6</v>
      </c>
      <c r="B26" s="1" t="s">
        <v>322</v>
      </c>
      <c r="C26" s="29"/>
      <c r="D26" s="89">
        <v>0</v>
      </c>
      <c r="E26" s="39"/>
      <c r="F26" s="89">
        <v>0</v>
      </c>
      <c r="G26" s="39"/>
      <c r="H26" s="89">
        <v>0</v>
      </c>
      <c r="I26" s="39"/>
      <c r="J26" s="89">
        <v>0</v>
      </c>
      <c r="K26" s="39"/>
      <c r="L26" s="89">
        <f t="shared" ref="L26:L30" si="0">D26-J26</f>
        <v>0</v>
      </c>
      <c r="M26" s="39"/>
    </row>
    <row r="27" spans="1:18" ht="21" customHeight="1" x14ac:dyDescent="0.25">
      <c r="A27" s="304">
        <f>1+A26</f>
        <v>7</v>
      </c>
      <c r="B27" s="1" t="s">
        <v>323</v>
      </c>
      <c r="C27" s="29"/>
      <c r="D27" s="89">
        <f>ROUND(H27*$O27,0)</f>
        <v>88236954</v>
      </c>
      <c r="E27" s="39"/>
      <c r="F27" s="89">
        <f>H27-D27</f>
        <v>13713333</v>
      </c>
      <c r="G27" s="39"/>
      <c r="H27" s="330">
        <v>101950287</v>
      </c>
      <c r="I27" s="39"/>
      <c r="J27" s="89">
        <f>ROUND(R27*$O27,0)</f>
        <v>88089601</v>
      </c>
      <c r="K27" s="39"/>
      <c r="L27" s="89">
        <f t="shared" si="0"/>
        <v>147353</v>
      </c>
      <c r="M27" s="39"/>
      <c r="O27" s="420">
        <v>0.86548999999999998</v>
      </c>
      <c r="P27" s="299" t="s">
        <v>56</v>
      </c>
      <c r="R27" s="553">
        <v>101780033</v>
      </c>
    </row>
    <row r="28" spans="1:18" ht="21" customHeight="1" x14ac:dyDescent="0.25">
      <c r="A28" s="304">
        <f>1+A27</f>
        <v>8</v>
      </c>
      <c r="B28" s="45" t="s">
        <v>28</v>
      </c>
      <c r="C28" s="29"/>
      <c r="D28" s="39">
        <v>0</v>
      </c>
      <c r="E28" s="39"/>
      <c r="F28" s="39">
        <v>0</v>
      </c>
      <c r="G28" s="39"/>
      <c r="H28" s="39">
        <v>0</v>
      </c>
      <c r="I28" s="39"/>
      <c r="J28" s="39">
        <v>0</v>
      </c>
      <c r="K28" s="39"/>
      <c r="L28" s="39">
        <f t="shared" si="0"/>
        <v>0</v>
      </c>
      <c r="M28" s="39"/>
      <c r="O28" s="306"/>
    </row>
    <row r="29" spans="1:18" ht="21" customHeight="1" x14ac:dyDescent="0.25">
      <c r="A29" s="304">
        <f>1+A28</f>
        <v>9</v>
      </c>
      <c r="B29" s="45" t="s">
        <v>27</v>
      </c>
      <c r="C29" s="29"/>
      <c r="D29" s="39">
        <v>0</v>
      </c>
      <c r="E29" s="39"/>
      <c r="F29" s="39">
        <v>0</v>
      </c>
      <c r="G29" s="39"/>
      <c r="H29" s="39">
        <v>0</v>
      </c>
      <c r="I29" s="39"/>
      <c r="J29" s="39">
        <v>0</v>
      </c>
      <c r="K29" s="39"/>
      <c r="L29" s="39">
        <f t="shared" si="0"/>
        <v>0</v>
      </c>
      <c r="M29" s="39"/>
      <c r="O29" s="306"/>
    </row>
    <row r="30" spans="1:18" ht="21" customHeight="1" x14ac:dyDescent="0.25">
      <c r="A30" s="304">
        <f>1+A29</f>
        <v>10</v>
      </c>
      <c r="B30" s="14" t="s">
        <v>49</v>
      </c>
      <c r="C30" s="29"/>
      <c r="D30" s="89">
        <f>ROUND(H30*$O30,0)</f>
        <v>22632203</v>
      </c>
      <c r="E30" s="39"/>
      <c r="F30" s="89">
        <f>H30-D30</f>
        <v>3778592</v>
      </c>
      <c r="G30" s="39"/>
      <c r="H30" s="322">
        <v>26410795</v>
      </c>
      <c r="I30" s="39"/>
      <c r="J30" s="89">
        <f>ROUND(R30*$O30,0)</f>
        <v>22632203</v>
      </c>
      <c r="K30" s="39"/>
      <c r="L30" s="89">
        <f t="shared" si="0"/>
        <v>0</v>
      </c>
      <c r="M30" s="39"/>
      <c r="O30" s="299">
        <v>0.85692999999999997</v>
      </c>
      <c r="P30" s="299" t="s">
        <v>57</v>
      </c>
      <c r="R30" s="553">
        <v>26410795</v>
      </c>
    </row>
    <row r="31" spans="1:18" ht="13.5" customHeight="1" x14ac:dyDescent="0.25">
      <c r="A31" s="304"/>
      <c r="B31" s="1"/>
      <c r="C31" s="2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8" ht="21" customHeight="1" x14ac:dyDescent="0.25">
      <c r="A32" s="304">
        <f>1+A30</f>
        <v>11</v>
      </c>
      <c r="B32" s="1" t="s">
        <v>324</v>
      </c>
      <c r="C32" s="29"/>
      <c r="D32" s="305">
        <f>SUM(D26:D31)</f>
        <v>110869157</v>
      </c>
      <c r="E32" s="39"/>
      <c r="F32" s="305">
        <f>SUM(F26:F31)</f>
        <v>17491925</v>
      </c>
      <c r="G32" s="39"/>
      <c r="H32" s="305">
        <f>SUM(H26:H31)</f>
        <v>128361082</v>
      </c>
      <c r="I32" s="39"/>
      <c r="J32" s="305">
        <f>SUM(J26:J31)</f>
        <v>110721804</v>
      </c>
      <c r="K32" s="39"/>
      <c r="L32" s="305">
        <f>SUM(L26:L31)</f>
        <v>147353</v>
      </c>
      <c r="M32" s="39"/>
      <c r="R32" s="305">
        <f>SUM(R26:R31)</f>
        <v>128190828</v>
      </c>
    </row>
    <row r="33" spans="1:18" ht="13.5" customHeight="1" x14ac:dyDescent="0.25">
      <c r="A33" s="301"/>
      <c r="B33" s="1"/>
      <c r="C33" s="29"/>
      <c r="D33" s="89"/>
      <c r="E33" s="39"/>
      <c r="F33" s="89"/>
      <c r="G33" s="39"/>
      <c r="H33" s="89"/>
      <c r="I33" s="39"/>
      <c r="J33" s="89"/>
      <c r="K33" s="39"/>
      <c r="L33" s="89"/>
      <c r="M33" s="39"/>
      <c r="R33" s="89"/>
    </row>
    <row r="34" spans="1:18" ht="21" customHeight="1" x14ac:dyDescent="0.25">
      <c r="A34" s="301">
        <f>1+A32</f>
        <v>12</v>
      </c>
      <c r="B34" s="1" t="s">
        <v>325</v>
      </c>
      <c r="C34" s="29"/>
      <c r="D34" s="305">
        <f>+D23-D32</f>
        <v>1096927444</v>
      </c>
      <c r="E34" s="39"/>
      <c r="F34" s="305">
        <f>+F23-F32</f>
        <v>170217605</v>
      </c>
      <c r="G34" s="39"/>
      <c r="H34" s="305">
        <f>+H23-H32</f>
        <v>1267145049</v>
      </c>
      <c r="I34" s="39"/>
      <c r="J34" s="305">
        <f>+J23-J32</f>
        <v>914738658</v>
      </c>
      <c r="K34" s="39"/>
      <c r="L34" s="305">
        <f>+L23-L32</f>
        <v>182188786</v>
      </c>
      <c r="M34" s="39"/>
      <c r="R34" s="305">
        <f>+R23-R32</f>
        <v>1056641420</v>
      </c>
    </row>
    <row r="35" spans="1:18" ht="13.5" customHeight="1" x14ac:dyDescent="0.25">
      <c r="A35" s="301"/>
      <c r="B35" s="1"/>
      <c r="C35" s="29"/>
      <c r="D35" s="89"/>
      <c r="E35" s="39"/>
      <c r="F35" s="89"/>
      <c r="G35" s="39"/>
      <c r="H35" s="89"/>
      <c r="I35" s="39"/>
      <c r="J35" s="89"/>
      <c r="K35" s="39"/>
      <c r="L35" s="89"/>
      <c r="M35" s="39"/>
    </row>
    <row r="36" spans="1:18" ht="21" customHeight="1" x14ac:dyDescent="0.25">
      <c r="A36" s="301">
        <f>1+A34</f>
        <v>13</v>
      </c>
      <c r="B36" s="1" t="s">
        <v>292</v>
      </c>
      <c r="C36" s="29"/>
      <c r="D36" s="89"/>
      <c r="E36" s="39"/>
      <c r="F36" s="89"/>
      <c r="G36" s="39"/>
      <c r="H36" s="89"/>
      <c r="I36" s="39"/>
      <c r="J36" s="89"/>
      <c r="K36" s="39"/>
      <c r="L36" s="89"/>
      <c r="M36" s="39"/>
    </row>
    <row r="37" spans="1:18" ht="21" customHeight="1" x14ac:dyDescent="0.25">
      <c r="A37" s="304">
        <f>1+A36</f>
        <v>14</v>
      </c>
      <c r="B37" s="45" t="s">
        <v>58</v>
      </c>
      <c r="C37" s="29"/>
      <c r="D37" s="89">
        <f>ROUND(H37*$O37,0)</f>
        <v>828915</v>
      </c>
      <c r="E37" s="39"/>
      <c r="F37" s="89">
        <f>H37-D37</f>
        <v>127544</v>
      </c>
      <c r="G37" s="335"/>
      <c r="H37" s="343">
        <f>1032932-76473</f>
        <v>956459</v>
      </c>
      <c r="I37" s="39"/>
      <c r="J37" s="89">
        <f>ROUND(R37*$O37,0)</f>
        <v>828915</v>
      </c>
      <c r="K37" s="39"/>
      <c r="L37" s="89">
        <f t="shared" ref="L37:L40" si="1">D37-J37</f>
        <v>0</v>
      </c>
      <c r="M37" s="39"/>
      <c r="O37" s="299">
        <v>0.86665000000000003</v>
      </c>
      <c r="P37" s="299" t="s">
        <v>70</v>
      </c>
      <c r="R37" s="551">
        <v>956459</v>
      </c>
    </row>
    <row r="38" spans="1:18" ht="21" customHeight="1" x14ac:dyDescent="0.25">
      <c r="A38" s="304">
        <f>1+A37</f>
        <v>15</v>
      </c>
      <c r="B38" s="1" t="s">
        <v>59</v>
      </c>
      <c r="C38" s="29"/>
      <c r="D38" s="89">
        <v>0</v>
      </c>
      <c r="E38" s="39"/>
      <c r="F38" s="89">
        <v>0</v>
      </c>
      <c r="G38" s="39"/>
      <c r="H38" s="89">
        <v>0</v>
      </c>
      <c r="I38" s="39"/>
      <c r="J38" s="89">
        <v>0</v>
      </c>
      <c r="K38" s="39"/>
      <c r="L38" s="89">
        <f t="shared" si="1"/>
        <v>0</v>
      </c>
      <c r="M38" s="39"/>
    </row>
    <row r="39" spans="1:18" ht="21" customHeight="1" x14ac:dyDescent="0.25">
      <c r="A39" s="304">
        <f>1+A38</f>
        <v>16</v>
      </c>
      <c r="B39" s="1" t="s">
        <v>1</v>
      </c>
      <c r="C39" s="29"/>
      <c r="D39" s="89">
        <f>ROUND(H39*$O39,0)</f>
        <v>299323</v>
      </c>
      <c r="E39" s="39"/>
      <c r="F39" s="89">
        <f>H39-D39</f>
        <v>46519</v>
      </c>
      <c r="G39" s="39"/>
      <c r="H39" s="330">
        <f>415257-69415</f>
        <v>345842</v>
      </c>
      <c r="I39" s="39"/>
      <c r="J39" s="89">
        <f>ROUND(R39*$O39,0)</f>
        <v>-60078</v>
      </c>
      <c r="K39" s="39"/>
      <c r="L39" s="89">
        <f t="shared" si="1"/>
        <v>359401</v>
      </c>
      <c r="M39" s="39"/>
      <c r="O39" s="420">
        <f>O18</f>
        <v>0.86548999999999998</v>
      </c>
      <c r="P39" s="299" t="s">
        <v>54</v>
      </c>
      <c r="R39" s="553">
        <v>-69415</v>
      </c>
    </row>
    <row r="40" spans="1:18" ht="21" customHeight="1" x14ac:dyDescent="0.25">
      <c r="A40" s="304">
        <f>1+A39</f>
        <v>17</v>
      </c>
      <c r="B40" s="1" t="s">
        <v>336</v>
      </c>
      <c r="C40" s="29"/>
      <c r="D40" s="39">
        <f>ROUND(H40*$O40,0)</f>
        <v>2472255</v>
      </c>
      <c r="E40" s="39"/>
      <c r="F40" s="39">
        <f>H40-D40</f>
        <v>380896</v>
      </c>
      <c r="G40" s="39"/>
      <c r="H40" s="323">
        <f>2446052+407099</f>
        <v>2853151</v>
      </c>
      <c r="I40" s="39"/>
      <c r="J40" s="89">
        <f>ROUND(R40*$O40,0)</f>
        <v>1353376</v>
      </c>
      <c r="K40" s="39"/>
      <c r="L40" s="89">
        <f t="shared" si="1"/>
        <v>1118879</v>
      </c>
      <c r="M40" s="39"/>
      <c r="O40" s="299">
        <v>0.86650000000000005</v>
      </c>
      <c r="P40" s="299" t="s">
        <v>60</v>
      </c>
      <c r="Q40" s="299" t="s">
        <v>61</v>
      </c>
      <c r="R40" s="553">
        <v>1561888</v>
      </c>
    </row>
    <row r="41" spans="1:18" ht="12" customHeight="1" x14ac:dyDescent="0.25">
      <c r="A41" s="304"/>
      <c r="B41" s="1"/>
      <c r="C41" s="2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8" ht="21" customHeight="1" x14ac:dyDescent="0.25">
      <c r="A42" s="304">
        <f>1+A40</f>
        <v>18</v>
      </c>
      <c r="B42" s="45" t="s">
        <v>327</v>
      </c>
      <c r="C42" s="29"/>
      <c r="D42" s="305">
        <f>SUM(D37:D40)</f>
        <v>3600493</v>
      </c>
      <c r="E42" s="39"/>
      <c r="F42" s="305">
        <f>SUM(F37:F40)</f>
        <v>554959</v>
      </c>
      <c r="G42" s="39"/>
      <c r="H42" s="305">
        <f>SUM(H37:H40)</f>
        <v>4155452</v>
      </c>
      <c r="I42" s="39"/>
      <c r="J42" s="305">
        <f>SUM(J37:J40)</f>
        <v>2122213</v>
      </c>
      <c r="K42" s="39"/>
      <c r="L42" s="305">
        <f>SUM(L37:L40)</f>
        <v>1478280</v>
      </c>
      <c r="M42" s="39"/>
      <c r="R42" s="305">
        <f>SUM(R37:R40)</f>
        <v>2448932</v>
      </c>
    </row>
    <row r="43" spans="1:18" ht="13.5" customHeight="1" x14ac:dyDescent="0.25">
      <c r="A43" s="304"/>
      <c r="B43" s="1"/>
      <c r="C43" s="29"/>
      <c r="D43" s="89"/>
      <c r="E43" s="39"/>
      <c r="F43" s="89"/>
      <c r="G43" s="39"/>
      <c r="H43" s="89"/>
      <c r="I43" s="39"/>
      <c r="J43" s="89"/>
      <c r="K43" s="39"/>
      <c r="L43" s="89"/>
      <c r="M43" s="39"/>
      <c r="R43" s="89"/>
    </row>
    <row r="44" spans="1:18" ht="21" customHeight="1" thickBot="1" x14ac:dyDescent="0.3">
      <c r="A44" s="304">
        <f>1+A42</f>
        <v>19</v>
      </c>
      <c r="B44" s="14" t="s">
        <v>328</v>
      </c>
      <c r="C44" s="29"/>
      <c r="D44" s="125">
        <f>+D34+D42</f>
        <v>1100527937</v>
      </c>
      <c r="E44" s="111"/>
      <c r="F44" s="125">
        <f>+F34+F42</f>
        <v>170772564</v>
      </c>
      <c r="G44" s="111"/>
      <c r="H44" s="125">
        <f>+H34+H42</f>
        <v>1271300501</v>
      </c>
      <c r="I44" s="111"/>
      <c r="J44" s="125">
        <f>+J34+J42</f>
        <v>916860871</v>
      </c>
      <c r="K44" s="111"/>
      <c r="L44" s="125">
        <f>+L34+L42</f>
        <v>183667066</v>
      </c>
      <c r="M44" s="111"/>
      <c r="O44" s="376">
        <f>D44/H44</f>
        <v>0.86567096932183152</v>
      </c>
      <c r="R44" s="125">
        <f>+R34+R42</f>
        <v>1059090352</v>
      </c>
    </row>
    <row r="45" spans="1:18" ht="21" customHeight="1" thickTop="1" x14ac:dyDescent="0.25">
      <c r="A45" s="304"/>
      <c r="B45" s="1"/>
      <c r="C45" s="29"/>
      <c r="D45" s="89"/>
      <c r="E45" s="39"/>
      <c r="F45" s="89"/>
      <c r="G45" s="39"/>
      <c r="H45" s="89"/>
      <c r="I45" s="39"/>
      <c r="J45" s="89"/>
      <c r="K45" s="39"/>
      <c r="L45" s="89"/>
      <c r="M45" s="39"/>
    </row>
    <row r="46" spans="1:18" ht="21" hidden="1" customHeight="1" x14ac:dyDescent="0.25">
      <c r="A46" s="383" t="s">
        <v>368</v>
      </c>
      <c r="C46" s="29"/>
      <c r="E46" s="39"/>
      <c r="F46" s="89"/>
      <c r="G46" s="39"/>
      <c r="H46" s="89"/>
      <c r="I46" s="39"/>
      <c r="J46" s="89"/>
      <c r="K46" s="39"/>
      <c r="L46" s="89"/>
      <c r="M46" s="39"/>
    </row>
    <row r="47" spans="1:18" ht="21" customHeight="1" x14ac:dyDescent="0.25">
      <c r="A47" s="316" t="s">
        <v>290</v>
      </c>
      <c r="B47" s="317" t="str">
        <f>'SuppSch-Ex 3(Page1,2)'!B49</f>
        <v>Reflects investment tax credit treatment per Case No. 2007-00178.</v>
      </c>
      <c r="C47" s="299"/>
      <c r="E47" s="299"/>
      <c r="G47" s="299"/>
      <c r="I47" s="299"/>
      <c r="J47" s="702"/>
      <c r="K47" s="299"/>
      <c r="M47" s="299"/>
    </row>
    <row r="48" spans="1:18" ht="21" customHeight="1" x14ac:dyDescent="0.25">
      <c r="A48" s="310"/>
      <c r="B48" s="2"/>
      <c r="C48" s="299"/>
      <c r="E48" s="299"/>
      <c r="G48" s="299"/>
      <c r="H48" s="703"/>
      <c r="I48" s="299"/>
      <c r="K48" s="299"/>
      <c r="M48" s="299"/>
    </row>
    <row r="49" spans="1:13" ht="21" customHeight="1" x14ac:dyDescent="0.25">
      <c r="A49" s="310"/>
      <c r="C49" s="299"/>
      <c r="E49" s="299"/>
      <c r="G49" s="299"/>
      <c r="I49" s="299"/>
      <c r="K49" s="299"/>
      <c r="M49" s="299"/>
    </row>
    <row r="50" spans="1:13" x14ac:dyDescent="0.25">
      <c r="A50" s="299"/>
      <c r="C50" s="299"/>
      <c r="E50" s="299"/>
      <c r="G50" s="299"/>
      <c r="I50" s="299"/>
      <c r="K50" s="299"/>
      <c r="M50" s="299"/>
    </row>
  </sheetData>
  <mergeCells count="3">
    <mergeCell ref="A5:H5"/>
    <mergeCell ref="A7:H7"/>
    <mergeCell ref="A8:H8"/>
  </mergeCells>
  <phoneticPr fontId="5" type="noConversion"/>
  <printOptions horizontalCentered="1"/>
  <pageMargins left="0" right="0" top="0.75" bottom="0" header="0.75" footer="0.5"/>
  <pageSetup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J46"/>
  <sheetViews>
    <sheetView showGridLines="0" zoomScale="85" zoomScaleNormal="85" workbookViewId="0">
      <selection activeCell="H2" sqref="H2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2.5" style="299" customWidth="1"/>
    <col min="6" max="6" width="18.5" style="299" customWidth="1"/>
    <col min="7" max="7" width="3.37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529" t="s">
        <v>765</v>
      </c>
    </row>
    <row r="2" spans="1:8" x14ac:dyDescent="0.25">
      <c r="H2" s="11" t="str">
        <f>"Sponsoring Witness: "&amp;Inputs!$B10&amp;""</f>
        <v>Sponsoring Witness: Blake</v>
      </c>
    </row>
    <row r="3" spans="1:8" x14ac:dyDescent="0.25">
      <c r="H3" s="11" t="s">
        <v>22</v>
      </c>
    </row>
    <row r="5" spans="1:8" x14ac:dyDescent="0.25">
      <c r="A5" s="799" t="s">
        <v>230</v>
      </c>
      <c r="B5" s="799"/>
      <c r="C5" s="799"/>
      <c r="D5" s="799"/>
      <c r="E5" s="799"/>
      <c r="F5" s="799"/>
      <c r="G5" s="799"/>
      <c r="H5" s="799"/>
    </row>
    <row r="7" spans="1:8" x14ac:dyDescent="0.25">
      <c r="A7" s="808" t="s">
        <v>33</v>
      </c>
      <c r="B7" s="807"/>
      <c r="C7" s="807"/>
      <c r="D7" s="807"/>
      <c r="E7" s="807"/>
      <c r="F7" s="807"/>
      <c r="G7" s="807"/>
      <c r="H7" s="807"/>
    </row>
    <row r="8" spans="1:8" x14ac:dyDescent="0.25">
      <c r="A8" s="805" t="str">
        <f>"At "&amp;Inputs!B3&amp;""</f>
        <v>At March 31, 2012</v>
      </c>
      <c r="B8" s="805"/>
      <c r="C8" s="805"/>
      <c r="D8" s="805"/>
      <c r="E8" s="805"/>
      <c r="F8" s="805"/>
      <c r="G8" s="805"/>
      <c r="H8" s="805"/>
    </row>
    <row r="9" spans="1:8" x14ac:dyDescent="0.25">
      <c r="A9" s="301"/>
      <c r="B9" s="6"/>
      <c r="C9" s="78"/>
      <c r="D9" s="6"/>
      <c r="E9" s="6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6"/>
      <c r="F11" s="6"/>
      <c r="G11" s="78"/>
      <c r="H11" s="6"/>
    </row>
    <row r="12" spans="1:8" x14ac:dyDescent="0.25">
      <c r="A12" s="301"/>
      <c r="B12" s="379"/>
      <c r="D12" s="273"/>
      <c r="E12" s="8"/>
      <c r="F12" s="8" t="s">
        <v>239</v>
      </c>
      <c r="G12" s="78"/>
      <c r="H12" s="8" t="s">
        <v>239</v>
      </c>
    </row>
    <row r="13" spans="1:8" x14ac:dyDescent="0.25">
      <c r="A13" s="301"/>
      <c r="B13" s="6"/>
      <c r="C13" s="78"/>
      <c r="D13" s="269" t="s">
        <v>239</v>
      </c>
      <c r="E13" s="8"/>
      <c r="F13" s="8" t="s">
        <v>238</v>
      </c>
      <c r="G13" s="78"/>
      <c r="H13" s="8" t="s">
        <v>238</v>
      </c>
    </row>
    <row r="14" spans="1:8" x14ac:dyDescent="0.25">
      <c r="A14" s="301"/>
      <c r="B14" s="6"/>
      <c r="C14" s="78"/>
      <c r="D14" s="269" t="s">
        <v>238</v>
      </c>
      <c r="E14" s="8"/>
      <c r="F14" s="8" t="s">
        <v>34</v>
      </c>
      <c r="G14" s="78"/>
      <c r="H14" s="310" t="s">
        <v>34</v>
      </c>
    </row>
    <row r="15" spans="1:8" x14ac:dyDescent="0.25">
      <c r="A15" s="301"/>
      <c r="B15" s="6" t="s">
        <v>291</v>
      </c>
      <c r="C15" s="78"/>
      <c r="D15" s="269" t="s">
        <v>397</v>
      </c>
      <c r="E15" s="302"/>
      <c r="F15" s="302" t="s">
        <v>383</v>
      </c>
      <c r="G15" s="78"/>
      <c r="H15" s="20" t="s">
        <v>213</v>
      </c>
    </row>
    <row r="16" spans="1:8" x14ac:dyDescent="0.25">
      <c r="A16" s="301"/>
      <c r="B16" s="303">
        <v>-1</v>
      </c>
      <c r="C16" s="78"/>
      <c r="D16" s="18">
        <v>-2</v>
      </c>
      <c r="E16" s="78"/>
      <c r="F16" s="18">
        <v>-3</v>
      </c>
      <c r="G16" s="78"/>
      <c r="H16" s="303">
        <v>-4</v>
      </c>
    </row>
    <row r="17" spans="1:10" x14ac:dyDescent="0.25">
      <c r="A17" s="301"/>
      <c r="B17" s="6"/>
      <c r="C17" s="78"/>
      <c r="D17" s="20"/>
      <c r="E17" s="8"/>
      <c r="F17" s="20"/>
      <c r="G17" s="78"/>
      <c r="H17" s="6" t="s">
        <v>35</v>
      </c>
    </row>
    <row r="18" spans="1:10" ht="21" customHeight="1" x14ac:dyDescent="0.25">
      <c r="A18" s="304">
        <f>1</f>
        <v>1</v>
      </c>
      <c r="B18" s="1" t="s">
        <v>319</v>
      </c>
      <c r="C18" s="29"/>
      <c r="D18" s="279">
        <f>'SuppSch-Ex 3(Page1,2)'!D18</f>
        <v>5952611566</v>
      </c>
      <c r="E18" s="119"/>
      <c r="F18" s="119">
        <f>'SuppSch-Ex 4 (Page2)'!H18</f>
        <v>-182394946</v>
      </c>
      <c r="G18" s="39"/>
      <c r="H18" s="119">
        <f>D18+F18</f>
        <v>5770216620</v>
      </c>
    </row>
    <row r="19" spans="1:10" ht="13.5" customHeight="1" x14ac:dyDescent="0.25">
      <c r="A19" s="301"/>
      <c r="B19" s="1"/>
      <c r="C19" s="29"/>
      <c r="D19" s="89"/>
      <c r="E19" s="8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293</v>
      </c>
      <c r="C20" s="29"/>
      <c r="D20" s="89"/>
      <c r="E20" s="8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320</v>
      </c>
      <c r="C21" s="29"/>
      <c r="D21" s="89">
        <f>'SuppSch-Ex 3(Page1,2)'!D21</f>
        <v>2091528460</v>
      </c>
      <c r="E21" s="89"/>
      <c r="F21" s="89">
        <f>'SuppSch-Ex 4 (Page2)'!H21</f>
        <v>654112</v>
      </c>
      <c r="G21" s="75"/>
      <c r="H21" s="89">
        <f>D21+F21</f>
        <v>2092182572</v>
      </c>
    </row>
    <row r="22" spans="1:10" ht="13.5" customHeight="1" x14ac:dyDescent="0.25">
      <c r="A22" s="304"/>
      <c r="B22" s="1"/>
      <c r="C22" s="29"/>
      <c r="D22" s="89"/>
      <c r="E22" s="8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321</v>
      </c>
      <c r="C23" s="29"/>
      <c r="D23" s="305">
        <f>+D18-D21</f>
        <v>3861083106</v>
      </c>
      <c r="E23" s="39"/>
      <c r="F23" s="305">
        <f>+F18-F21</f>
        <v>-183049058</v>
      </c>
      <c r="G23" s="39"/>
      <c r="H23" s="305">
        <f>+H18-H21</f>
        <v>3678034048</v>
      </c>
    </row>
    <row r="24" spans="1:10" ht="13.5" customHeight="1" x14ac:dyDescent="0.25">
      <c r="A24" s="304"/>
      <c r="B24" s="1"/>
      <c r="C24" s="29"/>
      <c r="D24" s="89"/>
      <c r="E24" s="8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293</v>
      </c>
      <c r="C25" s="29"/>
      <c r="D25" s="89"/>
      <c r="E25" s="8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322</v>
      </c>
      <c r="C26" s="29"/>
      <c r="D26" s="89">
        <f>'SuppSch-Ex 3(Page1,2)'!D26</f>
        <v>2936189</v>
      </c>
      <c r="E26" s="89"/>
      <c r="F26" s="89"/>
      <c r="G26" s="39"/>
      <c r="H26" s="89">
        <f>D26+F26</f>
        <v>2936189</v>
      </c>
      <c r="J26" s="377"/>
    </row>
    <row r="27" spans="1:10" ht="21" customHeight="1" x14ac:dyDescent="0.25">
      <c r="A27" s="304">
        <f>1+A26</f>
        <v>7</v>
      </c>
      <c r="B27" s="1" t="s">
        <v>323</v>
      </c>
      <c r="C27" s="29"/>
      <c r="D27" s="89">
        <f>'SuppSch-Ex 3(Page1,2)'!D27</f>
        <v>439643557</v>
      </c>
      <c r="E27" s="280"/>
      <c r="F27" s="280">
        <f>'SuppSch-Ex 4 (Page2)'!H27</f>
        <v>-147353</v>
      </c>
      <c r="G27" s="265"/>
      <c r="H27" s="89">
        <f>D27+F27</f>
        <v>439496204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'SuppSch-Ex 3(Page1,2)'!D28</f>
        <v>46378395</v>
      </c>
      <c r="E28" s="265"/>
      <c r="F28" s="265"/>
      <c r="G28" s="265"/>
      <c r="H28" s="89">
        <f>D28+F28</f>
        <v>46378395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'SuppSch-Ex 3(Page1,2)'!D29</f>
        <v>3062358</v>
      </c>
      <c r="E29" s="39"/>
      <c r="F29" s="39"/>
      <c r="G29" s="39"/>
      <c r="H29" s="89">
        <f>D29+F29</f>
        <v>3062358</v>
      </c>
      <c r="J29" s="306"/>
    </row>
    <row r="30" spans="1:10" ht="21" customHeight="1" x14ac:dyDescent="0.25">
      <c r="A30" s="304">
        <f>1+A29</f>
        <v>10</v>
      </c>
      <c r="B30" s="14" t="s">
        <v>294</v>
      </c>
      <c r="C30" s="29"/>
      <c r="D30" s="89">
        <f>'SuppSch-Ex 3(Page1,2)'!D30</f>
        <v>86299724</v>
      </c>
      <c r="E30" s="39"/>
      <c r="F30" s="39"/>
      <c r="G30" s="39"/>
      <c r="H30" s="89">
        <f>D30+F30</f>
        <v>86299724</v>
      </c>
    </row>
    <row r="31" spans="1:10" ht="12" customHeight="1" x14ac:dyDescent="0.25">
      <c r="A31" s="304"/>
      <c r="B31" s="1"/>
      <c r="C31" s="29"/>
      <c r="D31" s="39"/>
      <c r="E31" s="3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324</v>
      </c>
      <c r="C32" s="29"/>
      <c r="D32" s="305">
        <f>SUM(D26:D31)</f>
        <v>578320223</v>
      </c>
      <c r="E32" s="39"/>
      <c r="F32" s="305">
        <f>SUM(F26:F31)</f>
        <v>-147353</v>
      </c>
      <c r="G32" s="39"/>
      <c r="H32" s="305">
        <f>SUM(H26:H31)</f>
        <v>578172870</v>
      </c>
    </row>
    <row r="33" spans="1:9" ht="15" customHeight="1" x14ac:dyDescent="0.25">
      <c r="A33" s="301"/>
      <c r="B33" s="1"/>
      <c r="C33" s="29"/>
      <c r="D33" s="89"/>
      <c r="E33" s="89"/>
      <c r="F33" s="89"/>
      <c r="G33" s="39"/>
      <c r="H33" s="89"/>
    </row>
    <row r="34" spans="1:9" ht="21" customHeight="1" x14ac:dyDescent="0.25">
      <c r="A34" s="301">
        <f>1+A32</f>
        <v>12</v>
      </c>
      <c r="B34" s="1" t="s">
        <v>292</v>
      </c>
      <c r="C34" s="29"/>
      <c r="D34" s="89"/>
      <c r="E34" s="89"/>
      <c r="F34" s="89"/>
      <c r="G34" s="39"/>
      <c r="H34" s="89"/>
    </row>
    <row r="35" spans="1:9" ht="21" customHeight="1" x14ac:dyDescent="0.25">
      <c r="A35" s="304">
        <f>1+A34</f>
        <v>13</v>
      </c>
      <c r="B35" s="14" t="s">
        <v>89</v>
      </c>
      <c r="C35" s="29"/>
      <c r="D35" s="89">
        <f>'SuppSch-Ex 3(Page1,2)'!D37</f>
        <v>115098215</v>
      </c>
      <c r="E35" s="89"/>
      <c r="F35" s="89">
        <f>'SuppSch-Ex 4 (Page2)'!H35</f>
        <v>0</v>
      </c>
      <c r="G35" s="39"/>
      <c r="H35" s="89">
        <f>D35+F35</f>
        <v>115098215</v>
      </c>
    </row>
    <row r="36" spans="1:9" ht="21" customHeight="1" x14ac:dyDescent="0.25">
      <c r="A36" s="304">
        <f>1+A35</f>
        <v>14</v>
      </c>
      <c r="B36" s="14" t="s">
        <v>59</v>
      </c>
      <c r="C36" s="29"/>
      <c r="D36" s="89">
        <f>'SuppSch-Ex 3(Page1,2)'!D38</f>
        <v>6567467</v>
      </c>
      <c r="E36" s="89"/>
      <c r="F36" s="89"/>
      <c r="G36" s="39"/>
      <c r="H36" s="89">
        <f>D36+F36</f>
        <v>6567467</v>
      </c>
    </row>
    <row r="37" spans="1:9" ht="21" customHeight="1" x14ac:dyDescent="0.25">
      <c r="A37" s="304">
        <f>1+A36</f>
        <v>15</v>
      </c>
      <c r="B37" s="1" t="s">
        <v>1</v>
      </c>
      <c r="C37" s="29"/>
      <c r="D37" s="89">
        <f>'SuppSch-Ex 3(Page1,2)'!D39</f>
        <v>415671</v>
      </c>
      <c r="E37" s="89"/>
      <c r="F37" s="89">
        <f>'SuppSch-Ex 4 (Page2)'!H37</f>
        <v>-359401</v>
      </c>
      <c r="G37" s="39"/>
      <c r="H37" s="89">
        <f>D37+F37</f>
        <v>56270</v>
      </c>
      <c r="I37" s="334"/>
    </row>
    <row r="38" spans="1:9" ht="21" customHeight="1" x14ac:dyDescent="0.25">
      <c r="A38" s="304">
        <f>1+A37</f>
        <v>16</v>
      </c>
      <c r="B38" s="14" t="s">
        <v>336</v>
      </c>
      <c r="C38" s="29"/>
      <c r="D38" s="89">
        <f>'SuppSch-Ex 3(Page1,2)'!D40</f>
        <v>96090910</v>
      </c>
      <c r="E38" s="39"/>
      <c r="F38" s="39">
        <f>'SuppSch-Ex 4 (Page2)'!H38</f>
        <v>-6856104</v>
      </c>
      <c r="G38" s="75"/>
      <c r="H38" s="89">
        <f>D38+F38</f>
        <v>89234806</v>
      </c>
      <c r="I38" s="438"/>
    </row>
    <row r="39" spans="1:9" ht="13.5" customHeight="1" x14ac:dyDescent="0.25">
      <c r="A39" s="304"/>
      <c r="B39" s="1"/>
      <c r="C39" s="29"/>
      <c r="D39" s="39"/>
      <c r="E39" s="39"/>
      <c r="F39" s="39"/>
      <c r="G39" s="39"/>
      <c r="H39" s="39"/>
    </row>
    <row r="40" spans="1:9" ht="21" customHeight="1" x14ac:dyDescent="0.25">
      <c r="A40" s="304">
        <f>1+A38</f>
        <v>17</v>
      </c>
      <c r="B40" s="45" t="s">
        <v>327</v>
      </c>
      <c r="C40" s="29"/>
      <c r="D40" s="305">
        <f>SUM(D35:D38)</f>
        <v>218172263</v>
      </c>
      <c r="E40" s="39"/>
      <c r="F40" s="305">
        <f>SUM(F35:F38)</f>
        <v>-7215505</v>
      </c>
      <c r="G40" s="39"/>
      <c r="H40" s="305">
        <f>SUM(H35:H38)</f>
        <v>210956758</v>
      </c>
    </row>
    <row r="41" spans="1:9" ht="13.5" customHeight="1" x14ac:dyDescent="0.25">
      <c r="A41" s="304"/>
      <c r="B41" s="1"/>
      <c r="C41" s="29"/>
      <c r="D41" s="89"/>
      <c r="E41" s="89"/>
      <c r="F41" s="89"/>
      <c r="G41" s="39"/>
      <c r="H41" s="89"/>
    </row>
    <row r="42" spans="1:9" ht="21" customHeight="1" thickBot="1" x14ac:dyDescent="0.3">
      <c r="A42" s="304">
        <f>1+A40</f>
        <v>18</v>
      </c>
      <c r="B42" s="14" t="s">
        <v>328</v>
      </c>
      <c r="C42" s="29"/>
      <c r="D42" s="125">
        <f>D23-D32+D40</f>
        <v>3500935146</v>
      </c>
      <c r="E42" s="111"/>
      <c r="F42" s="125">
        <f>F23-F32+F40</f>
        <v>-190117210</v>
      </c>
      <c r="G42" s="111"/>
      <c r="H42" s="125">
        <f>H23-H32+H40</f>
        <v>3310817936</v>
      </c>
    </row>
    <row r="43" spans="1:9" ht="13.5" customHeight="1" thickTop="1" x14ac:dyDescent="0.25">
      <c r="A43" s="304"/>
      <c r="B43" s="1"/>
      <c r="C43" s="29"/>
      <c r="D43" s="89"/>
      <c r="E43" s="89"/>
      <c r="F43" s="89"/>
      <c r="G43" s="39"/>
      <c r="H43" s="89"/>
    </row>
    <row r="44" spans="1:9" ht="15.75" customHeight="1" x14ac:dyDescent="0.25">
      <c r="A44" s="304"/>
      <c r="C44" s="29"/>
      <c r="D44" s="89"/>
      <c r="E44" s="89"/>
      <c r="F44" s="89"/>
      <c r="G44" s="39"/>
      <c r="H44" s="89"/>
    </row>
    <row r="45" spans="1:9" ht="18.95" customHeight="1" x14ac:dyDescent="0.25">
      <c r="A45" s="494" t="s">
        <v>290</v>
      </c>
      <c r="B45" s="205" t="s">
        <v>391</v>
      </c>
      <c r="C45" s="299"/>
      <c r="G45" s="299"/>
    </row>
    <row r="46" spans="1:9" ht="18.95" customHeight="1" x14ac:dyDescent="0.25">
      <c r="A46" s="494" t="s">
        <v>337</v>
      </c>
      <c r="B46" s="533" t="s">
        <v>666</v>
      </c>
      <c r="C46" s="299"/>
      <c r="G46" s="299"/>
    </row>
  </sheetData>
  <mergeCells count="3">
    <mergeCell ref="A5:H5"/>
    <mergeCell ref="A7:H7"/>
    <mergeCell ref="A8:H8"/>
  </mergeCells>
  <phoneticPr fontId="5" type="noConversion"/>
  <printOptions horizontalCentered="1"/>
  <pageMargins left="1.25" right="0.75" top="1" bottom="1" header="0.75" footer="0.5"/>
  <pageSetup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9"/>
  <sheetViews>
    <sheetView showGridLines="0" zoomScale="85" zoomScaleNormal="85" workbookViewId="0">
      <selection activeCell="G1" sqref="G1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3.625" style="300" customWidth="1"/>
    <col min="6" max="6" width="23.5" style="299" customWidth="1"/>
    <col min="7" max="7" width="3.62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529" t="s">
        <v>498</v>
      </c>
    </row>
    <row r="2" spans="1:8" x14ac:dyDescent="0.25">
      <c r="H2" s="11" t="str">
        <f>"Sponsoring Witness: "&amp;Inputs!$B10&amp;""</f>
        <v>Sponsoring Witness: Blake</v>
      </c>
    </row>
    <row r="3" spans="1:8" x14ac:dyDescent="0.25">
      <c r="H3" s="11" t="s">
        <v>21</v>
      </c>
    </row>
    <row r="5" spans="1:8" x14ac:dyDescent="0.25">
      <c r="A5" s="799" t="s">
        <v>230</v>
      </c>
      <c r="B5" s="799"/>
      <c r="C5" s="799"/>
      <c r="D5" s="799"/>
      <c r="E5" s="799"/>
      <c r="F5" s="799"/>
      <c r="G5" s="799"/>
      <c r="H5" s="799"/>
    </row>
    <row r="7" spans="1:8" x14ac:dyDescent="0.25">
      <c r="A7" s="808" t="s">
        <v>380</v>
      </c>
      <c r="B7" s="807"/>
      <c r="C7" s="807"/>
      <c r="D7" s="807"/>
      <c r="E7" s="807"/>
      <c r="F7" s="807"/>
      <c r="G7" s="807"/>
      <c r="H7" s="807"/>
    </row>
    <row r="8" spans="1:8" x14ac:dyDescent="0.25">
      <c r="A8" s="805" t="str">
        <f>"At "&amp;Inputs!B3&amp;""</f>
        <v>At March 31, 2012</v>
      </c>
      <c r="B8" s="805"/>
      <c r="C8" s="805"/>
      <c r="D8" s="805"/>
      <c r="E8" s="805"/>
      <c r="F8" s="805"/>
      <c r="G8" s="805"/>
      <c r="H8" s="805"/>
    </row>
    <row r="9" spans="1:8" x14ac:dyDescent="0.25">
      <c r="A9" s="301"/>
      <c r="B9" s="6"/>
      <c r="C9" s="78"/>
      <c r="D9" s="6"/>
      <c r="E9" s="78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78"/>
      <c r="F11" s="6"/>
      <c r="G11" s="78"/>
      <c r="H11" s="6"/>
    </row>
    <row r="12" spans="1:8" x14ac:dyDescent="0.25">
      <c r="A12" s="301"/>
      <c r="B12" s="379"/>
      <c r="D12" s="8"/>
      <c r="F12" s="8" t="s">
        <v>239</v>
      </c>
      <c r="G12" s="78"/>
      <c r="H12" s="269" t="s">
        <v>382</v>
      </c>
    </row>
    <row r="13" spans="1:8" x14ac:dyDescent="0.25">
      <c r="A13" s="301"/>
      <c r="B13" s="6"/>
      <c r="C13" s="78"/>
      <c r="D13" s="100"/>
      <c r="E13" s="78"/>
      <c r="F13" s="269" t="s">
        <v>238</v>
      </c>
      <c r="G13" s="269"/>
      <c r="H13" s="493" t="s">
        <v>238</v>
      </c>
    </row>
    <row r="14" spans="1:8" x14ac:dyDescent="0.25">
      <c r="A14" s="301"/>
      <c r="B14" s="6"/>
      <c r="C14" s="78"/>
      <c r="D14" s="269" t="s">
        <v>215</v>
      </c>
      <c r="E14" s="78"/>
      <c r="F14" s="269" t="s">
        <v>226</v>
      </c>
      <c r="G14" s="269"/>
      <c r="H14" s="269" t="s">
        <v>34</v>
      </c>
    </row>
    <row r="15" spans="1:8" x14ac:dyDescent="0.25">
      <c r="A15" s="301"/>
      <c r="B15" s="6" t="s">
        <v>291</v>
      </c>
      <c r="C15" s="78"/>
      <c r="D15" s="269" t="s">
        <v>381</v>
      </c>
      <c r="E15" s="78"/>
      <c r="F15" s="392" t="s">
        <v>161</v>
      </c>
      <c r="G15" s="392"/>
      <c r="H15" s="392" t="s">
        <v>161</v>
      </c>
    </row>
    <row r="16" spans="1:8" x14ac:dyDescent="0.25">
      <c r="A16" s="301"/>
      <c r="B16" s="303">
        <v>-1</v>
      </c>
      <c r="C16" s="78"/>
      <c r="D16" s="492">
        <v>-2</v>
      </c>
      <c r="E16" s="78"/>
      <c r="F16" s="271">
        <v>-3</v>
      </c>
      <c r="G16" s="269"/>
      <c r="H16" s="271">
        <v>-4</v>
      </c>
    </row>
    <row r="17" spans="1:10" x14ac:dyDescent="0.25">
      <c r="A17" s="301"/>
      <c r="B17" s="6"/>
      <c r="C17" s="78"/>
      <c r="D17" s="20"/>
      <c r="E17" s="78"/>
      <c r="F17" s="20"/>
      <c r="G17" s="78"/>
      <c r="H17" s="6" t="s">
        <v>35</v>
      </c>
    </row>
    <row r="18" spans="1:10" ht="21" customHeight="1" x14ac:dyDescent="0.25">
      <c r="A18" s="304">
        <f>1</f>
        <v>1</v>
      </c>
      <c r="B18" s="1" t="s">
        <v>319</v>
      </c>
      <c r="C18" s="29"/>
      <c r="D18" s="279">
        <f>-'SuppSch-Ex 3(Page1,2)'!J18</f>
        <v>-182394946</v>
      </c>
      <c r="E18" s="29"/>
      <c r="F18" s="279">
        <v>0</v>
      </c>
      <c r="G18" s="39"/>
      <c r="H18" s="119">
        <f>SUM(D18:F18)</f>
        <v>-182394946</v>
      </c>
    </row>
    <row r="19" spans="1:10" ht="13.5" customHeight="1" x14ac:dyDescent="0.25">
      <c r="A19" s="301"/>
      <c r="B19" s="1"/>
      <c r="C19" s="29"/>
      <c r="D19" s="89"/>
      <c r="E19" s="2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293</v>
      </c>
      <c r="C20" s="29"/>
      <c r="D20" s="89"/>
      <c r="E20" s="2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320</v>
      </c>
      <c r="C21" s="29"/>
      <c r="D21" s="89">
        <f>-'SuppSch-Ex 3(Page1,2)'!J21</f>
        <v>-58807</v>
      </c>
      <c r="E21" s="29"/>
      <c r="F21" s="89">
        <f>'Ex 1'!I41</f>
        <v>712919</v>
      </c>
      <c r="G21" s="693" t="s">
        <v>337</v>
      </c>
      <c r="H21" s="89">
        <f>SUM(D21:F21)</f>
        <v>654112</v>
      </c>
    </row>
    <row r="22" spans="1:10" ht="13.5" customHeight="1" x14ac:dyDescent="0.25">
      <c r="A22" s="304"/>
      <c r="B22" s="1"/>
      <c r="C22" s="29"/>
      <c r="D22" s="89"/>
      <c r="E22" s="2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321</v>
      </c>
      <c r="C23" s="29"/>
      <c r="D23" s="305">
        <f>+D18-D21</f>
        <v>-182336139</v>
      </c>
      <c r="E23" s="29"/>
      <c r="F23" s="305">
        <f>+F18-F21</f>
        <v>-712919</v>
      </c>
      <c r="G23" s="39"/>
      <c r="H23" s="305">
        <f>+H18-H21</f>
        <v>-183049058</v>
      </c>
    </row>
    <row r="24" spans="1:10" ht="13.5" customHeight="1" x14ac:dyDescent="0.25">
      <c r="A24" s="304"/>
      <c r="B24" s="1"/>
      <c r="C24" s="29"/>
      <c r="D24" s="89"/>
      <c r="E24" s="2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293</v>
      </c>
      <c r="C25" s="29"/>
      <c r="D25" s="89"/>
      <c r="E25" s="2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322</v>
      </c>
      <c r="C26" s="29"/>
      <c r="D26" s="89">
        <f>-'SuppSch-Ex 3(Page1,2)'!J26</f>
        <v>0</v>
      </c>
      <c r="E26" s="29"/>
      <c r="F26" s="89">
        <v>0</v>
      </c>
      <c r="G26" s="39"/>
      <c r="H26" s="89">
        <f>SUM(D26:F26)</f>
        <v>0</v>
      </c>
      <c r="J26" s="377"/>
    </row>
    <row r="27" spans="1:10" ht="21" customHeight="1" x14ac:dyDescent="0.25">
      <c r="A27" s="304">
        <f>1+A26</f>
        <v>7</v>
      </c>
      <c r="B27" s="1" t="s">
        <v>323</v>
      </c>
      <c r="C27" s="29"/>
      <c r="D27" s="89">
        <f>-'SuppSch-Ex 3(Page1,2)'!J27</f>
        <v>-147353</v>
      </c>
      <c r="E27" s="29"/>
      <c r="F27" s="89">
        <v>0</v>
      </c>
      <c r="G27" s="265"/>
      <c r="H27" s="89">
        <f>SUM(D27:F27)</f>
        <v>-147353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-'SuppSch-Ex 3(Page1,2)'!J28</f>
        <v>0</v>
      </c>
      <c r="E28" s="29"/>
      <c r="F28" s="89">
        <v>0</v>
      </c>
      <c r="G28" s="265"/>
      <c r="H28" s="89">
        <f>SUM(D28:F28)</f>
        <v>0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-'SuppSch-Ex 3(Page1,2)'!J29</f>
        <v>0</v>
      </c>
      <c r="E29" s="29"/>
      <c r="F29" s="89">
        <v>0</v>
      </c>
      <c r="G29" s="39"/>
      <c r="H29" s="89">
        <f>SUM(D29:F29)</f>
        <v>0</v>
      </c>
      <c r="J29" s="306"/>
    </row>
    <row r="30" spans="1:10" ht="21" customHeight="1" x14ac:dyDescent="0.25">
      <c r="A30" s="304">
        <f>1+A29</f>
        <v>10</v>
      </c>
      <c r="B30" s="14" t="s">
        <v>294</v>
      </c>
      <c r="C30" s="29"/>
      <c r="D30" s="89">
        <f>-'SuppSch-Ex 3(Page1,2)'!J30</f>
        <v>0</v>
      </c>
      <c r="E30" s="39"/>
      <c r="F30" s="89">
        <v>0</v>
      </c>
      <c r="G30" s="39"/>
      <c r="H30" s="89">
        <f>SUM(D30:F30)</f>
        <v>0</v>
      </c>
    </row>
    <row r="31" spans="1:10" ht="12" customHeight="1" x14ac:dyDescent="0.25">
      <c r="A31" s="304"/>
      <c r="B31" s="1"/>
      <c r="C31" s="29"/>
      <c r="D31" s="39"/>
      <c r="E31" s="2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324</v>
      </c>
      <c r="C32" s="29"/>
      <c r="D32" s="305">
        <f>SUM(D26:D31)</f>
        <v>-147353</v>
      </c>
      <c r="E32" s="29"/>
      <c r="F32" s="305">
        <f>SUM(F26:F31)</f>
        <v>0</v>
      </c>
      <c r="G32" s="39"/>
      <c r="H32" s="305">
        <f>SUM(H26:H31)</f>
        <v>-147353</v>
      </c>
    </row>
    <row r="33" spans="1:13" ht="15" customHeight="1" x14ac:dyDescent="0.25">
      <c r="A33" s="301"/>
      <c r="B33" s="1"/>
      <c r="C33" s="29"/>
      <c r="D33" s="89"/>
      <c r="E33" s="29"/>
      <c r="F33" s="89"/>
      <c r="G33" s="39"/>
      <c r="H33" s="89"/>
    </row>
    <row r="34" spans="1:13" ht="21" customHeight="1" x14ac:dyDescent="0.25">
      <c r="A34" s="301">
        <f>1+A32</f>
        <v>12</v>
      </c>
      <c r="B34" s="1" t="s">
        <v>292</v>
      </c>
      <c r="C34" s="29"/>
      <c r="D34" s="89"/>
      <c r="E34" s="29"/>
      <c r="F34" s="89"/>
      <c r="G34" s="39"/>
      <c r="H34" s="89"/>
    </row>
    <row r="35" spans="1:13" ht="21" customHeight="1" x14ac:dyDescent="0.25">
      <c r="A35" s="304">
        <f>1+A34</f>
        <v>13</v>
      </c>
      <c r="B35" s="14" t="s">
        <v>89</v>
      </c>
      <c r="C35" s="29"/>
      <c r="D35" s="89">
        <f>-'SuppSch-Ex 3(Page1,2)'!J37</f>
        <v>0</v>
      </c>
      <c r="E35" s="29"/>
      <c r="F35" s="89">
        <v>0</v>
      </c>
      <c r="G35" s="39"/>
      <c r="H35" s="89">
        <f>SUM(D35:F35)</f>
        <v>0</v>
      </c>
    </row>
    <row r="36" spans="1:13" ht="21" customHeight="1" x14ac:dyDescent="0.25">
      <c r="A36" s="304">
        <f>1+A35</f>
        <v>14</v>
      </c>
      <c r="B36" s="14" t="s">
        <v>59</v>
      </c>
      <c r="C36" s="29"/>
      <c r="D36" s="89">
        <f>-'SuppSch-Ex 3(Page1,2)'!J38</f>
        <v>0</v>
      </c>
      <c r="E36" s="29"/>
      <c r="F36" s="89">
        <v>0</v>
      </c>
      <c r="G36" s="39"/>
      <c r="H36" s="89">
        <f>SUM(D36:F36)</f>
        <v>0</v>
      </c>
    </row>
    <row r="37" spans="1:13" ht="21" customHeight="1" x14ac:dyDescent="0.25">
      <c r="A37" s="304">
        <f>1+A36</f>
        <v>15</v>
      </c>
      <c r="B37" s="1" t="s">
        <v>1</v>
      </c>
      <c r="C37" s="29"/>
      <c r="D37" s="89">
        <f>-'SuppSch-Ex 3(Page1,2)'!J39</f>
        <v>-359401</v>
      </c>
      <c r="E37" s="29"/>
      <c r="F37" s="89">
        <v>0</v>
      </c>
      <c r="G37" s="39"/>
      <c r="H37" s="89">
        <f>SUM(D37:F37)</f>
        <v>-359401</v>
      </c>
      <c r="I37" s="334"/>
    </row>
    <row r="38" spans="1:13" ht="21" customHeight="1" x14ac:dyDescent="0.25">
      <c r="A38" s="304">
        <f>1+A37</f>
        <v>16</v>
      </c>
      <c r="B38" s="14" t="s">
        <v>336</v>
      </c>
      <c r="C38" s="29"/>
      <c r="D38" s="89">
        <f>-'SuppSch-Ex 3(Page1,2)'!J40</f>
        <v>-1118879</v>
      </c>
      <c r="E38" s="29"/>
      <c r="F38" s="39">
        <f>ROUND(('Ex 1'!I83-'Ex 1'!I25-'Ex 1'!I41-'1.02'!B21)/8,0)</f>
        <v>-5737225</v>
      </c>
      <c r="G38" s="693" t="s">
        <v>354</v>
      </c>
      <c r="H38" s="89">
        <f>SUM(D38:F38)</f>
        <v>-6856104</v>
      </c>
      <c r="I38" s="438"/>
    </row>
    <row r="39" spans="1:13" ht="13.5" customHeight="1" x14ac:dyDescent="0.25">
      <c r="A39" s="304"/>
      <c r="B39" s="1"/>
      <c r="C39" s="29"/>
      <c r="D39" s="39"/>
      <c r="E39" s="29"/>
      <c r="F39" s="39"/>
      <c r="G39" s="39"/>
      <c r="H39" s="39"/>
    </row>
    <row r="40" spans="1:13" ht="21" customHeight="1" x14ac:dyDescent="0.25">
      <c r="A40" s="304">
        <f>1+A38</f>
        <v>17</v>
      </c>
      <c r="B40" s="45" t="s">
        <v>327</v>
      </c>
      <c r="C40" s="29"/>
      <c r="D40" s="305">
        <f>SUM(D35:D38)</f>
        <v>-1478280</v>
      </c>
      <c r="E40" s="29"/>
      <c r="F40" s="305">
        <f>SUM(F35:F38)</f>
        <v>-5737225</v>
      </c>
      <c r="G40" s="39"/>
      <c r="H40" s="305">
        <f>SUM(H35:H38)</f>
        <v>-7215505</v>
      </c>
    </row>
    <row r="41" spans="1:13" ht="13.5" customHeight="1" x14ac:dyDescent="0.25">
      <c r="A41" s="304"/>
      <c r="B41" s="1"/>
      <c r="C41" s="29"/>
      <c r="D41" s="89"/>
      <c r="E41" s="29"/>
      <c r="F41" s="89"/>
      <c r="G41" s="39"/>
      <c r="H41" s="89"/>
    </row>
    <row r="42" spans="1:13" ht="21" customHeight="1" thickBot="1" x14ac:dyDescent="0.3">
      <c r="A42" s="304">
        <f>1+A40</f>
        <v>18</v>
      </c>
      <c r="B42" s="14" t="s">
        <v>328</v>
      </c>
      <c r="C42" s="29"/>
      <c r="D42" s="125">
        <f>D23-D32+D40</f>
        <v>-183667066</v>
      </c>
      <c r="E42" s="33" t="s">
        <v>290</v>
      </c>
      <c r="F42" s="125">
        <f>F23-F32+F40</f>
        <v>-6450144</v>
      </c>
      <c r="G42" s="111"/>
      <c r="H42" s="125">
        <f>H23-H32+H40</f>
        <v>-190117210</v>
      </c>
    </row>
    <row r="43" spans="1:13" ht="13.5" customHeight="1" thickTop="1" x14ac:dyDescent="0.25">
      <c r="A43" s="304"/>
      <c r="B43" s="1"/>
      <c r="C43" s="29"/>
      <c r="D43" s="89"/>
      <c r="E43" s="29"/>
      <c r="F43" s="89"/>
      <c r="G43" s="39"/>
      <c r="H43" s="89"/>
    </row>
    <row r="44" spans="1:13" ht="15.75" customHeight="1" x14ac:dyDescent="0.25">
      <c r="A44" s="304"/>
      <c r="C44" s="29"/>
      <c r="D44" s="89"/>
      <c r="E44" s="29"/>
      <c r="F44" s="89"/>
      <c r="G44" s="39"/>
      <c r="H44" s="89"/>
    </row>
    <row r="45" spans="1:13" s="100" customFormat="1" ht="18.95" customHeight="1" x14ac:dyDescent="0.25">
      <c r="A45" s="494" t="s">
        <v>290</v>
      </c>
      <c r="B45" s="533" t="s">
        <v>700</v>
      </c>
      <c r="E45" s="495"/>
      <c r="F45" s="495"/>
      <c r="G45" s="495"/>
      <c r="H45" s="495"/>
      <c r="I45" s="495"/>
      <c r="K45" s="495"/>
      <c r="L45" s="495"/>
      <c r="M45" s="495"/>
    </row>
    <row r="46" spans="1:13" s="100" customFormat="1" ht="18.95" customHeight="1" x14ac:dyDescent="0.25">
      <c r="A46" s="494" t="s">
        <v>337</v>
      </c>
      <c r="B46" s="533" t="s">
        <v>649</v>
      </c>
      <c r="E46" s="495"/>
      <c r="F46" s="495"/>
      <c r="G46" s="495"/>
      <c r="H46" s="495"/>
      <c r="I46" s="495"/>
      <c r="K46" s="495"/>
      <c r="L46" s="495"/>
      <c r="M46" s="495"/>
    </row>
    <row r="47" spans="1:13" ht="18.95" customHeight="1" x14ac:dyDescent="0.25">
      <c r="A47" s="397" t="s">
        <v>354</v>
      </c>
      <c r="B47" s="530" t="s">
        <v>630</v>
      </c>
      <c r="C47" s="299"/>
      <c r="E47" s="299"/>
      <c r="G47" s="299"/>
    </row>
    <row r="48" spans="1:13" ht="18.95" customHeight="1" x14ac:dyDescent="0.25">
      <c r="A48" s="397"/>
      <c r="B48" s="530" t="s">
        <v>699</v>
      </c>
      <c r="C48" s="299"/>
      <c r="E48" s="299"/>
      <c r="G48" s="299"/>
    </row>
    <row r="49" spans="1:7" ht="18.95" customHeight="1" x14ac:dyDescent="0.25">
      <c r="A49" s="311"/>
      <c r="B49" s="530"/>
      <c r="C49" s="299"/>
      <c r="E49" s="299"/>
      <c r="G49" s="299"/>
    </row>
  </sheetData>
  <mergeCells count="3">
    <mergeCell ref="A5:H5"/>
    <mergeCell ref="A7:H7"/>
    <mergeCell ref="A8:H8"/>
  </mergeCells>
  <printOptions horizontalCentered="1"/>
  <pageMargins left="1.25" right="0.75" top="1" bottom="1" header="0.75" footer="0.5"/>
  <pageSetup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48"/>
  <sheetViews>
    <sheetView showGridLines="0" zoomScale="70" zoomScaleNormal="70" workbookViewId="0">
      <selection activeCell="A3" sqref="A3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1.625" style="300" customWidth="1"/>
    <col min="6" max="6" width="18.5" style="299" customWidth="1"/>
    <col min="7" max="7" width="1.62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11" t="s">
        <v>65</v>
      </c>
    </row>
    <row r="2" spans="1:8" x14ac:dyDescent="0.25">
      <c r="H2" s="11" t="str">
        <f>"Sponsoring Witness: "&amp;Inputs!B11&amp;""</f>
        <v>Sponsoring Witness: Blake</v>
      </c>
    </row>
    <row r="3" spans="1:8" x14ac:dyDescent="0.25">
      <c r="H3" s="11" t="s">
        <v>144</v>
      </c>
    </row>
    <row r="5" spans="1:8" x14ac:dyDescent="0.25">
      <c r="A5" s="799" t="s">
        <v>230</v>
      </c>
      <c r="B5" s="799"/>
      <c r="C5" s="799"/>
      <c r="D5" s="799"/>
      <c r="E5" s="799"/>
      <c r="F5" s="799"/>
      <c r="G5" s="799"/>
      <c r="H5" s="799"/>
    </row>
    <row r="7" spans="1:8" x14ac:dyDescent="0.25">
      <c r="A7" s="808" t="s">
        <v>145</v>
      </c>
      <c r="B7" s="807"/>
      <c r="C7" s="807"/>
      <c r="D7" s="807"/>
      <c r="E7" s="807"/>
      <c r="F7" s="807"/>
      <c r="G7" s="807"/>
      <c r="H7" s="807"/>
    </row>
    <row r="8" spans="1:8" x14ac:dyDescent="0.25">
      <c r="A8" s="805" t="str">
        <f>"At "&amp;Inputs!B3&amp;""</f>
        <v>At March 31, 2012</v>
      </c>
      <c r="B8" s="805"/>
      <c r="C8" s="805"/>
      <c r="D8" s="805"/>
      <c r="E8" s="805"/>
      <c r="F8" s="805"/>
      <c r="G8" s="805"/>
      <c r="H8" s="805"/>
    </row>
    <row r="9" spans="1:8" x14ac:dyDescent="0.25">
      <c r="A9" s="301"/>
      <c r="B9" s="6"/>
      <c r="C9" s="78"/>
      <c r="D9" s="6"/>
      <c r="E9" s="78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78"/>
      <c r="F11" s="6"/>
      <c r="G11" s="78"/>
      <c r="H11" s="6"/>
    </row>
    <row r="12" spans="1:8" x14ac:dyDescent="0.25">
      <c r="A12" s="301"/>
      <c r="B12" s="379"/>
      <c r="D12" s="273"/>
      <c r="E12" s="268"/>
      <c r="F12" s="273"/>
      <c r="G12" s="268"/>
      <c r="H12" s="273"/>
    </row>
    <row r="13" spans="1:8" x14ac:dyDescent="0.25">
      <c r="A13" s="301"/>
      <c r="B13" s="6"/>
      <c r="C13" s="78"/>
      <c r="D13" s="269" t="s">
        <v>239</v>
      </c>
      <c r="E13" s="268"/>
      <c r="F13" s="269" t="s">
        <v>261</v>
      </c>
      <c r="G13" s="268"/>
      <c r="H13" s="269" t="s">
        <v>151</v>
      </c>
    </row>
    <row r="14" spans="1:8" x14ac:dyDescent="0.25">
      <c r="A14" s="301"/>
      <c r="B14" s="6"/>
      <c r="C14" s="78"/>
      <c r="D14" s="269" t="s">
        <v>238</v>
      </c>
      <c r="E14" s="268"/>
      <c r="F14" s="269" t="s">
        <v>238</v>
      </c>
      <c r="G14" s="268"/>
      <c r="H14" s="269" t="s">
        <v>237</v>
      </c>
    </row>
    <row r="15" spans="1:8" x14ac:dyDescent="0.25">
      <c r="A15" s="301"/>
      <c r="B15" s="6" t="s">
        <v>291</v>
      </c>
      <c r="C15" s="78"/>
      <c r="D15" s="269" t="s">
        <v>213</v>
      </c>
      <c r="E15" s="268"/>
      <c r="F15" s="269" t="s">
        <v>213</v>
      </c>
      <c r="G15" s="268"/>
      <c r="H15" s="269" t="s">
        <v>213</v>
      </c>
    </row>
    <row r="16" spans="1:8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</row>
    <row r="17" spans="1:10" x14ac:dyDescent="0.25">
      <c r="A17" s="301"/>
      <c r="B17" s="6"/>
      <c r="C17" s="78"/>
      <c r="D17" s="6"/>
      <c r="E17" s="78"/>
      <c r="F17" s="6"/>
      <c r="G17" s="78"/>
      <c r="H17" s="6" t="s">
        <v>35</v>
      </c>
    </row>
    <row r="18" spans="1:10" ht="21" customHeight="1" x14ac:dyDescent="0.25">
      <c r="A18" s="304">
        <f>1</f>
        <v>1</v>
      </c>
      <c r="B18" s="14" t="s">
        <v>387</v>
      </c>
      <c r="C18" s="29"/>
      <c r="D18" s="331">
        <f>'EX 6'!K28</f>
        <v>11630274388</v>
      </c>
      <c r="E18" s="39"/>
      <c r="F18" s="329">
        <f>'EX 6'!M28</f>
        <v>1659314530</v>
      </c>
      <c r="G18" s="39"/>
      <c r="H18" s="119">
        <f>D18+F18</f>
        <v>13289588918</v>
      </c>
    </row>
    <row r="19" spans="1:10" ht="13.5" customHeight="1" x14ac:dyDescent="0.25">
      <c r="A19" s="301"/>
      <c r="B19" s="1"/>
      <c r="C19" s="29"/>
      <c r="D19" s="89"/>
      <c r="E19" s="3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293</v>
      </c>
      <c r="C20" s="29"/>
      <c r="D20" s="89"/>
      <c r="E20" s="3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320</v>
      </c>
      <c r="C21" s="29"/>
      <c r="D21" s="332">
        <f>'EX 6'!K39</f>
        <v>5151380315</v>
      </c>
      <c r="E21" s="39"/>
      <c r="F21" s="330">
        <f>'EX 6'!M39</f>
        <v>758425763</v>
      </c>
      <c r="G21" s="39"/>
      <c r="H21" s="89">
        <f>D21+F21</f>
        <v>5909806078</v>
      </c>
    </row>
    <row r="22" spans="1:10" ht="13.5" customHeight="1" x14ac:dyDescent="0.25">
      <c r="A22" s="304"/>
      <c r="B22" s="1"/>
      <c r="C22" s="29"/>
      <c r="D22" s="89"/>
      <c r="E22" s="3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321</v>
      </c>
      <c r="C23" s="29"/>
      <c r="D23" s="305">
        <f>+D18-D21</f>
        <v>6478894073</v>
      </c>
      <c r="E23" s="39"/>
      <c r="F23" s="305">
        <f>+F18-F21</f>
        <v>900888767</v>
      </c>
      <c r="G23" s="39"/>
      <c r="H23" s="305">
        <f>+H18-H21</f>
        <v>7379782840</v>
      </c>
    </row>
    <row r="24" spans="1:10" ht="13.5" customHeight="1" x14ac:dyDescent="0.25">
      <c r="A24" s="304"/>
      <c r="B24" s="1"/>
      <c r="C24" s="29"/>
      <c r="D24" s="89"/>
      <c r="E24" s="3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293</v>
      </c>
      <c r="C25" s="29"/>
      <c r="D25" s="89"/>
      <c r="E25" s="3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322</v>
      </c>
      <c r="C26" s="29"/>
      <c r="D26" s="89">
        <f>'SuppSch-Ex 3(Page1,2)'!D26</f>
        <v>2936189</v>
      </c>
      <c r="E26" s="39"/>
      <c r="F26" s="89">
        <f>'SuppSch-Ex 3(Page1,2)'!N26</f>
        <v>211698</v>
      </c>
      <c r="G26" s="39"/>
      <c r="H26" s="89">
        <f>D26+F26</f>
        <v>3147887</v>
      </c>
      <c r="J26" s="377"/>
    </row>
    <row r="27" spans="1:10" ht="21" customHeight="1" x14ac:dyDescent="0.25">
      <c r="A27" s="304">
        <f>1+A26</f>
        <v>7</v>
      </c>
      <c r="B27" s="1" t="s">
        <v>323</v>
      </c>
      <c r="C27" s="29"/>
      <c r="D27" s="89">
        <f>'SuppSch-Ex 3(Page1,2)'!D27</f>
        <v>439643557</v>
      </c>
      <c r="E27" s="265"/>
      <c r="F27" s="89">
        <f>'SuppSch-Ex 3(Page1,2)'!N27</f>
        <v>62552930</v>
      </c>
      <c r="G27" s="265"/>
      <c r="H27" s="280">
        <f>D27+F27</f>
        <v>502196487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'SuppSch-Ex 3(Page1,2)'!D28</f>
        <v>46378395</v>
      </c>
      <c r="E28" s="265"/>
      <c r="F28" s="89">
        <f>'SuppSch-Ex 3(Page1,2)'!N28</f>
        <v>7207891</v>
      </c>
      <c r="G28" s="265"/>
      <c r="H28" s="265">
        <f>9354776-4464146</f>
        <v>4890630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'SuppSch-Ex 3(Page1,2)'!D29</f>
        <v>3062358</v>
      </c>
      <c r="E29" s="39"/>
      <c r="F29" s="89">
        <f>'SuppSch-Ex 3(Page1,2)'!N29</f>
        <v>475936</v>
      </c>
      <c r="G29" s="39"/>
      <c r="H29" s="39">
        <v>-2254925</v>
      </c>
      <c r="J29" s="306"/>
    </row>
    <row r="30" spans="1:10" ht="21" customHeight="1" x14ac:dyDescent="0.25">
      <c r="A30" s="304">
        <f>1+A29</f>
        <v>10</v>
      </c>
      <c r="B30" s="14" t="s">
        <v>49</v>
      </c>
      <c r="C30" s="29"/>
      <c r="D30" s="89">
        <f>'SuppSch-Ex 3(Page1,2)'!D30</f>
        <v>86299724</v>
      </c>
      <c r="E30" s="39"/>
      <c r="F30" s="89">
        <f>'SuppSch-Ex 3(Page1,2)'!N30</f>
        <v>14408015</v>
      </c>
      <c r="G30" s="39"/>
      <c r="H30" s="280">
        <f>D30+F30</f>
        <v>100707739</v>
      </c>
    </row>
    <row r="31" spans="1:10" ht="12" customHeight="1" x14ac:dyDescent="0.25">
      <c r="A31" s="304"/>
      <c r="B31" s="1"/>
      <c r="C31" s="29"/>
      <c r="D31" s="39"/>
      <c r="E31" s="3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324</v>
      </c>
      <c r="C32" s="29"/>
      <c r="D32" s="305">
        <f>SUM(D26:D31)</f>
        <v>578320223</v>
      </c>
      <c r="E32" s="39"/>
      <c r="F32" s="305">
        <f>SUM(F26:F31)</f>
        <v>84856470</v>
      </c>
      <c r="G32" s="39"/>
      <c r="H32" s="305">
        <f>SUM(H26:H31)</f>
        <v>608687818</v>
      </c>
    </row>
    <row r="33" spans="1:9" ht="15" customHeight="1" x14ac:dyDescent="0.25">
      <c r="A33" s="301"/>
      <c r="B33" s="1"/>
      <c r="C33" s="29"/>
      <c r="D33" s="89"/>
      <c r="E33" s="39"/>
      <c r="F33" s="89"/>
      <c r="G33" s="39"/>
      <c r="H33" s="89"/>
    </row>
    <row r="34" spans="1:9" ht="21" customHeight="1" x14ac:dyDescent="0.25">
      <c r="A34" s="301">
        <f>1+A32</f>
        <v>12</v>
      </c>
      <c r="B34" s="1" t="s">
        <v>292</v>
      </c>
      <c r="C34" s="29"/>
      <c r="D34" s="89"/>
      <c r="E34" s="39"/>
      <c r="F34" s="89"/>
      <c r="G34" s="39"/>
      <c r="H34" s="89"/>
    </row>
    <row r="35" spans="1:9" ht="21" customHeight="1" x14ac:dyDescent="0.25">
      <c r="A35" s="304">
        <f>1+A34</f>
        <v>13</v>
      </c>
      <c r="B35" s="14" t="s">
        <v>50</v>
      </c>
      <c r="C35" s="29"/>
      <c r="D35" s="89">
        <f>'SuppSch-Ex 3(Page1,2)'!D37</f>
        <v>115098215</v>
      </c>
      <c r="E35" s="39"/>
      <c r="F35" s="89">
        <f>'SuppSch-Ex 3(Page1,2)'!N37</f>
        <v>17615722</v>
      </c>
      <c r="G35" s="39"/>
      <c r="H35" s="89">
        <f>33124214+52838865</f>
        <v>85963079</v>
      </c>
    </row>
    <row r="36" spans="1:9" ht="21" customHeight="1" x14ac:dyDescent="0.25">
      <c r="A36" s="304">
        <f>1+A35</f>
        <v>14</v>
      </c>
      <c r="B36" s="14" t="s">
        <v>51</v>
      </c>
      <c r="C36" s="29"/>
      <c r="D36" s="89">
        <f>'SuppSch-Ex 3(Page1,2)'!D38</f>
        <v>6567467</v>
      </c>
      <c r="E36" s="39"/>
      <c r="F36" s="89">
        <f>'SuppSch-Ex 3(Page1,2)'!N38</f>
        <v>759209</v>
      </c>
      <c r="G36" s="39"/>
      <c r="H36" s="89">
        <v>1664279</v>
      </c>
    </row>
    <row r="37" spans="1:9" ht="21" customHeight="1" x14ac:dyDescent="0.25">
      <c r="A37" s="304">
        <f>1+A36</f>
        <v>15</v>
      </c>
      <c r="B37" s="277" t="s">
        <v>264</v>
      </c>
      <c r="C37" s="29"/>
      <c r="D37" s="89">
        <f>'SuppSch-Ex 3(Page1,2)'!D39</f>
        <v>415671</v>
      </c>
      <c r="E37" s="39"/>
      <c r="F37" s="89">
        <f>'SuppSch-Ex 3(Page1,2)'!N39</f>
        <v>64601</v>
      </c>
      <c r="G37" s="39"/>
      <c r="H37" s="89">
        <v>223085</v>
      </c>
      <c r="I37" s="334"/>
    </row>
    <row r="38" spans="1:9" ht="21" customHeight="1" x14ac:dyDescent="0.25">
      <c r="A38" s="304">
        <f>1+A37</f>
        <v>16</v>
      </c>
      <c r="B38" s="14" t="s">
        <v>336</v>
      </c>
      <c r="C38" s="29"/>
      <c r="D38" s="89">
        <f>'SuppSch-Ex 3(Page1,2)'!D40</f>
        <v>96090910</v>
      </c>
      <c r="E38" s="39"/>
      <c r="F38" s="89">
        <f>'SuppSch-Ex 3(Page1,2)'!N40</f>
        <v>7976529</v>
      </c>
      <c r="G38" s="39"/>
      <c r="H38" s="39">
        <f>D38+F38</f>
        <v>104067439</v>
      </c>
    </row>
    <row r="39" spans="1:9" ht="13.5" customHeight="1" x14ac:dyDescent="0.25">
      <c r="A39" s="304"/>
      <c r="B39" s="1"/>
      <c r="C39" s="29"/>
      <c r="D39" s="39"/>
      <c r="E39" s="39"/>
      <c r="F39" s="39"/>
      <c r="G39" s="39"/>
      <c r="H39" s="39"/>
    </row>
    <row r="40" spans="1:9" ht="21" customHeight="1" x14ac:dyDescent="0.25">
      <c r="A40" s="304">
        <f>1+A38</f>
        <v>17</v>
      </c>
      <c r="B40" s="45" t="s">
        <v>327</v>
      </c>
      <c r="C40" s="29"/>
      <c r="D40" s="305">
        <f>SUM(D35:D38)</f>
        <v>218172263</v>
      </c>
      <c r="E40" s="39"/>
      <c r="F40" s="305">
        <f>SUM(F35:F38)</f>
        <v>26416061</v>
      </c>
      <c r="G40" s="39"/>
      <c r="H40" s="305">
        <f>SUM(H35:H38)</f>
        <v>191917882</v>
      </c>
    </row>
    <row r="41" spans="1:9" ht="13.5" customHeight="1" x14ac:dyDescent="0.25">
      <c r="A41" s="304"/>
      <c r="B41" s="1"/>
      <c r="C41" s="29"/>
      <c r="D41" s="89"/>
      <c r="E41" s="39"/>
      <c r="F41" s="89"/>
      <c r="G41" s="39"/>
      <c r="H41" s="89"/>
    </row>
    <row r="42" spans="1:9" ht="21" customHeight="1" thickBot="1" x14ac:dyDescent="0.3">
      <c r="A42" s="304">
        <f>1+A40</f>
        <v>18</v>
      </c>
      <c r="B42" s="14" t="s">
        <v>386</v>
      </c>
      <c r="C42" s="29"/>
      <c r="D42" s="125">
        <f>D23-D32+D40</f>
        <v>6118746113</v>
      </c>
      <c r="E42" s="111"/>
      <c r="F42" s="125">
        <f>F23-F32+F40</f>
        <v>842448358</v>
      </c>
      <c r="G42" s="111"/>
      <c r="H42" s="125">
        <f>H23-H32+H40</f>
        <v>6963012904</v>
      </c>
    </row>
    <row r="43" spans="1:9" ht="13.5" customHeight="1" thickTop="1" x14ac:dyDescent="0.25">
      <c r="A43" s="304"/>
      <c r="B43" s="1"/>
      <c r="C43" s="29"/>
      <c r="D43" s="89"/>
      <c r="E43" s="39"/>
      <c r="F43" s="89"/>
      <c r="G43" s="39"/>
      <c r="H43" s="89"/>
    </row>
    <row r="44" spans="1:9" ht="15.75" customHeight="1" x14ac:dyDescent="0.25">
      <c r="A44" s="304"/>
      <c r="C44" s="29"/>
      <c r="D44" s="89"/>
      <c r="E44" s="39"/>
      <c r="F44" s="89"/>
      <c r="G44" s="39"/>
      <c r="H44" s="89"/>
    </row>
    <row r="45" spans="1:9" ht="18.95" customHeight="1" x14ac:dyDescent="0.25">
      <c r="A45" s="299"/>
      <c r="C45" s="299"/>
      <c r="E45" s="299"/>
      <c r="G45" s="299"/>
    </row>
    <row r="46" spans="1:9" ht="18.95" customHeight="1" x14ac:dyDescent="0.25">
      <c r="A46" s="310" t="s">
        <v>290</v>
      </c>
      <c r="B46" s="14" t="s">
        <v>92</v>
      </c>
      <c r="C46" s="299"/>
      <c r="E46" s="299"/>
      <c r="G46" s="299"/>
    </row>
    <row r="47" spans="1:9" ht="18.95" customHeight="1" x14ac:dyDescent="0.25">
      <c r="A47" s="311" t="s">
        <v>337</v>
      </c>
      <c r="B47" s="2" t="s">
        <v>326</v>
      </c>
      <c r="C47" s="299"/>
      <c r="E47" s="299"/>
      <c r="G47" s="299"/>
    </row>
    <row r="48" spans="1:9" ht="18.95" customHeight="1" x14ac:dyDescent="0.25">
      <c r="A48" s="311" t="s">
        <v>354</v>
      </c>
      <c r="B48" s="424" t="s">
        <v>367</v>
      </c>
      <c r="C48" s="299"/>
      <c r="E48" s="299"/>
      <c r="G48" s="299"/>
    </row>
  </sheetData>
  <mergeCells count="3">
    <mergeCell ref="A5:H5"/>
    <mergeCell ref="A7:H7"/>
    <mergeCell ref="A8:H8"/>
  </mergeCells>
  <phoneticPr fontId="5" type="noConversion"/>
  <printOptions horizontalCentered="1"/>
  <pageMargins left="1" right="0.75" top="1" bottom="1" header="0.7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44</vt:i4>
      </vt:variant>
    </vt:vector>
  </HeadingPairs>
  <TitlesOfParts>
    <vt:vector size="97" baseType="lpstr">
      <vt:lpstr>Inputs</vt:lpstr>
      <vt:lpstr>Ex 1</vt:lpstr>
      <vt:lpstr>Ex 2</vt:lpstr>
      <vt:lpstr>Ex 3</vt:lpstr>
      <vt:lpstr>SuppSch-Ex 3(Page1,2)</vt:lpstr>
      <vt:lpstr>SuppSch-Ex 3(Page3)</vt:lpstr>
      <vt:lpstr>Ex 4 (Page1)</vt:lpstr>
      <vt:lpstr>SuppSch-Ex 4 (Page2)</vt:lpstr>
      <vt:lpstr>Ex 5</vt:lpstr>
      <vt:lpstr>EX 6</vt:lpstr>
      <vt:lpstr>Ex 7</vt:lpstr>
      <vt:lpstr>Ex 8</vt:lpstr>
      <vt:lpstr>Ex 9</vt:lpstr>
      <vt:lpstr>1.00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1.09 Updated</vt:lpstr>
      <vt:lpstr>1.10</vt:lpstr>
      <vt:lpstr>1.11</vt:lpstr>
      <vt:lpstr>1.12</vt:lpstr>
      <vt:lpstr>1.13</vt:lpstr>
      <vt:lpstr>1.12 Revised</vt:lpstr>
      <vt:lpstr>113 Revised</vt:lpstr>
      <vt:lpstr>1.14</vt:lpstr>
      <vt:lpstr>1.15</vt:lpstr>
      <vt:lpstr>1.15 Revised</vt:lpstr>
      <vt:lpstr>1.16</vt:lpstr>
      <vt:lpstr>1.17</vt:lpstr>
      <vt:lpstr>1.17 Revised</vt:lpstr>
      <vt:lpstr>1.18</vt:lpstr>
      <vt:lpstr>1.18 Revised</vt:lpstr>
      <vt:lpstr>1.19</vt:lpstr>
      <vt:lpstr>1.20</vt:lpstr>
      <vt:lpstr>1.21</vt:lpstr>
      <vt:lpstr>1.22</vt:lpstr>
      <vt:lpstr>1.23</vt:lpstr>
      <vt:lpstr>1.23 Revised</vt:lpstr>
      <vt:lpstr>1.24-1.28</vt:lpstr>
      <vt:lpstr>1.29</vt:lpstr>
      <vt:lpstr>1.30</vt:lpstr>
      <vt:lpstr>1.31</vt:lpstr>
      <vt:lpstr>1.32</vt:lpstr>
      <vt:lpstr>1.33</vt:lpstr>
      <vt:lpstr>1.34</vt:lpstr>
      <vt:lpstr>1.35 New</vt:lpstr>
      <vt:lpstr>Allocators</vt:lpstr>
      <vt:lpstr>'1.00'!Print_Area</vt:lpstr>
      <vt:lpstr>'1.01'!Print_Area</vt:lpstr>
      <vt:lpstr>'1.02'!Print_Area</vt:lpstr>
      <vt:lpstr>'1.03'!Print_Area</vt:lpstr>
      <vt:lpstr>'1.04'!Print_Area</vt:lpstr>
      <vt:lpstr>'1.05'!Print_Area</vt:lpstr>
      <vt:lpstr>'1.06'!Print_Area</vt:lpstr>
      <vt:lpstr>'1.07'!Print_Area</vt:lpstr>
      <vt:lpstr>'1.08'!Print_Area</vt:lpstr>
      <vt:lpstr>'1.09'!Print_Area</vt:lpstr>
      <vt:lpstr>'1.09 Updated'!Print_Area</vt:lpstr>
      <vt:lpstr>'1.10'!Print_Area</vt:lpstr>
      <vt:lpstr>'1.11'!Print_Area</vt:lpstr>
      <vt:lpstr>'1.12'!Print_Area</vt:lpstr>
      <vt:lpstr>'1.12 Revised'!Print_Area</vt:lpstr>
      <vt:lpstr>'1.13'!Print_Area</vt:lpstr>
      <vt:lpstr>'1.14'!Print_Area</vt:lpstr>
      <vt:lpstr>'1.15'!Print_Area</vt:lpstr>
      <vt:lpstr>'1.15 Revised'!Print_Area</vt:lpstr>
      <vt:lpstr>'1.16'!Print_Area</vt:lpstr>
      <vt:lpstr>'1.17'!Print_Area</vt:lpstr>
      <vt:lpstr>'1.17 Revised'!Print_Area</vt:lpstr>
      <vt:lpstr>'1.18'!Print_Area</vt:lpstr>
      <vt:lpstr>'1.18 Revised'!Print_Area</vt:lpstr>
      <vt:lpstr>'1.19'!Print_Area</vt:lpstr>
      <vt:lpstr>'1.20'!Print_Area</vt:lpstr>
      <vt:lpstr>'1.21'!Print_Area</vt:lpstr>
      <vt:lpstr>'1.22'!Print_Area</vt:lpstr>
      <vt:lpstr>'1.23'!Print_Area</vt:lpstr>
      <vt:lpstr>'1.23 Revised'!Print_Area</vt:lpstr>
      <vt:lpstr>'1.24-1.28'!Print_Area</vt:lpstr>
      <vt:lpstr>'1.29'!Print_Area</vt:lpstr>
      <vt:lpstr>'1.30'!Print_Area</vt:lpstr>
      <vt:lpstr>'1.31'!Print_Area</vt:lpstr>
      <vt:lpstr>'1.32'!Print_Area</vt:lpstr>
      <vt:lpstr>'1.33'!Print_Area</vt:lpstr>
      <vt:lpstr>'1.34'!Print_Area</vt:lpstr>
      <vt:lpstr>'1.35 New'!Print_Area</vt:lpstr>
      <vt:lpstr>Allocators!Print_Area</vt:lpstr>
      <vt:lpstr>'Ex 2'!Print_Area</vt:lpstr>
      <vt:lpstr>'Ex 4 (Page1)'!Print_Area</vt:lpstr>
      <vt:lpstr>'SuppSch-Ex 3(Page1,2)'!Print_Area</vt:lpstr>
      <vt:lpstr>'SuppSch-Ex 3(Page3)'!Print_Area</vt:lpstr>
      <vt:lpstr>'SuppSch-Ex 4 (Page2)'!Print_Area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2010-03-05T15:48:03Z</dcterms:created>
  <dcterms:modified xsi:type="dcterms:W3CDTF">2012-09-14T19:35:07Z</dcterms:modified>
</cp:coreProperties>
</file>