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480" yWindow="75" windowWidth="17490" windowHeight="11010"/>
  </bookViews>
  <sheets>
    <sheet name="LKE Unconsolidated" sheetId="4" r:id="rId1"/>
  </sheets>
  <definedNames>
    <definedName name="_xlnm.Print_Area" localSheetId="0">'LKE Unconsolidated'!$A$1:$AA$42</definedName>
  </definedNames>
  <calcPr calcId="145621" calcMode="manual"/>
</workbook>
</file>

<file path=xl/calcChain.xml><?xml version="1.0" encoding="utf-8"?>
<calcChain xmlns="http://schemas.openxmlformats.org/spreadsheetml/2006/main">
  <c r="Z34" i="4" l="1"/>
  <c r="Y34" i="4"/>
  <c r="X34" i="4"/>
  <c r="U34" i="4"/>
  <c r="T34" i="4"/>
  <c r="Q34" i="4"/>
  <c r="P34" i="4"/>
  <c r="N34" i="4"/>
  <c r="I33" i="4"/>
  <c r="J33" i="4" s="1"/>
  <c r="H33" i="4"/>
  <c r="D33" i="4"/>
  <c r="C33" i="4"/>
  <c r="I32" i="4"/>
  <c r="J32" i="4" s="1"/>
  <c r="H32" i="4"/>
  <c r="D32" i="4"/>
  <c r="C32" i="4"/>
  <c r="I31" i="4"/>
  <c r="J31" i="4" s="1"/>
  <c r="H31" i="4"/>
  <c r="D31" i="4"/>
  <c r="C31" i="4"/>
  <c r="I30" i="4"/>
  <c r="J30" i="4" s="1"/>
  <c r="H30" i="4"/>
  <c r="D30" i="4"/>
  <c r="C30" i="4"/>
  <c r="I29" i="4"/>
  <c r="H29" i="4"/>
  <c r="D29" i="4"/>
  <c r="C29" i="4"/>
  <c r="I28" i="4"/>
  <c r="J28" i="4" s="1"/>
  <c r="H28" i="4"/>
  <c r="D28" i="4"/>
  <c r="C28" i="4"/>
  <c r="I27" i="4"/>
  <c r="J27" i="4" s="1"/>
  <c r="H27" i="4"/>
  <c r="D27" i="4"/>
  <c r="C27" i="4"/>
  <c r="I26" i="4"/>
  <c r="J26" i="4" s="1"/>
  <c r="H26" i="4"/>
  <c r="D26" i="4"/>
  <c r="C26" i="4"/>
  <c r="I25" i="4"/>
  <c r="H25" i="4"/>
  <c r="D25" i="4"/>
  <c r="C25" i="4"/>
  <c r="I24" i="4"/>
  <c r="J24" i="4" s="1"/>
  <c r="H24" i="4"/>
  <c r="D24" i="4"/>
  <c r="C24" i="4"/>
  <c r="I23" i="4"/>
  <c r="H23" i="4"/>
  <c r="D23" i="4"/>
  <c r="C23" i="4"/>
  <c r="I22" i="4"/>
  <c r="J22" i="4" s="1"/>
  <c r="H22" i="4"/>
  <c r="D22" i="4"/>
  <c r="C22" i="4"/>
  <c r="I21" i="4"/>
  <c r="H21" i="4"/>
  <c r="D21" i="4"/>
  <c r="C21" i="4"/>
  <c r="I20" i="4"/>
  <c r="J20" i="4" s="1"/>
  <c r="H20" i="4"/>
  <c r="D20" i="4"/>
  <c r="C20" i="4"/>
  <c r="I19" i="4"/>
  <c r="H19" i="4"/>
  <c r="D19" i="4"/>
  <c r="C19" i="4"/>
  <c r="V18" i="4"/>
  <c r="I18" i="4" s="1"/>
  <c r="R18" i="4"/>
  <c r="H18" i="4"/>
  <c r="D18" i="4"/>
  <c r="C18" i="4"/>
  <c r="V17" i="4"/>
  <c r="I17" i="4" s="1"/>
  <c r="R17" i="4"/>
  <c r="D17" i="4" s="1"/>
  <c r="E17" i="4" s="1"/>
  <c r="H17" i="4"/>
  <c r="C17" i="4"/>
  <c r="AA16" i="4"/>
  <c r="V16" i="4"/>
  <c r="V34" i="4" s="1"/>
  <c r="R16" i="4"/>
  <c r="H16" i="4"/>
  <c r="C16" i="4"/>
  <c r="AA15" i="4"/>
  <c r="R15" i="4"/>
  <c r="I15" i="4"/>
  <c r="H15" i="4"/>
  <c r="C15" i="4"/>
  <c r="AA14" i="4"/>
  <c r="R14" i="4"/>
  <c r="D14" i="4" s="1"/>
  <c r="E14" i="4" s="1"/>
  <c r="I14" i="4"/>
  <c r="J14" i="4" s="1"/>
  <c r="H14" i="4"/>
  <c r="C14" i="4"/>
  <c r="AA13" i="4"/>
  <c r="I13" i="4" s="1"/>
  <c r="J13" i="4" s="1"/>
  <c r="R13" i="4"/>
  <c r="D13" i="4" s="1"/>
  <c r="E13" i="4" s="1"/>
  <c r="H13" i="4"/>
  <c r="C13" i="4"/>
  <c r="AA12" i="4"/>
  <c r="I12" i="4" s="1"/>
  <c r="J12" i="4" s="1"/>
  <c r="R12" i="4"/>
  <c r="H12" i="4"/>
  <c r="C12" i="4"/>
  <c r="AA11" i="4"/>
  <c r="R11" i="4"/>
  <c r="I11" i="4"/>
  <c r="H11" i="4"/>
  <c r="C11" i="4"/>
  <c r="AA10" i="4"/>
  <c r="R10" i="4"/>
  <c r="D10" i="4" s="1"/>
  <c r="E10" i="4" s="1"/>
  <c r="I10" i="4"/>
  <c r="J10" i="4" s="1"/>
  <c r="H10" i="4"/>
  <c r="C10" i="4"/>
  <c r="AA9" i="4"/>
  <c r="I9" i="4" s="1"/>
  <c r="J9" i="4" s="1"/>
  <c r="R9" i="4"/>
  <c r="D9" i="4" s="1"/>
  <c r="E9" i="4" s="1"/>
  <c r="H9" i="4"/>
  <c r="C9" i="4"/>
  <c r="AA8" i="4"/>
  <c r="I8" i="4" s="1"/>
  <c r="J8" i="4" s="1"/>
  <c r="R8" i="4"/>
  <c r="D8" i="4" s="1"/>
  <c r="E8" i="4" s="1"/>
  <c r="H8" i="4"/>
  <c r="C8" i="4"/>
  <c r="AA7" i="4"/>
  <c r="R7" i="4"/>
  <c r="D7" i="4" s="1"/>
  <c r="E7" i="4" s="1"/>
  <c r="H7" i="4"/>
  <c r="C7" i="4"/>
  <c r="AA34" i="4" l="1"/>
  <c r="J11" i="4"/>
  <c r="D11" i="4"/>
  <c r="E11" i="4" s="1"/>
  <c r="D15" i="4"/>
  <c r="E15" i="4" s="1"/>
  <c r="I16" i="4"/>
  <c r="J16" i="4" s="1"/>
  <c r="J17" i="4"/>
  <c r="J19" i="4"/>
  <c r="J21" i="4"/>
  <c r="J23" i="4"/>
  <c r="J25" i="4"/>
  <c r="J29" i="4"/>
  <c r="J15" i="4"/>
  <c r="D12" i="4"/>
  <c r="E12" i="4" s="1"/>
  <c r="D16" i="4"/>
  <c r="E16" i="4" s="1"/>
  <c r="J18" i="4"/>
  <c r="R34" i="4"/>
  <c r="I7" i="4"/>
  <c r="J7" i="4" s="1"/>
</calcChain>
</file>

<file path=xl/sharedStrings.xml><?xml version="1.0" encoding="utf-8"?>
<sst xmlns="http://schemas.openxmlformats.org/spreadsheetml/2006/main" count="50" uniqueCount="30">
  <si>
    <t>Cost of Debt</t>
  </si>
  <si>
    <t>Common Equity</t>
  </si>
  <si>
    <t>Ending Bal.</t>
  </si>
  <si>
    <t>Avg. Bal.</t>
  </si>
  <si>
    <t>Interest Exp.</t>
  </si>
  <si>
    <t>Capitalization Amounts</t>
  </si>
  <si>
    <t>LG&amp;E and KU Energy (Unconsolidated)</t>
  </si>
  <si>
    <t>Total</t>
  </si>
  <si>
    <t>Notes:</t>
  </si>
  <si>
    <t>ST- Money Pool Interest</t>
  </si>
  <si>
    <t>Borrowed From LPO</t>
  </si>
  <si>
    <t>Borrowed From LPD</t>
  </si>
  <si>
    <t>Short-Term Debt</t>
  </si>
  <si>
    <t>Long-Term Debt</t>
  </si>
  <si>
    <t>Avg. Balance</t>
  </si>
  <si>
    <t>Int. Exp.</t>
  </si>
  <si>
    <t>Commitment Fee</t>
  </si>
  <si>
    <t>LT- Note Payable</t>
  </si>
  <si>
    <t>Short-Term Fidelia Loans</t>
  </si>
  <si>
    <t>Servco</t>
  </si>
  <si>
    <t>LKC</t>
  </si>
  <si>
    <t>$35.2MM</t>
  </si>
  <si>
    <t>$128MM</t>
  </si>
  <si>
    <t>$575MM</t>
  </si>
  <si>
    <t>N/A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</si>
  <si>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LG&amp;E and KU Energy, LLC was acquired by PPL in November 2010.  Short-term interest expense was higher in November 2010 due to a short-term loan used </t>
    </r>
  </si>
  <si>
    <t>to replace the outstanding long-term loans between LKE and Fidelia for a portion of the month.  The short-term loan was replaced by long-term debt when</t>
  </si>
  <si>
    <t>LG&amp;E and KU Energy, LLC issued Senior Notes on Nov. 12, 2010.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</si>
  <si>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Short-term interest expense in 2011 and 2012 related to Overnight Loan Facility with PPL that had outstanding balance during the month but not at month-end</t>
    </r>
  </si>
  <si>
    <t>and money-pool interest.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</si>
</sst>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17" fontId="0" fillId="0" borderId="0" xfId="0" applyNumberFormat="1"/>
    <xf numFmtId="0" fontId="0" fillId="0" borderId="3" xfId="0" applyBorder="1"/>
    <xf numFmtId="0" fontId="0" fillId="0" borderId="1" xfId="0" applyBorder="1"/>
    <xf numFmtId="0" fontId="0" fillId="0" borderId="10" xfId="0" applyBorder="1"/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0" xfId="0" applyFont="1"/>
    <xf numFmtId="164" fontId="0" fillId="0" borderId="2" xfId="1" applyNumberFormat="1" applyFont="1" applyBorder="1"/>
    <xf numFmtId="164" fontId="0" fillId="0" borderId="0" xfId="1" applyNumberFormat="1" applyFont="1" applyBorder="1"/>
    <xf numFmtId="165" fontId="0" fillId="0" borderId="3" xfId="2" applyNumberFormat="1" applyFont="1" applyBorder="1"/>
    <xf numFmtId="164" fontId="0" fillId="0" borderId="10" xfId="1" applyNumberFormat="1" applyFont="1" applyBorder="1"/>
    <xf numFmtId="164" fontId="0" fillId="0" borderId="0" xfId="1" applyNumberFormat="1" applyFont="1" applyFill="1" applyBorder="1"/>
    <xf numFmtId="165" fontId="0" fillId="0" borderId="3" xfId="2" applyNumberFormat="1" applyFont="1" applyBorder="1" applyAlignment="1">
      <alignment horizontal="right"/>
    </xf>
    <xf numFmtId="164" fontId="0" fillId="0" borderId="4" xfId="1" applyNumberFormat="1" applyFont="1" applyBorder="1"/>
    <xf numFmtId="164" fontId="0" fillId="0" borderId="5" xfId="1" applyNumberFormat="1" applyFont="1" applyBorder="1"/>
    <xf numFmtId="165" fontId="0" fillId="0" borderId="6" xfId="2" applyNumberFormat="1" applyFont="1" applyBorder="1" applyAlignment="1">
      <alignment horizontal="right"/>
    </xf>
    <xf numFmtId="164" fontId="0" fillId="0" borderId="11" xfId="1" applyNumberFormat="1" applyFont="1" applyBorder="1"/>
    <xf numFmtId="164" fontId="0" fillId="0" borderId="0" xfId="0" applyNumberFormat="1"/>
    <xf numFmtId="0" fontId="3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164" fontId="0" fillId="0" borderId="0" xfId="1" applyNumberFormat="1" applyFont="1"/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0" fontId="0" fillId="0" borderId="3" xfId="2" applyNumberFormat="1" applyFont="1" applyBorder="1"/>
    <xf numFmtId="0" fontId="6" fillId="0" borderId="0" xfId="0" applyFont="1" applyAlignment="1">
      <alignment horizontal="left"/>
    </xf>
    <xf numFmtId="10" fontId="0" fillId="0" borderId="6" xfId="2" applyNumberFormat="1" applyFont="1" applyBorder="1"/>
    <xf numFmtId="164" fontId="0" fillId="0" borderId="1" xfId="1" applyNumberFormat="1" applyFont="1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43" fontId="0" fillId="0" borderId="0" xfId="0" applyNumberForma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2"/>
  <sheetViews>
    <sheetView tabSelected="1" zoomScaleNormal="100" workbookViewId="0">
      <selection activeCell="C2" sqref="C2"/>
    </sheetView>
  </sheetViews>
  <sheetFormatPr defaultRowHeight="15" x14ac:dyDescent="0.25"/>
  <cols>
    <col min="2" max="3" width="14.28515625" bestFit="1" customWidth="1"/>
    <col min="4" max="4" width="12.140625" bestFit="1" customWidth="1"/>
    <col min="5" max="5" width="13.28515625" customWidth="1"/>
    <col min="6" max="6" width="7.7109375" customWidth="1"/>
    <col min="7" max="9" width="14.28515625" bestFit="1" customWidth="1"/>
    <col min="10" max="10" width="13.28515625" customWidth="1"/>
    <col min="11" max="11" width="4.42578125" customWidth="1"/>
    <col min="12" max="12" width="15.140625" bestFit="1" customWidth="1"/>
    <col min="14" max="14" width="16.5703125" bestFit="1" customWidth="1"/>
    <col min="15" max="15" width="5.7109375" customWidth="1"/>
    <col min="16" max="16" width="18.85546875" bestFit="1" customWidth="1"/>
    <col min="17" max="17" width="18.7109375" bestFit="1" customWidth="1"/>
    <col min="18" max="18" width="9" bestFit="1" customWidth="1"/>
    <col min="19" max="19" width="4.140625" customWidth="1"/>
    <col min="20" max="22" width="9" bestFit="1" customWidth="1"/>
    <col min="23" max="23" width="3.7109375" customWidth="1"/>
    <col min="24" max="24" width="10.5703125" bestFit="1" customWidth="1"/>
    <col min="25" max="26" width="11.7109375" bestFit="1" customWidth="1"/>
    <col min="27" max="27" width="13.28515625" bestFit="1" customWidth="1"/>
    <col min="28" max="28" width="3.28515625" customWidth="1"/>
    <col min="29" max="29" width="8.140625" customWidth="1"/>
  </cols>
  <sheetData>
    <row r="1" spans="1:27" ht="18.75" x14ac:dyDescent="0.3">
      <c r="A1" s="5" t="s">
        <v>6</v>
      </c>
    </row>
    <row r="2" spans="1:27" x14ac:dyDescent="0.25">
      <c r="A2" t="s">
        <v>5</v>
      </c>
    </row>
    <row r="4" spans="1:27" x14ac:dyDescent="0.25">
      <c r="B4" s="35" t="s">
        <v>12</v>
      </c>
      <c r="C4" s="36"/>
      <c r="D4" s="36"/>
      <c r="E4" s="37"/>
      <c r="G4" s="35" t="s">
        <v>13</v>
      </c>
      <c r="H4" s="36"/>
      <c r="I4" s="36"/>
      <c r="J4" s="37"/>
      <c r="L4" s="3" t="s">
        <v>1</v>
      </c>
    </row>
    <row r="5" spans="1:27" x14ac:dyDescent="0.25">
      <c r="B5" s="6" t="s">
        <v>2</v>
      </c>
      <c r="C5" s="7" t="s">
        <v>3</v>
      </c>
      <c r="D5" s="7" t="s">
        <v>4</v>
      </c>
      <c r="E5" s="8" t="s">
        <v>0</v>
      </c>
      <c r="F5" s="9"/>
      <c r="G5" s="6" t="s">
        <v>2</v>
      </c>
      <c r="H5" s="7" t="s">
        <v>14</v>
      </c>
      <c r="I5" s="7" t="s">
        <v>15</v>
      </c>
      <c r="J5" s="8" t="s">
        <v>0</v>
      </c>
      <c r="L5" s="10" t="s">
        <v>2</v>
      </c>
      <c r="N5" s="3" t="s">
        <v>16</v>
      </c>
      <c r="P5" s="35" t="s">
        <v>9</v>
      </c>
      <c r="Q5" s="36"/>
      <c r="R5" s="37"/>
      <c r="T5" s="35" t="s">
        <v>17</v>
      </c>
      <c r="U5" s="36"/>
      <c r="V5" s="37"/>
      <c r="X5" s="35" t="s">
        <v>18</v>
      </c>
      <c r="Y5" s="36"/>
      <c r="Z5" s="36"/>
      <c r="AA5" s="37"/>
    </row>
    <row r="6" spans="1:27" x14ac:dyDescent="0.25">
      <c r="A6" s="1">
        <v>40148</v>
      </c>
      <c r="B6" s="12">
        <v>850806380</v>
      </c>
      <c r="C6" s="13"/>
      <c r="D6" s="13"/>
      <c r="E6" s="2"/>
      <c r="G6" s="12">
        <v>1605000000</v>
      </c>
      <c r="H6" s="13"/>
      <c r="I6" s="13"/>
      <c r="J6" s="2"/>
      <c r="L6" s="4"/>
      <c r="N6" s="4"/>
      <c r="P6" s="6" t="s">
        <v>10</v>
      </c>
      <c r="Q6" s="7" t="s">
        <v>11</v>
      </c>
      <c r="R6" s="23" t="s">
        <v>7</v>
      </c>
      <c r="S6" s="9"/>
      <c r="T6" s="6" t="s">
        <v>19</v>
      </c>
      <c r="U6" s="7" t="s">
        <v>20</v>
      </c>
      <c r="V6" s="23" t="s">
        <v>7</v>
      </c>
      <c r="X6" s="26" t="s">
        <v>21</v>
      </c>
      <c r="Y6" s="27" t="s">
        <v>22</v>
      </c>
      <c r="Z6" s="27" t="s">
        <v>23</v>
      </c>
      <c r="AA6" s="24" t="s">
        <v>7</v>
      </c>
    </row>
    <row r="7" spans="1:27" x14ac:dyDescent="0.25">
      <c r="A7" s="1">
        <v>40179</v>
      </c>
      <c r="B7" s="12">
        <v>808206380</v>
      </c>
      <c r="C7" s="13">
        <f>(B7+B6)/2</f>
        <v>829506380</v>
      </c>
      <c r="D7" s="13">
        <f>76474.72-N7+R7+AA7</f>
        <v>1076724.1000000001</v>
      </c>
      <c r="E7" s="14">
        <f>D7/C7*12</f>
        <v>1.5576359038974481E-2</v>
      </c>
      <c r="G7" s="12">
        <v>1655000000</v>
      </c>
      <c r="H7" s="13">
        <f>(G7+G6)/2</f>
        <v>1630000000</v>
      </c>
      <c r="I7" s="13">
        <f>5045080.72+N7-AA7</f>
        <v>4080600.6699999995</v>
      </c>
      <c r="J7" s="28">
        <f>I7/H7*12</f>
        <v>3.0041231926380363E-2</v>
      </c>
      <c r="L7" s="15">
        <v>2199154143.2799997</v>
      </c>
      <c r="N7" s="15">
        <v>8138.22</v>
      </c>
      <c r="P7" s="12">
        <v>18628.169999999998</v>
      </c>
      <c r="Q7" s="13">
        <v>17141.16</v>
      </c>
      <c r="R7" s="15">
        <f>SUM(P7:Q7)</f>
        <v>35769.33</v>
      </c>
      <c r="S7" s="25"/>
      <c r="T7" s="12"/>
      <c r="U7" s="13"/>
      <c r="V7" s="15"/>
      <c r="X7" s="12">
        <v>44726.39</v>
      </c>
      <c r="Y7" s="13">
        <v>162302.22</v>
      </c>
      <c r="Z7" s="13">
        <v>765589.66</v>
      </c>
      <c r="AA7" s="15">
        <f>SUM(X7:Z7)</f>
        <v>972618.27</v>
      </c>
    </row>
    <row r="8" spans="1:27" x14ac:dyDescent="0.25">
      <c r="A8" s="1">
        <v>40210</v>
      </c>
      <c r="B8" s="12">
        <v>767806380</v>
      </c>
      <c r="C8" s="13">
        <f t="shared" ref="C8:C33" si="0">(B8+B7)/2</f>
        <v>788006380</v>
      </c>
      <c r="D8" s="13">
        <f>27857.31-N8+R8+AA8</f>
        <v>917140.67</v>
      </c>
      <c r="E8" s="14">
        <f t="shared" ref="E8:E17" si="1">D8/C8*12</f>
        <v>1.3966496108825922E-2</v>
      </c>
      <c r="G8" s="12">
        <v>1655000000</v>
      </c>
      <c r="H8" s="13">
        <f t="shared" ref="H8:H33" si="2">(G8+G7)/2</f>
        <v>1655000000</v>
      </c>
      <c r="I8" s="13">
        <f>4840247.5+N8-AA8</f>
        <v>3983277.4799999995</v>
      </c>
      <c r="J8" s="28">
        <f t="shared" ref="J8:J33" si="3">I8/H8*12</f>
        <v>2.8881770247734136E-2</v>
      </c>
      <c r="L8" s="15">
        <v>2255374570.8300004</v>
      </c>
      <c r="N8" s="15">
        <v>15236.3</v>
      </c>
      <c r="P8" s="12">
        <v>16828.34</v>
      </c>
      <c r="Q8" s="13">
        <v>15485</v>
      </c>
      <c r="R8" s="15">
        <f t="shared" ref="R8:R18" si="4">SUM(P8:Q8)</f>
        <v>32313.34</v>
      </c>
      <c r="S8" s="25"/>
      <c r="T8" s="12"/>
      <c r="U8" s="13"/>
      <c r="V8" s="15"/>
      <c r="X8" s="12">
        <v>40443.01</v>
      </c>
      <c r="Y8" s="13">
        <v>146954.28</v>
      </c>
      <c r="Z8" s="13">
        <v>684809.03</v>
      </c>
      <c r="AA8" s="15">
        <f t="shared" ref="AA8:AA16" si="5">SUM(X8:Z8)</f>
        <v>872206.32000000007</v>
      </c>
    </row>
    <row r="9" spans="1:27" x14ac:dyDescent="0.25">
      <c r="A9" s="1">
        <v>40238</v>
      </c>
      <c r="B9" s="12">
        <v>739406380</v>
      </c>
      <c r="C9" s="13">
        <f t="shared" si="0"/>
        <v>753606380</v>
      </c>
      <c r="D9" s="13">
        <f>21662.76-N9+R9+AA9</f>
        <v>1006456.3500000001</v>
      </c>
      <c r="E9" s="14">
        <f t="shared" si="1"/>
        <v>1.6026239321381544E-2</v>
      </c>
      <c r="G9" s="12">
        <v>1655000000</v>
      </c>
      <c r="H9" s="13">
        <f t="shared" si="2"/>
        <v>1655000000</v>
      </c>
      <c r="I9" s="13">
        <f>5066499.22+N9-AA9</f>
        <v>4119275.7399999993</v>
      </c>
      <c r="J9" s="28">
        <f t="shared" si="3"/>
        <v>2.9867860350453166E-2</v>
      </c>
      <c r="L9" s="15">
        <v>2235549730.5199995</v>
      </c>
      <c r="N9" s="15">
        <v>18638.22</v>
      </c>
      <c r="P9" s="12">
        <v>19565.990000000002</v>
      </c>
      <c r="Q9" s="13">
        <v>18004.12</v>
      </c>
      <c r="R9" s="15">
        <f t="shared" si="4"/>
        <v>37570.11</v>
      </c>
      <c r="S9" s="25"/>
      <c r="T9" s="12"/>
      <c r="U9" s="13"/>
      <c r="V9" s="15"/>
      <c r="X9" s="12">
        <v>44792.78</v>
      </c>
      <c r="Y9" s="13">
        <v>162887.5</v>
      </c>
      <c r="Z9" s="13">
        <v>758181.42</v>
      </c>
      <c r="AA9" s="15">
        <f t="shared" si="5"/>
        <v>965861.70000000007</v>
      </c>
    </row>
    <row r="10" spans="1:27" x14ac:dyDescent="0.25">
      <c r="A10" s="1">
        <v>40269</v>
      </c>
      <c r="B10" s="12">
        <v>922306380</v>
      </c>
      <c r="C10" s="13">
        <f t="shared" si="0"/>
        <v>830856380</v>
      </c>
      <c r="D10" s="13">
        <f>23342.56-N10+R10+AA10</f>
        <v>990520.88000000012</v>
      </c>
      <c r="E10" s="14">
        <f t="shared" si="1"/>
        <v>1.4306023093907036E-2</v>
      </c>
      <c r="G10" s="12">
        <v>1505000000</v>
      </c>
      <c r="H10" s="13">
        <f t="shared" si="2"/>
        <v>1580000000</v>
      </c>
      <c r="I10" s="13">
        <f>5000355.02+N10-AA10</f>
        <v>4070122.3199999994</v>
      </c>
      <c r="J10" s="28">
        <f t="shared" si="3"/>
        <v>3.0912321417721513E-2</v>
      </c>
      <c r="L10" s="15">
        <v>2238075681.8500004</v>
      </c>
      <c r="N10" s="15">
        <v>17648.63</v>
      </c>
      <c r="P10" s="12">
        <v>18938.25</v>
      </c>
      <c r="Q10" s="13">
        <v>18007.37</v>
      </c>
      <c r="R10" s="15">
        <f t="shared" si="4"/>
        <v>36945.619999999995</v>
      </c>
      <c r="S10" s="25"/>
      <c r="T10" s="12"/>
      <c r="U10" s="13"/>
      <c r="V10" s="15"/>
      <c r="X10" s="12">
        <v>43347.86</v>
      </c>
      <c r="Y10" s="13">
        <v>157633.07</v>
      </c>
      <c r="Z10" s="13">
        <v>746900.4</v>
      </c>
      <c r="AA10" s="15">
        <f t="shared" si="5"/>
        <v>947881.33000000007</v>
      </c>
    </row>
    <row r="11" spans="1:27" x14ac:dyDescent="0.25">
      <c r="A11" s="1">
        <v>40299</v>
      </c>
      <c r="B11" s="12">
        <v>925106380</v>
      </c>
      <c r="C11" s="13">
        <f t="shared" si="0"/>
        <v>923706380</v>
      </c>
      <c r="D11" s="13">
        <f>32063.74-N11+R11+AA11</f>
        <v>1047653.8</v>
      </c>
      <c r="E11" s="14">
        <f t="shared" si="1"/>
        <v>1.3610218433264475E-2</v>
      </c>
      <c r="G11" s="12">
        <v>1505000000</v>
      </c>
      <c r="H11" s="13">
        <f t="shared" si="2"/>
        <v>1505000000</v>
      </c>
      <c r="I11" s="13">
        <f>4656138.93+N11-AA11</f>
        <v>3681711.8399999994</v>
      </c>
      <c r="J11" s="28">
        <f t="shared" si="3"/>
        <v>2.9355841913621256E-2</v>
      </c>
      <c r="L11" s="15">
        <v>2245421725.23</v>
      </c>
      <c r="N11" s="15">
        <v>16963.97</v>
      </c>
      <c r="P11" s="12">
        <v>21437.040000000001</v>
      </c>
      <c r="Q11" s="13">
        <v>19725.93</v>
      </c>
      <c r="R11" s="15">
        <f t="shared" si="4"/>
        <v>41162.97</v>
      </c>
      <c r="S11" s="25"/>
      <c r="T11" s="12"/>
      <c r="U11" s="13"/>
      <c r="V11" s="15"/>
      <c r="X11" s="12">
        <v>44792.78</v>
      </c>
      <c r="Y11" s="13">
        <v>162887.5</v>
      </c>
      <c r="Z11" s="13">
        <v>783710.78</v>
      </c>
      <c r="AA11" s="15">
        <f t="shared" si="5"/>
        <v>991391.06</v>
      </c>
    </row>
    <row r="12" spans="1:27" x14ac:dyDescent="0.25">
      <c r="A12" s="1">
        <v>40330</v>
      </c>
      <c r="B12" s="12">
        <v>1068906380</v>
      </c>
      <c r="C12" s="13">
        <f t="shared" si="0"/>
        <v>997006380</v>
      </c>
      <c r="D12" s="13">
        <f>50320.66-N12+R12+AA12</f>
        <v>1080541.08</v>
      </c>
      <c r="E12" s="14">
        <f t="shared" si="1"/>
        <v>1.3005426264172955E-2</v>
      </c>
      <c r="G12" s="12">
        <v>1405000000</v>
      </c>
      <c r="H12" s="13">
        <f t="shared" si="2"/>
        <v>1455000000</v>
      </c>
      <c r="I12" s="13">
        <f>4668311.98+N12-AA12</f>
        <v>3696989.95</v>
      </c>
      <c r="J12" s="28">
        <f t="shared" si="3"/>
        <v>3.0490638762886602E-2</v>
      </c>
      <c r="L12" s="15">
        <v>2240621853.3299994</v>
      </c>
      <c r="N12" s="15">
        <v>13259.59</v>
      </c>
      <c r="P12" s="12">
        <v>30673.38</v>
      </c>
      <c r="Q12" s="13">
        <v>28225.01</v>
      </c>
      <c r="R12" s="15">
        <f t="shared" si="4"/>
        <v>58898.39</v>
      </c>
      <c r="S12" s="25"/>
      <c r="T12" s="12"/>
      <c r="U12" s="13"/>
      <c r="V12" s="15"/>
      <c r="X12" s="12">
        <v>49174.879999999997</v>
      </c>
      <c r="Y12" s="13">
        <v>176976.96</v>
      </c>
      <c r="Z12" s="13">
        <v>758429.78</v>
      </c>
      <c r="AA12" s="15">
        <f t="shared" si="5"/>
        <v>984581.62</v>
      </c>
    </row>
    <row r="13" spans="1:27" x14ac:dyDescent="0.25">
      <c r="A13" s="1">
        <v>40360</v>
      </c>
      <c r="B13" s="12">
        <v>1084806380</v>
      </c>
      <c r="C13" s="13">
        <f t="shared" si="0"/>
        <v>1076856380</v>
      </c>
      <c r="D13" s="13">
        <f>76064.61-N13+R13+AA13</f>
        <v>1033543.1499999999</v>
      </c>
      <c r="E13" s="14">
        <f t="shared" si="1"/>
        <v>1.1517336973013985E-2</v>
      </c>
      <c r="G13" s="12">
        <v>1405000000</v>
      </c>
      <c r="H13" s="13">
        <f t="shared" si="2"/>
        <v>1405000000</v>
      </c>
      <c r="I13" s="13">
        <f>4674382.58+N13-AA13</f>
        <v>3779573.51</v>
      </c>
      <c r="J13" s="28">
        <f t="shared" si="3"/>
        <v>3.2281054889679715E-2</v>
      </c>
      <c r="L13" s="15">
        <v>2246506352.0300002</v>
      </c>
      <c r="N13" s="15">
        <v>9391.64</v>
      </c>
      <c r="P13" s="12">
        <v>32637.3</v>
      </c>
      <c r="Q13" s="13">
        <v>30032.17</v>
      </c>
      <c r="R13" s="15">
        <f t="shared" si="4"/>
        <v>62669.47</v>
      </c>
      <c r="S13" s="25"/>
      <c r="T13" s="12"/>
      <c r="U13" s="13"/>
      <c r="V13" s="15"/>
      <c r="X13" s="12">
        <v>52646.6</v>
      </c>
      <c r="Y13" s="13">
        <v>191442.77</v>
      </c>
      <c r="Z13" s="13">
        <v>660111.34</v>
      </c>
      <c r="AA13" s="15">
        <f t="shared" si="5"/>
        <v>904200.71</v>
      </c>
    </row>
    <row r="14" spans="1:27" x14ac:dyDescent="0.25">
      <c r="A14" s="1">
        <v>40391</v>
      </c>
      <c r="B14" s="12">
        <v>1069006380</v>
      </c>
      <c r="C14" s="13">
        <f t="shared" si="0"/>
        <v>1076906380</v>
      </c>
      <c r="D14" s="13">
        <f>69908.97-N14+R14+AA14</f>
        <v>912385.18</v>
      </c>
      <c r="E14" s="14">
        <f t="shared" si="1"/>
        <v>1.0166735347969618E-2</v>
      </c>
      <c r="G14" s="12">
        <v>1405000000</v>
      </c>
      <c r="H14" s="13">
        <f t="shared" si="2"/>
        <v>1405000000</v>
      </c>
      <c r="I14" s="13">
        <f>4570545.37+N14-AA14</f>
        <v>3778219.8400000003</v>
      </c>
      <c r="J14" s="28">
        <f t="shared" si="3"/>
        <v>3.2269493295373666E-2</v>
      </c>
      <c r="L14" s="15">
        <v>2287549521.8200002</v>
      </c>
      <c r="N14" s="15">
        <v>10087.4</v>
      </c>
      <c r="P14" s="12">
        <v>26117.71</v>
      </c>
      <c r="Q14" s="13">
        <v>24032.97</v>
      </c>
      <c r="R14" s="15">
        <f t="shared" si="4"/>
        <v>50150.68</v>
      </c>
      <c r="S14" s="25"/>
      <c r="T14" s="12"/>
      <c r="U14" s="13"/>
      <c r="V14" s="15"/>
      <c r="X14" s="12">
        <v>52646.6</v>
      </c>
      <c r="Y14" s="13">
        <v>191442.77</v>
      </c>
      <c r="Z14" s="13">
        <v>558323.56000000006</v>
      </c>
      <c r="AA14" s="15">
        <f t="shared" si="5"/>
        <v>802412.93</v>
      </c>
    </row>
    <row r="15" spans="1:27" x14ac:dyDescent="0.25">
      <c r="A15" s="1">
        <v>40422</v>
      </c>
      <c r="B15" s="12">
        <v>1006306380</v>
      </c>
      <c r="C15" s="13">
        <f t="shared" si="0"/>
        <v>1037656380</v>
      </c>
      <c r="D15" s="13">
        <f>39284.41-N15+R15+AA15</f>
        <v>825847.45</v>
      </c>
      <c r="E15" s="14">
        <f t="shared" si="1"/>
        <v>9.5505309763526912E-3</v>
      </c>
      <c r="G15" s="12">
        <v>1405000000</v>
      </c>
      <c r="H15" s="13">
        <f t="shared" si="2"/>
        <v>1405000000</v>
      </c>
      <c r="I15" s="13">
        <f>4417940.17+N15-AA15</f>
        <v>3679921.7399999998</v>
      </c>
      <c r="J15" s="28">
        <f t="shared" si="3"/>
        <v>3.1429936569395016E-2</v>
      </c>
      <c r="L15" s="15">
        <v>2327747095.8099999</v>
      </c>
      <c r="N15" s="15">
        <v>14780.55</v>
      </c>
      <c r="P15" s="12">
        <v>25281.29</v>
      </c>
      <c r="Q15" s="13">
        <v>23263.32</v>
      </c>
      <c r="R15" s="15">
        <f t="shared" si="4"/>
        <v>48544.61</v>
      </c>
      <c r="S15" s="25"/>
      <c r="T15" s="12"/>
      <c r="U15" s="13"/>
      <c r="V15" s="15"/>
      <c r="X15" s="12">
        <v>45465.67</v>
      </c>
      <c r="Y15" s="13">
        <v>167020.17000000001</v>
      </c>
      <c r="Z15" s="13">
        <v>540313.14</v>
      </c>
      <c r="AA15" s="15">
        <f t="shared" si="5"/>
        <v>752798.98</v>
      </c>
    </row>
    <row r="16" spans="1:27" x14ac:dyDescent="0.25">
      <c r="A16" s="1">
        <v>40452</v>
      </c>
      <c r="B16" s="12">
        <v>1173106380</v>
      </c>
      <c r="C16" s="13">
        <f t="shared" si="0"/>
        <v>1089706380</v>
      </c>
      <c r="D16" s="13">
        <f>34592.29-N16+R16+AA16</f>
        <v>766815.58000000007</v>
      </c>
      <c r="E16" s="14">
        <f t="shared" si="1"/>
        <v>8.4442810732190086E-3</v>
      </c>
      <c r="G16" s="12">
        <v>1330000000</v>
      </c>
      <c r="H16" s="13">
        <f t="shared" si="2"/>
        <v>1367500000</v>
      </c>
      <c r="I16" s="13">
        <f>4102872.36+N16+V16-AA16</f>
        <v>3486118.2699999996</v>
      </c>
      <c r="J16" s="28">
        <f t="shared" si="3"/>
        <v>3.0591165806215719E-2</v>
      </c>
      <c r="L16" s="15">
        <v>2277650349.3999996</v>
      </c>
      <c r="N16" s="15">
        <v>16343.01</v>
      </c>
      <c r="P16" s="12">
        <v>23330.45</v>
      </c>
      <c r="Q16" s="13">
        <v>21468.19</v>
      </c>
      <c r="R16" s="15">
        <f t="shared" si="4"/>
        <v>44798.64</v>
      </c>
      <c r="S16" s="25"/>
      <c r="T16" s="12">
        <v>35979.33</v>
      </c>
      <c r="U16" s="13">
        <v>34691.230000000003</v>
      </c>
      <c r="V16" s="15">
        <f t="shared" ref="V16:V18" si="6">SUM(T16:U16)</f>
        <v>70670.559999999998</v>
      </c>
      <c r="X16" s="12">
        <v>45256.93</v>
      </c>
      <c r="Y16" s="16">
        <v>164506.67000000001</v>
      </c>
      <c r="Z16" s="16">
        <v>494004.06</v>
      </c>
      <c r="AA16" s="15">
        <f t="shared" si="5"/>
        <v>703767.66</v>
      </c>
    </row>
    <row r="17" spans="1:27" ht="18" x14ac:dyDescent="0.25">
      <c r="A17" s="1">
        <v>40483</v>
      </c>
      <c r="B17" s="12">
        <v>0</v>
      </c>
      <c r="C17" s="13">
        <f t="shared" si="0"/>
        <v>586553190</v>
      </c>
      <c r="D17" s="16">
        <f>581611.93-N17+R17</f>
        <v>566506.30000000005</v>
      </c>
      <c r="E17" s="14">
        <f t="shared" si="1"/>
        <v>1.1589870647536672E-2</v>
      </c>
      <c r="F17" s="29">
        <v>1</v>
      </c>
      <c r="G17" s="12">
        <v>869547083.82000005</v>
      </c>
      <c r="H17" s="13">
        <f t="shared" si="2"/>
        <v>1099773541.9100001</v>
      </c>
      <c r="I17" s="13">
        <f>41893.52+38333.82+1388715.28+N17+V17</f>
        <v>1615749.31</v>
      </c>
      <c r="J17" s="28">
        <f t="shared" si="3"/>
        <v>1.7629985611698502E-2</v>
      </c>
      <c r="L17" s="15">
        <v>3952116620.3600001</v>
      </c>
      <c r="N17" s="15">
        <v>58468.480000000003</v>
      </c>
      <c r="P17" s="12">
        <v>22582.71</v>
      </c>
      <c r="Q17" s="13">
        <v>20780.14</v>
      </c>
      <c r="R17" s="15">
        <f t="shared" si="4"/>
        <v>43362.85</v>
      </c>
      <c r="S17" s="25"/>
      <c r="T17" s="12">
        <v>44974.17</v>
      </c>
      <c r="U17" s="13">
        <v>43364.04</v>
      </c>
      <c r="V17" s="15">
        <f t="shared" si="6"/>
        <v>88338.209999999992</v>
      </c>
      <c r="X17" s="12"/>
      <c r="Y17" s="13"/>
      <c r="Z17" s="13"/>
      <c r="AA17" s="15"/>
    </row>
    <row r="18" spans="1:27" ht="18" x14ac:dyDescent="0.25">
      <c r="A18" s="1">
        <v>40513</v>
      </c>
      <c r="B18" s="12">
        <v>0</v>
      </c>
      <c r="C18" s="13">
        <f t="shared" si="0"/>
        <v>0</v>
      </c>
      <c r="D18" s="13">
        <f>50958.9-N18+R18</f>
        <v>23131.67</v>
      </c>
      <c r="E18" s="17" t="s">
        <v>24</v>
      </c>
      <c r="F18" s="29">
        <v>2</v>
      </c>
      <c r="G18" s="12">
        <v>869607610.89999998</v>
      </c>
      <c r="H18" s="13">
        <f t="shared" si="2"/>
        <v>869577347.36000001</v>
      </c>
      <c r="I18" s="13">
        <f>70148.26+60527.08+2192708.33+N18+V18</f>
        <v>2465625.3899999997</v>
      </c>
      <c r="J18" s="28">
        <f t="shared" si="3"/>
        <v>3.4025155749314771E-2</v>
      </c>
      <c r="L18" s="15">
        <v>4010407897.6399999</v>
      </c>
      <c r="N18" s="15">
        <v>50958.9</v>
      </c>
      <c r="P18" s="12">
        <v>12046.62</v>
      </c>
      <c r="Q18" s="13">
        <v>11085.05</v>
      </c>
      <c r="R18" s="15">
        <f t="shared" si="4"/>
        <v>23131.67</v>
      </c>
      <c r="S18" s="25"/>
      <c r="T18" s="12">
        <v>46473.31</v>
      </c>
      <c r="U18" s="13">
        <v>44809.51</v>
      </c>
      <c r="V18" s="15">
        <f t="shared" si="6"/>
        <v>91282.82</v>
      </c>
      <c r="X18" s="12"/>
      <c r="Y18" s="13"/>
      <c r="Z18" s="13"/>
      <c r="AA18" s="15"/>
    </row>
    <row r="19" spans="1:27" ht="18" x14ac:dyDescent="0.25">
      <c r="A19" s="1">
        <v>40544</v>
      </c>
      <c r="B19" s="12">
        <v>0</v>
      </c>
      <c r="C19" s="13">
        <f t="shared" si="0"/>
        <v>0</v>
      </c>
      <c r="D19" s="13">
        <f>64903.24-N19</f>
        <v>15484.61</v>
      </c>
      <c r="E19" s="17" t="s">
        <v>24</v>
      </c>
      <c r="F19" s="29">
        <v>2</v>
      </c>
      <c r="G19" s="12">
        <v>869668137.98000002</v>
      </c>
      <c r="H19" s="13">
        <f t="shared" si="2"/>
        <v>869637874.44000006</v>
      </c>
      <c r="I19" s="13">
        <f>47294.64+45601.44+2192708.33+60527.08+72884.55+N19</f>
        <v>2468434.67</v>
      </c>
      <c r="J19" s="28">
        <f t="shared" si="3"/>
        <v>3.4061552412346881E-2</v>
      </c>
      <c r="L19" s="15">
        <v>4051653374.1799998</v>
      </c>
      <c r="N19" s="15">
        <v>49418.63</v>
      </c>
      <c r="P19" s="12"/>
      <c r="Q19" s="13"/>
      <c r="R19" s="15"/>
      <c r="S19" s="25"/>
      <c r="T19" s="12"/>
      <c r="U19" s="13"/>
      <c r="V19" s="15"/>
      <c r="X19" s="12"/>
      <c r="Y19" s="13"/>
      <c r="Z19" s="13"/>
      <c r="AA19" s="15"/>
    </row>
    <row r="20" spans="1:27" ht="18" x14ac:dyDescent="0.25">
      <c r="A20" s="1">
        <v>40575</v>
      </c>
      <c r="B20" s="12">
        <v>0</v>
      </c>
      <c r="C20" s="13">
        <f t="shared" si="0"/>
        <v>0</v>
      </c>
      <c r="D20" s="13">
        <f>48001.05-N20</f>
        <v>2191.7300000000032</v>
      </c>
      <c r="E20" s="17" t="s">
        <v>24</v>
      </c>
      <c r="F20" s="29">
        <v>2</v>
      </c>
      <c r="G20" s="12">
        <v>869728665.05999994</v>
      </c>
      <c r="H20" s="13">
        <f t="shared" si="2"/>
        <v>869698401.51999998</v>
      </c>
      <c r="I20" s="13">
        <f>43021.22+41481.01+2192708.33+60527.08+72267.71+N20</f>
        <v>2455814.67</v>
      </c>
      <c r="J20" s="28">
        <f t="shared" si="3"/>
        <v>3.3885052552120043E-2</v>
      </c>
      <c r="L20" s="15">
        <v>4023316215.4299998</v>
      </c>
      <c r="N20" s="15">
        <v>45809.32</v>
      </c>
      <c r="P20" s="12"/>
      <c r="Q20" s="13"/>
      <c r="R20" s="15"/>
      <c r="S20" s="25"/>
      <c r="T20" s="12"/>
      <c r="U20" s="13"/>
      <c r="V20" s="15"/>
      <c r="X20" s="12"/>
      <c r="Y20" s="13"/>
      <c r="Z20" s="13"/>
      <c r="AA20" s="15"/>
    </row>
    <row r="21" spans="1:27" x14ac:dyDescent="0.25">
      <c r="A21" s="1">
        <v>40603</v>
      </c>
      <c r="B21" s="12">
        <v>0</v>
      </c>
      <c r="C21" s="13">
        <f t="shared" si="0"/>
        <v>0</v>
      </c>
      <c r="D21" s="13">
        <f>50958.5-N21</f>
        <v>0</v>
      </c>
      <c r="E21" s="17" t="s">
        <v>24</v>
      </c>
      <c r="G21" s="12">
        <v>869789192.13999999</v>
      </c>
      <c r="H21" s="13">
        <f t="shared" si="2"/>
        <v>869758928.5999999</v>
      </c>
      <c r="I21" s="13">
        <f>47630.64+45925.41+2192708.33+60527.08+74004.51+N21</f>
        <v>2471754.4699999997</v>
      </c>
      <c r="J21" s="28">
        <f t="shared" si="3"/>
        <v>3.4102614718475678E-2</v>
      </c>
      <c r="L21" s="15">
        <v>4041863112.6399999</v>
      </c>
      <c r="N21" s="15">
        <v>50958.5</v>
      </c>
      <c r="P21" s="12"/>
      <c r="Q21" s="13"/>
      <c r="R21" s="15"/>
      <c r="S21" s="25"/>
      <c r="T21" s="12"/>
      <c r="U21" s="13"/>
      <c r="V21" s="15"/>
      <c r="X21" s="12"/>
      <c r="Y21" s="13"/>
      <c r="Z21" s="13"/>
      <c r="AA21" s="15"/>
    </row>
    <row r="22" spans="1:27" x14ac:dyDescent="0.25">
      <c r="A22" s="1">
        <v>40634</v>
      </c>
      <c r="B22" s="12">
        <v>0</v>
      </c>
      <c r="C22" s="13">
        <f t="shared" si="0"/>
        <v>0</v>
      </c>
      <c r="D22" s="13">
        <f>49315.07-N22</f>
        <v>0</v>
      </c>
      <c r="E22" s="17" t="s">
        <v>24</v>
      </c>
      <c r="G22" s="12">
        <v>869849719.22000003</v>
      </c>
      <c r="H22" s="13">
        <f t="shared" si="2"/>
        <v>869819455.68000007</v>
      </c>
      <c r="I22" s="13">
        <f>45423.34+43797.12+2192708.33+60527.08+74004.51+N22</f>
        <v>2465775.4499999997</v>
      </c>
      <c r="J22" s="28">
        <f t="shared" si="3"/>
        <v>3.4017755301722838E-2</v>
      </c>
      <c r="L22" s="15">
        <v>4044676060.48</v>
      </c>
      <c r="N22" s="15">
        <v>49315.07</v>
      </c>
      <c r="P22" s="12"/>
      <c r="Q22" s="13"/>
      <c r="R22" s="15"/>
      <c r="S22" s="25"/>
      <c r="T22" s="12"/>
      <c r="U22" s="13"/>
      <c r="V22" s="15"/>
      <c r="X22" s="12"/>
      <c r="Y22" s="13"/>
      <c r="Z22" s="13"/>
      <c r="AA22" s="15"/>
    </row>
    <row r="23" spans="1:27" x14ac:dyDescent="0.25">
      <c r="A23" s="1">
        <v>40664</v>
      </c>
      <c r="B23" s="12">
        <v>0</v>
      </c>
      <c r="C23" s="13">
        <f t="shared" si="0"/>
        <v>0</v>
      </c>
      <c r="D23" s="13">
        <f>50958.9-N23</f>
        <v>0</v>
      </c>
      <c r="E23" s="17" t="s">
        <v>24</v>
      </c>
      <c r="G23" s="12">
        <v>869910246.29999995</v>
      </c>
      <c r="H23" s="13">
        <f t="shared" si="2"/>
        <v>869879982.75999999</v>
      </c>
      <c r="I23" s="13">
        <f>46726.47+45053.61+2192708.33+60527.08+76638.23+N23</f>
        <v>2472612.62</v>
      </c>
      <c r="J23" s="28">
        <f t="shared" si="3"/>
        <v>3.4109707118282234E-2</v>
      </c>
      <c r="L23" s="15">
        <v>3967126541.0500002</v>
      </c>
      <c r="N23" s="15">
        <v>50958.9</v>
      </c>
      <c r="P23" s="12"/>
      <c r="Q23" s="13"/>
      <c r="R23" s="15"/>
      <c r="S23" s="25"/>
      <c r="T23" s="12"/>
      <c r="U23" s="13"/>
      <c r="V23" s="15"/>
      <c r="X23" s="12"/>
      <c r="Y23" s="13"/>
      <c r="Z23" s="13"/>
      <c r="AA23" s="15"/>
    </row>
    <row r="24" spans="1:27" x14ac:dyDescent="0.25">
      <c r="A24" s="1">
        <v>40695</v>
      </c>
      <c r="B24" s="12">
        <v>0</v>
      </c>
      <c r="C24" s="13">
        <f t="shared" si="0"/>
        <v>0</v>
      </c>
      <c r="D24" s="13">
        <f>49315.07-N24</f>
        <v>0</v>
      </c>
      <c r="E24" s="17" t="s">
        <v>24</v>
      </c>
      <c r="G24" s="12">
        <v>869970773.38</v>
      </c>
      <c r="H24" s="13">
        <f t="shared" si="2"/>
        <v>869940509.83999991</v>
      </c>
      <c r="I24" s="13">
        <f>45219.17+43600.27+2192708.33+60527.08+78275.65+N24</f>
        <v>2469645.5699999998</v>
      </c>
      <c r="J24" s="28">
        <f t="shared" si="3"/>
        <v>3.4066406271218048E-2</v>
      </c>
      <c r="L24" s="15">
        <v>3990859649.7099996</v>
      </c>
      <c r="N24" s="15">
        <v>49315.07</v>
      </c>
      <c r="P24" s="12"/>
      <c r="Q24" s="13"/>
      <c r="R24" s="15"/>
      <c r="S24" s="25"/>
      <c r="T24" s="12"/>
      <c r="U24" s="13"/>
      <c r="V24" s="15"/>
      <c r="X24" s="12"/>
      <c r="Y24" s="13"/>
      <c r="Z24" s="13"/>
      <c r="AA24" s="15"/>
    </row>
    <row r="25" spans="1:27" x14ac:dyDescent="0.25">
      <c r="A25" s="1">
        <v>40725</v>
      </c>
      <c r="B25" s="12">
        <v>0</v>
      </c>
      <c r="C25" s="13">
        <f t="shared" si="0"/>
        <v>0</v>
      </c>
      <c r="D25" s="13">
        <f>50958.9-N25</f>
        <v>0</v>
      </c>
      <c r="E25" s="17" t="s">
        <v>24</v>
      </c>
      <c r="G25" s="12">
        <v>870031300.46000004</v>
      </c>
      <c r="H25" s="13">
        <f t="shared" si="2"/>
        <v>870001036.92000008</v>
      </c>
      <c r="I25" s="13">
        <f>43601.14+42040.17+2192708.33+60527.08+81064.92+N25</f>
        <v>2470900.54</v>
      </c>
      <c r="J25" s="28">
        <f t="shared" si="3"/>
        <v>3.4081346138356963E-2</v>
      </c>
      <c r="L25" s="15">
        <v>4031277433.5899997</v>
      </c>
      <c r="N25" s="15">
        <v>50958.9</v>
      </c>
      <c r="P25" s="12"/>
      <c r="Q25" s="13"/>
      <c r="R25" s="15"/>
      <c r="S25" s="25"/>
      <c r="T25" s="12"/>
      <c r="U25" s="13"/>
      <c r="V25" s="15"/>
      <c r="X25" s="12"/>
      <c r="Y25" s="13"/>
      <c r="Z25" s="13"/>
      <c r="AA25" s="15"/>
    </row>
    <row r="26" spans="1:27" x14ac:dyDescent="0.25">
      <c r="A26" s="1">
        <v>40756</v>
      </c>
      <c r="B26" s="12">
        <v>0</v>
      </c>
      <c r="C26" s="13">
        <f t="shared" si="0"/>
        <v>0</v>
      </c>
      <c r="D26" s="13">
        <f>50958.9-N26</f>
        <v>0</v>
      </c>
      <c r="E26" s="17" t="s">
        <v>24</v>
      </c>
      <c r="G26" s="12">
        <v>870091827.53999996</v>
      </c>
      <c r="H26" s="13">
        <f t="shared" si="2"/>
        <v>870061564</v>
      </c>
      <c r="I26" s="13">
        <f>42689.58+41161.25+2192708.33+60527.08+81064.92+N26</f>
        <v>2469110.06</v>
      </c>
      <c r="J26" s="28">
        <f t="shared" si="3"/>
        <v>3.4054280692256855E-2</v>
      </c>
      <c r="L26" s="15">
        <v>3985405188.1699996</v>
      </c>
      <c r="N26" s="15">
        <v>50958.9</v>
      </c>
      <c r="P26" s="12"/>
      <c r="Q26" s="13"/>
      <c r="R26" s="15"/>
      <c r="S26" s="25"/>
      <c r="T26" s="12"/>
      <c r="U26" s="13"/>
      <c r="V26" s="15"/>
      <c r="X26" s="12"/>
      <c r="Y26" s="13"/>
      <c r="Z26" s="13"/>
      <c r="AA26" s="15"/>
    </row>
    <row r="27" spans="1:27" x14ac:dyDescent="0.25">
      <c r="A27" s="1">
        <v>40787</v>
      </c>
      <c r="B27" s="12">
        <v>0</v>
      </c>
      <c r="C27" s="13">
        <f t="shared" si="0"/>
        <v>0</v>
      </c>
      <c r="D27" s="13">
        <f>49315.07-N27</f>
        <v>0</v>
      </c>
      <c r="E27" s="17" t="s">
        <v>24</v>
      </c>
      <c r="G27" s="12">
        <v>1119749854.6199999</v>
      </c>
      <c r="H27" s="13">
        <f t="shared" si="2"/>
        <v>994920841.07999992</v>
      </c>
      <c r="I27" s="13">
        <f>41312.5+39833.47+2253472.22+60527.08+82563.28+N27</f>
        <v>2527023.62</v>
      </c>
      <c r="J27" s="28">
        <f t="shared" si="3"/>
        <v>3.0479091589922458E-2</v>
      </c>
      <c r="L27" s="15">
        <v>3757148027.0300002</v>
      </c>
      <c r="N27" s="15">
        <v>49315.07</v>
      </c>
      <c r="P27" s="12"/>
      <c r="Q27" s="13"/>
      <c r="R27" s="15"/>
      <c r="S27" s="25"/>
      <c r="T27" s="12"/>
      <c r="U27" s="13"/>
      <c r="V27" s="15"/>
      <c r="X27" s="12"/>
      <c r="Y27" s="13"/>
      <c r="Z27" s="13"/>
      <c r="AA27" s="15"/>
    </row>
    <row r="28" spans="1:27" x14ac:dyDescent="0.25">
      <c r="A28" s="1">
        <v>40817</v>
      </c>
      <c r="B28" s="12">
        <v>0</v>
      </c>
      <c r="C28" s="13">
        <f t="shared" si="0"/>
        <v>0</v>
      </c>
      <c r="D28" s="13">
        <f>51666.67-N28</f>
        <v>0</v>
      </c>
      <c r="E28" s="17" t="s">
        <v>24</v>
      </c>
      <c r="G28" s="12">
        <v>1119813735.8699999</v>
      </c>
      <c r="H28" s="13">
        <f t="shared" si="2"/>
        <v>1119781795.2449999</v>
      </c>
      <c r="I28" s="13">
        <f>52158.25+49530.12+3104166.66+63881.25+99110+N28</f>
        <v>3420512.95</v>
      </c>
      <c r="J28" s="28">
        <f t="shared" si="3"/>
        <v>3.6655494467133579E-2</v>
      </c>
      <c r="L28" s="15">
        <v>3764603944.4000001</v>
      </c>
      <c r="N28" s="15">
        <v>51666.67</v>
      </c>
      <c r="P28" s="12"/>
      <c r="Q28" s="13"/>
      <c r="R28" s="15"/>
      <c r="S28" s="25"/>
      <c r="T28" s="12"/>
      <c r="U28" s="13"/>
      <c r="V28" s="15"/>
      <c r="X28" s="12"/>
      <c r="Y28" s="13"/>
      <c r="Z28" s="13"/>
      <c r="AA28" s="15"/>
    </row>
    <row r="29" spans="1:27" x14ac:dyDescent="0.25">
      <c r="A29" s="1">
        <v>40848</v>
      </c>
      <c r="B29" s="12">
        <v>0</v>
      </c>
      <c r="C29" s="13">
        <f t="shared" si="0"/>
        <v>0</v>
      </c>
      <c r="D29" s="13">
        <f>50000-N29</f>
        <v>0</v>
      </c>
      <c r="E29" s="17" t="s">
        <v>24</v>
      </c>
      <c r="G29" s="12">
        <v>1119877617.1199999</v>
      </c>
      <c r="H29" s="13">
        <f t="shared" si="2"/>
        <v>1119845676.4949999</v>
      </c>
      <c r="I29" s="13">
        <f>53148.33+51245.56+3104166.66+63881.25+100270.79+N29</f>
        <v>3422712.5900000003</v>
      </c>
      <c r="J29" s="28">
        <f t="shared" si="3"/>
        <v>3.6676974285021847E-2</v>
      </c>
      <c r="L29" s="15">
        <v>3717289298.6799998</v>
      </c>
      <c r="N29" s="15">
        <v>50000</v>
      </c>
      <c r="P29" s="12"/>
      <c r="Q29" s="13"/>
      <c r="R29" s="15"/>
      <c r="S29" s="25"/>
      <c r="T29" s="12"/>
      <c r="U29" s="13"/>
      <c r="V29" s="15"/>
      <c r="X29" s="12"/>
      <c r="Y29" s="13"/>
      <c r="Z29" s="13"/>
      <c r="AA29" s="15"/>
    </row>
    <row r="30" spans="1:27" x14ac:dyDescent="0.25">
      <c r="A30" s="1">
        <v>40878</v>
      </c>
      <c r="B30" s="12">
        <v>0</v>
      </c>
      <c r="C30" s="13">
        <f t="shared" si="0"/>
        <v>0</v>
      </c>
      <c r="D30" s="13">
        <f>51666.67-N30</f>
        <v>0</v>
      </c>
      <c r="E30" s="17" t="s">
        <v>24</v>
      </c>
      <c r="G30" s="12">
        <v>1119941498.4100001</v>
      </c>
      <c r="H30" s="13">
        <f t="shared" si="2"/>
        <v>1119909557.7649999</v>
      </c>
      <c r="I30" s="13">
        <f>54919.94+52953.75+3104166.7+63881.29+101277.03+N30</f>
        <v>3428865.38</v>
      </c>
      <c r="J30" s="28">
        <f t="shared" si="3"/>
        <v>3.6740810250888219E-2</v>
      </c>
      <c r="L30" s="15">
        <v>3739734858.1900001</v>
      </c>
      <c r="N30" s="15">
        <v>51666.67</v>
      </c>
      <c r="P30" s="12"/>
      <c r="Q30" s="13"/>
      <c r="R30" s="15"/>
      <c r="S30" s="25"/>
      <c r="T30" s="12"/>
      <c r="U30" s="13"/>
      <c r="V30" s="15"/>
      <c r="X30" s="12"/>
      <c r="Y30" s="13"/>
      <c r="Z30" s="13"/>
      <c r="AA30" s="15"/>
    </row>
    <row r="31" spans="1:27" x14ac:dyDescent="0.25">
      <c r="A31" s="1">
        <v>40909</v>
      </c>
      <c r="B31" s="12">
        <v>0</v>
      </c>
      <c r="C31" s="13">
        <f t="shared" si="0"/>
        <v>0</v>
      </c>
      <c r="D31" s="13">
        <f>39583.33-N31</f>
        <v>0</v>
      </c>
      <c r="E31" s="17" t="s">
        <v>24</v>
      </c>
      <c r="G31" s="12">
        <v>1120005379.7</v>
      </c>
      <c r="H31" s="13">
        <f t="shared" si="2"/>
        <v>1119973439.0550001</v>
      </c>
      <c r="I31" s="13">
        <f>67360.39+64948.81+3104166.7+63881.29+101277.03+N31</f>
        <v>3441217.5500000003</v>
      </c>
      <c r="J31" s="28">
        <f t="shared" si="3"/>
        <v>3.6871062437733484E-2</v>
      </c>
      <c r="L31" s="15">
        <v>3765084577.1199999</v>
      </c>
      <c r="N31" s="15">
        <v>39583.33</v>
      </c>
      <c r="P31" s="12"/>
      <c r="Q31" s="13"/>
      <c r="R31" s="15"/>
      <c r="S31" s="25"/>
      <c r="T31" s="12"/>
      <c r="U31" s="13"/>
      <c r="V31" s="15"/>
      <c r="X31" s="12"/>
      <c r="Y31" s="13"/>
      <c r="Z31" s="13"/>
      <c r="AA31" s="15"/>
    </row>
    <row r="32" spans="1:27" ht="18" x14ac:dyDescent="0.25">
      <c r="A32" s="1">
        <v>40940</v>
      </c>
      <c r="B32" s="12">
        <v>0</v>
      </c>
      <c r="C32" s="13">
        <f t="shared" si="0"/>
        <v>0</v>
      </c>
      <c r="D32" s="13">
        <f>42529.59-N32</f>
        <v>6862.9199999999983</v>
      </c>
      <c r="E32" s="17" t="s">
        <v>24</v>
      </c>
      <c r="F32" s="29">
        <v>2</v>
      </c>
      <c r="G32" s="12">
        <v>1120069260.9100001</v>
      </c>
      <c r="H32" s="13">
        <f t="shared" si="2"/>
        <v>1120037320.3050001</v>
      </c>
      <c r="I32" s="13">
        <f>67062.5+64661.59+3104166.66+63881.21+101277.03+N32</f>
        <v>3436715.6599999997</v>
      </c>
      <c r="J32" s="28">
        <f t="shared" si="3"/>
        <v>3.6820726570762546E-2</v>
      </c>
      <c r="L32" s="15">
        <v>3753783429.52</v>
      </c>
      <c r="N32" s="15">
        <v>35666.67</v>
      </c>
      <c r="P32" s="12"/>
      <c r="Q32" s="13"/>
      <c r="R32" s="15"/>
      <c r="S32" s="25"/>
      <c r="T32" s="12"/>
      <c r="U32" s="13"/>
      <c r="V32" s="15"/>
      <c r="X32" s="12"/>
      <c r="Y32" s="13"/>
      <c r="Z32" s="13"/>
      <c r="AA32" s="15"/>
    </row>
    <row r="33" spans="1:27" x14ac:dyDescent="0.25">
      <c r="A33" s="1">
        <v>40969</v>
      </c>
      <c r="B33" s="18">
        <v>0</v>
      </c>
      <c r="C33" s="19">
        <f t="shared" si="0"/>
        <v>0</v>
      </c>
      <c r="D33" s="19">
        <f>38750-N33</f>
        <v>0</v>
      </c>
      <c r="E33" s="20" t="s">
        <v>24</v>
      </c>
      <c r="G33" s="18">
        <v>1120133142.1600001</v>
      </c>
      <c r="H33" s="19">
        <f t="shared" si="2"/>
        <v>1120101201.5350001</v>
      </c>
      <c r="I33" s="19">
        <f>71687.5+69121.01+3104166.66+63881.25+101277.03+N33</f>
        <v>3448883.4499999997</v>
      </c>
      <c r="J33" s="30">
        <f t="shared" si="3"/>
        <v>3.6948984023303703E-2</v>
      </c>
      <c r="L33" s="21">
        <v>3764448786.6299996</v>
      </c>
      <c r="N33" s="15">
        <v>38750</v>
      </c>
      <c r="P33" s="12"/>
      <c r="Q33" s="13"/>
      <c r="R33" s="15"/>
      <c r="S33" s="25"/>
      <c r="T33" s="12"/>
      <c r="U33" s="13"/>
      <c r="V33" s="15"/>
      <c r="X33" s="12"/>
      <c r="Y33" s="13"/>
      <c r="Z33" s="13"/>
      <c r="AA33" s="15"/>
    </row>
    <row r="34" spans="1:27" x14ac:dyDescent="0.25">
      <c r="D34" s="22"/>
      <c r="I34" s="22"/>
      <c r="N34" s="31">
        <f>SUM(N7:N33)</f>
        <v>964256.6100000001</v>
      </c>
      <c r="P34" s="32">
        <f>127426.81+122864.78</f>
        <v>250291.59</v>
      </c>
      <c r="Q34" s="33">
        <f>SUM(Q7:Q18)</f>
        <v>247250.43</v>
      </c>
      <c r="R34" s="31">
        <f>SUM(R7:R19)</f>
        <v>515317.67999999993</v>
      </c>
      <c r="S34" s="25"/>
      <c r="T34" s="32">
        <f>SUM(T16:T19)</f>
        <v>127426.81</v>
      </c>
      <c r="U34" s="33">
        <f>SUM(U16:U19)</f>
        <v>122864.78</v>
      </c>
      <c r="V34" s="31">
        <f>SUM(V7:V19)</f>
        <v>250291.59</v>
      </c>
      <c r="X34" s="32">
        <f>SUM(X7:X33)</f>
        <v>463293.49999999988</v>
      </c>
      <c r="Y34" s="33">
        <f>SUM(Y7:Y33)</f>
        <v>1684053.91</v>
      </c>
      <c r="Z34" s="33">
        <f>SUM(Z7:Z33)</f>
        <v>6750373.1699999999</v>
      </c>
      <c r="AA34" s="31">
        <f>SUM(AA7:AA33)</f>
        <v>8897720.5800000001</v>
      </c>
    </row>
    <row r="35" spans="1:27" x14ac:dyDescent="0.25">
      <c r="D35" s="22"/>
      <c r="I35" s="34"/>
    </row>
    <row r="36" spans="1:27" x14ac:dyDescent="0.25">
      <c r="A36" s="11" t="s">
        <v>8</v>
      </c>
      <c r="I36" s="34"/>
    </row>
    <row r="37" spans="1:27" ht="17.25" x14ac:dyDescent="0.25">
      <c r="A37" t="s">
        <v>25</v>
      </c>
    </row>
    <row r="38" spans="1:27" x14ac:dyDescent="0.25">
      <c r="A38" t="s">
        <v>26</v>
      </c>
    </row>
    <row r="39" spans="1:27" x14ac:dyDescent="0.25">
      <c r="A39" t="s">
        <v>27</v>
      </c>
    </row>
    <row r="41" spans="1:27" ht="17.25" x14ac:dyDescent="0.25">
      <c r="A41" t="s">
        <v>28</v>
      </c>
    </row>
    <row r="42" spans="1:27" x14ac:dyDescent="0.25">
      <c r="A42" t="s">
        <v>29</v>
      </c>
    </row>
  </sheetData>
  <mergeCells count="5">
    <mergeCell ref="X5:AA5"/>
    <mergeCell ref="B4:E4"/>
    <mergeCell ref="G4:J4"/>
    <mergeCell ref="P5:R5"/>
    <mergeCell ref="T5:V5"/>
  </mergeCells>
  <pageMargins left="0.45" right="0.45" top="0.75" bottom="0.75" header="0.3" footer="0.3"/>
  <pageSetup scale="62" fitToWidth="2" orientation="portrait" r:id="rId1"/>
  <headerFooter>
    <oddHeader>&amp;R&amp;12Attachment to Response to KU KIUC-2 Question No. 2.15
Page &amp;P of &amp;N 
Arbough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LKE Unconsolidated</vt:lpstr>
      <vt:lpstr>'LKE Unconsolidated'!Print_Area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2012-09-04T23:05:28Z</dcterms:created>
  <dcterms:modified xsi:type="dcterms:W3CDTF">2012-09-04T23:05:34Z</dcterms:modified>
</cp:coreProperties>
</file>