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24450" windowHeight="10920"/>
  </bookViews>
  <sheets>
    <sheet name="Total System - Unit Demand Cost" sheetId="1" r:id="rId1"/>
    <sheet name="Primary Dist. Unit Costs" sheetId="2" r:id="rId2"/>
    <sheet name="Secondary Dist. Unit Costs" sheetId="3" r:id="rId3"/>
    <sheet name="Demand Calc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" localSheetId="1">[1]EGSplit!#REF!</definedName>
    <definedName name="\" localSheetId="2">[1]EGSplit!#REF!</definedName>
    <definedName name="\" localSheetId="0">[1]EGSplit!#REF!</definedName>
    <definedName name="\">[1]EGSplit!#REF!</definedName>
    <definedName name="\\" hidden="1">#REF!</definedName>
    <definedName name="\\\" hidden="1">#REF!</definedName>
    <definedName name="\\\\" localSheetId="1" hidden="1">#REF!</definedName>
    <definedName name="\\\\" localSheetId="2" hidden="1">#REF!</definedName>
    <definedName name="\\\\" localSheetId="0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1">[2]dbase!#REF!</definedName>
    <definedName name="\P" localSheetId="2">[2]dbase!#REF!</definedName>
    <definedName name="\P" localSheetId="0">[2]dbase!#REF!</definedName>
    <definedName name="\P">[2]dbase!#REF!</definedName>
    <definedName name="\R" localSheetId="1">#REF!</definedName>
    <definedName name="\R" localSheetId="2">#REF!</definedName>
    <definedName name="\R" localSheetId="0">#REF!</definedName>
    <definedName name="\R">#REF!</definedName>
    <definedName name="\S" localSheetId="1">[2]dbase!#REF!</definedName>
    <definedName name="\S" localSheetId="2">[2]dbase!#REF!</definedName>
    <definedName name="\S" localSheetId="0">[2]dbase!#REF!</definedName>
    <definedName name="\S">[2]dbase!#REF!</definedName>
    <definedName name="\T">#REF!</definedName>
    <definedName name="\Y" localSheetId="1">[3]d20!#REF!</definedName>
    <definedName name="\Y" localSheetId="2">[3]d20!#REF!</definedName>
    <definedName name="\Y" localSheetId="0">[3]d20!#REF!</definedName>
    <definedName name="\Y">[3]d20!#REF!</definedName>
    <definedName name="__123Graph_A" hidden="1">#REF!</definedName>
    <definedName name="__123Graph_B" hidden="1">#REF!</definedName>
    <definedName name="__123Graph_C" localSheetId="1" hidden="1">#REF!</definedName>
    <definedName name="__123Graph_C" localSheetId="2" hidden="1">#REF!</definedName>
    <definedName name="__123Graph_C" localSheetId="0" hidden="1">#REF!</definedName>
    <definedName name="__123Graph_C" hidden="1">#REF!</definedName>
    <definedName name="__123Graph_D" hidden="1">#REF!</definedName>
    <definedName name="__123Graph_E" localSheetId="1" hidden="1">#REF!</definedName>
    <definedName name="__123Graph_E" localSheetId="2" hidden="1">#REF!</definedName>
    <definedName name="__123Graph_E" localSheetId="0" hidden="1">#REF!</definedName>
    <definedName name="__123Graph_E" hidden="1">#REF!</definedName>
    <definedName name="__123Graph_F" hidden="1">#REF!</definedName>
    <definedName name="__123Graph_X" hidden="1">#REF!</definedName>
    <definedName name="__bdd4444">'[4]LGE Sales'!#REF!</definedName>
    <definedName name="__may1">#REF!</definedName>
    <definedName name="__mm66666">'[4]LGE Retail Margin'!#REF!</definedName>
    <definedName name="__nn00777">'[4]LGE Retail Margin'!#REF!</definedName>
    <definedName name="__nn6777">'[4]LGE Retail Margin'!#REF!</definedName>
    <definedName name="__nn77777">'[4]LGE Retail Margin'!#REF!</definedName>
    <definedName name="__nnn6777">#REF!</definedName>
    <definedName name="__nnn7777">#REF!</definedName>
    <definedName name="__nnn78777">#REF!</definedName>
    <definedName name="__PG1">#REF!</definedName>
    <definedName name="__PG2">#REF!</definedName>
    <definedName name="_1GAS_FINANCING">#REF!</definedName>
    <definedName name="_2NON_UTILITY" localSheetId="1">#REF!</definedName>
    <definedName name="_3NON_UTILITY" localSheetId="2">#REF!</definedName>
    <definedName name="_4NON_UTILITY" localSheetId="0">#REF!</definedName>
    <definedName name="_5NON_UTILITY">#REF!</definedName>
    <definedName name="_bdd4444" localSheetId="1">'[4]LGE Sales'!#REF!</definedName>
    <definedName name="_bdd4444" localSheetId="2">'[4]LGE Sales'!#REF!</definedName>
    <definedName name="_bdd4444">'[4]LGE Sales'!#REF!</definedName>
    <definedName name="_may1">#REF!</definedName>
    <definedName name="_mm66666" localSheetId="1">'[4]LGE Retail Margin'!#REF!</definedName>
    <definedName name="_mm66666" localSheetId="2">'[4]LGE Retail Margin'!#REF!</definedName>
    <definedName name="_mm66666">'[4]LGE Retail Margin'!#REF!</definedName>
    <definedName name="_nn00777" localSheetId="1">'[4]LGE Retail Margin'!#REF!</definedName>
    <definedName name="_nn00777" localSheetId="2">'[4]LGE Retail Margin'!#REF!</definedName>
    <definedName name="_nn00777">'[4]LGE Retail Margin'!#REF!</definedName>
    <definedName name="_nn6777" localSheetId="1">'[4]LGE Retail Margin'!#REF!</definedName>
    <definedName name="_nn6777" localSheetId="2">'[4]LGE Retail Margin'!#REF!</definedName>
    <definedName name="_nn6777">'[4]LGE Retail Margin'!#REF!</definedName>
    <definedName name="_nn77777" localSheetId="1">'[4]LGE Retail Margin'!#REF!</definedName>
    <definedName name="_nn77777" localSheetId="2">'[4]LGE Retail Margin'!#REF!</definedName>
    <definedName name="_nn77777">'[4]LGE Retail Margin'!#REF!</definedName>
    <definedName name="_nnn6777" localSheetId="1">#REF!</definedName>
    <definedName name="_nnn6777" localSheetId="2">#REF!</definedName>
    <definedName name="_nnn6777">#REF!</definedName>
    <definedName name="_nnn7777" localSheetId="1">#REF!</definedName>
    <definedName name="_nnn7777" localSheetId="2">#REF!</definedName>
    <definedName name="_nnn7777">#REF!</definedName>
    <definedName name="_nnn78777" localSheetId="1">#REF!</definedName>
    <definedName name="_nnn78777" localSheetId="2">#REF!</definedName>
    <definedName name="_nnn78777">#REF!</definedName>
    <definedName name="_Order1" hidden="1">0</definedName>
    <definedName name="_Order2" hidden="1">0</definedName>
    <definedName name="_P" localSheetId="1">#REF!</definedName>
    <definedName name="_P" localSheetId="2">#REF!</definedName>
    <definedName name="_P" localSheetId="0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1">#REF!</definedName>
    <definedName name="Adjust2" localSheetId="2">#REF!</definedName>
    <definedName name="Adjust2" localSheetId="0">#REF!</definedName>
    <definedName name="Adjust2">#REF!</definedName>
    <definedName name="ADJUSTA">#REF!</definedName>
    <definedName name="ADJUSTAA">#REF!</definedName>
    <definedName name="ADJUSTB" localSheetId="1">#REF!</definedName>
    <definedName name="ADJUSTB" localSheetId="2">#REF!</definedName>
    <definedName name="ADJUSTB" localSheetId="0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1">#REF!</definedName>
    <definedName name="ADJUSTS" localSheetId="2">#REF!</definedName>
    <definedName name="ADJUSTS" localSheetId="0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1">'[4]LGE Sales'!#REF!</definedName>
    <definedName name="Annual_Sales_KU" localSheetId="2">'[4]LGE Sales'!#REF!</definedName>
    <definedName name="Annual_Sales_KU" localSheetId="0">'[4]LGE Sales'!#REF!</definedName>
    <definedName name="Annual_Sales_KU">'[4]LGE Sales'!#REF!</definedName>
    <definedName name="asdasda" localSheetId="1">'[4]LGE Cost of Sales'!#REF!</definedName>
    <definedName name="asdasda" localSheetId="2">'[4]LGE Cost of Sales'!#REF!</definedName>
    <definedName name="asdasda">'[4]LGE Cost of Sales'!#REF!</definedName>
    <definedName name="assets">#REF!</definedName>
    <definedName name="azxxxx" localSheetId="1">'[4]LGE Base Fuel &amp; FAC'!#REF!</definedName>
    <definedName name="azxxxx" localSheetId="2">'[4]LGE Base Fuel &amp; FAC'!#REF!</definedName>
    <definedName name="azxxxx">'[4]LGE Base Fuel &amp; FAC'!#REF!</definedName>
    <definedName name="B">#REF!</definedName>
    <definedName name="bbbbbb" localSheetId="1">#REF!</definedName>
    <definedName name="bbbbbb" localSheetId="2">#REF!</definedName>
    <definedName name="bbbbbb">#REF!</definedName>
    <definedName name="bbbbbbb" localSheetId="1">#REF!</definedName>
    <definedName name="bbbbbbb" localSheetId="2">#REF!</definedName>
    <definedName name="bbbbbbb">#REF!</definedName>
    <definedName name="bbbbzzzz" localSheetId="1">'[4]LGE Cost of Sales'!#REF!</definedName>
    <definedName name="bbbbzzzz" localSheetId="2">'[4]LGE Cost of Sales'!#REF!</definedName>
    <definedName name="bbbbzzzz">'[4]LGE Cost of Sales'!#REF!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asffff" localSheetId="1">#REF!</definedName>
    <definedName name="casffff" localSheetId="2">#REF!</definedName>
    <definedName name="casffff">#REF!</definedName>
    <definedName name="Choices_Wrapper" localSheetId="1">'Primary Dist. Unit Costs'!Choices_Wrapper</definedName>
    <definedName name="Choices_Wrapper" localSheetId="2">'Secondary Dist. Unit Costs'!Choices_Wrapper</definedName>
    <definedName name="Choices_Wrapper">[0]!Choices_Wrapper</definedName>
    <definedName name="CM">#REF!</definedName>
    <definedName name="Coal_Annual_KU" localSheetId="1">'[4]LGE Coal'!#REF!</definedName>
    <definedName name="Coal_Annual_KU" localSheetId="2">'[4]LGE Coal'!#REF!</definedName>
    <definedName name="Coal_Annual_KU" localSheetId="0">'[4]LGE Coal'!#REF!</definedName>
    <definedName name="Coal_Annual_KU">'[4]LGE Coal'!#REF!</definedName>
    <definedName name="coal_hide_ku_01" localSheetId="1">'[4]LGE Coal'!#REF!</definedName>
    <definedName name="coal_hide_ku_01" localSheetId="2">'[4]LGE Coal'!#REF!</definedName>
    <definedName name="coal_hide_ku_01" localSheetId="0">'[4]LGE Coal'!#REF!</definedName>
    <definedName name="coal_hide_ku_01">'[4]LGE Coal'!#REF!</definedName>
    <definedName name="coal_hide_lge_01" localSheetId="1">'[4]LGE Coal'!#REF!</definedName>
    <definedName name="coal_hide_lge_01" localSheetId="2">'[4]LGE Coal'!#REF!</definedName>
    <definedName name="coal_hide_lge_01" localSheetId="0">'[4]LGE Coal'!#REF!</definedName>
    <definedName name="coal_hide_lge_01">'[4]LGE Coal'!#REF!</definedName>
    <definedName name="coal_ku_01" localSheetId="1">'[4]LGE Coal'!#REF!</definedName>
    <definedName name="coal_ku_01" localSheetId="2">'[4]LGE Coal'!#REF!</definedName>
    <definedName name="coal_ku_01" localSheetId="0">'[4]LGE Coal'!#REF!</definedName>
    <definedName name="coal_ku_01">'[4]LGE Coal'!#REF!</definedName>
    <definedName name="ColumnAttributes1">#REF!</definedName>
    <definedName name="ColumnHeadings1">#REF!</definedName>
    <definedName name="Comp" localSheetId="1">'Primary Dist. Unit Costs'!Comp</definedName>
    <definedName name="Comp" localSheetId="2">'Secondary Dist. Unit Costs'!Comp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 localSheetId="1">'[6]1'!#REF!</definedName>
    <definedName name="data1" localSheetId="2">'[6]1'!#REF!</definedName>
    <definedName name="data1" localSheetId="0">'[6]1'!#REF!</definedName>
    <definedName name="data1">'[6]1'!#REF!</definedName>
    <definedName name="DateTimeNow">[5]Input!$AE$12</definedName>
    <definedName name="DEBIT">#REF!</definedName>
    <definedName name="Detail">#REF!</definedName>
    <definedName name="dfbbb" localSheetId="1">'[7]Ex 2'!#REF!</definedName>
    <definedName name="dfbbb" localSheetId="2">'[7]Ex 2'!#REF!</definedName>
    <definedName name="dfbbb">'[7]Ex 2'!#REF!</definedName>
    <definedName name="dfjdghjrt" localSheetId="1">#REF!</definedName>
    <definedName name="dfjdghjrt" localSheetId="2">#REF!</definedName>
    <definedName name="dfjdghjrt">#REF!</definedName>
    <definedName name="djhdhjkdgh" localSheetId="1">'[8]#REF'!#REF!</definedName>
    <definedName name="djhdhjkdgh" localSheetId="2">'[8]#REF'!#REF!</definedName>
    <definedName name="djhdhjkdgh">'[8]#REF'!#REF!</definedName>
    <definedName name="eeeeeee" localSheetId="1">'[4]LGE Cost of Sales'!#REF!</definedName>
    <definedName name="eeeeeee" localSheetId="2">'[4]LGE Cost of Sales'!#REF!</definedName>
    <definedName name="eeeeeee">'[4]LGE Cost of Sales'!#REF!</definedName>
    <definedName name="ELEC_NET_OP_INC" localSheetId="1">#REF!</definedName>
    <definedName name="ELEC_NET_OP_INC" localSheetId="2">#REF!</definedName>
    <definedName name="ELEC_NET_OP_INC" localSheetId="0">#REF!</definedName>
    <definedName name="ELEC_NET_OP_INC">#REF!</definedName>
    <definedName name="ELIMS">#REF!</definedName>
    <definedName name="EXHIB1A" localSheetId="1">'[8]#REF'!#REF!</definedName>
    <definedName name="EXHIB1A" localSheetId="2">'[8]#REF'!#REF!</definedName>
    <definedName name="EXHIB1A" localSheetId="0">'[8]#REF'!#REF!</definedName>
    <definedName name="EXHIB1A">'[8]#REF'!#REF!</definedName>
    <definedName name="EXHIB1B">#REF!</definedName>
    <definedName name="EXHIB1C" localSheetId="1">#REF!</definedName>
    <definedName name="EXHIB1C" localSheetId="2">#REF!</definedName>
    <definedName name="EXHIB1C" localSheetId="0">#REF!</definedName>
    <definedName name="EXHIB1C">#REF!</definedName>
    <definedName name="EXHIB2B" localSheetId="1">'[7]Ex 2'!#REF!</definedName>
    <definedName name="EXHIB2B" localSheetId="2">'[7]Ex 2'!#REF!</definedName>
    <definedName name="EXHIB2B" localSheetId="0">'[7]Ex 2'!#REF!</definedName>
    <definedName name="EXHIB2B">'[7]Ex 2'!#REF!</definedName>
    <definedName name="EXHIB3">#REF!</definedName>
    <definedName name="EXHIB6" localSheetId="1">'[7]not used Ex 4'!#REF!</definedName>
    <definedName name="EXHIB6" localSheetId="2">'[7]not used Ex 4'!#REF!</definedName>
    <definedName name="EXHIB6" localSheetId="0">'[7]not used Ex 4'!#REF!</definedName>
    <definedName name="EXHIB6">'[7]not used Ex 4'!#REF!</definedName>
    <definedName name="F">#REF!</definedName>
    <definedName name="Fac_2000" localSheetId="1">'[4]LGE Base Fuel &amp; FAC'!#REF!</definedName>
    <definedName name="Fac_2000" localSheetId="2">'[4]LGE Base Fuel &amp; FAC'!#REF!</definedName>
    <definedName name="Fac_2000" localSheetId="0">'[4]LGE Base Fuel &amp; FAC'!#REF!</definedName>
    <definedName name="Fac_2000">'[4]LGE Base Fuel &amp; FAC'!#REF!</definedName>
    <definedName name="fac_annual_ku" localSheetId="1">'[4]LGE Base Fuel &amp; FAC'!#REF!</definedName>
    <definedName name="fac_annual_ku" localSheetId="2">'[4]LGE Base Fuel &amp; FAC'!#REF!</definedName>
    <definedName name="fac_annual_ku" localSheetId="0">'[4]LGE Base Fuel &amp; FAC'!#REF!</definedName>
    <definedName name="fac_annual_ku">'[4]LGE Base Fuel &amp; FAC'!#REF!</definedName>
    <definedName name="fac_hide_ku_01" localSheetId="1">'[4]LGE Base Fuel &amp; FAC'!#REF!</definedName>
    <definedName name="fac_hide_ku_01" localSheetId="2">'[4]LGE Base Fuel &amp; FAC'!#REF!</definedName>
    <definedName name="fac_hide_ku_01" localSheetId="0">'[4]LGE Base Fuel &amp; FAC'!#REF!</definedName>
    <definedName name="fac_hide_ku_01">'[4]LGE Base Fuel &amp; FAC'!#REF!</definedName>
    <definedName name="fac_hide_lge_01" localSheetId="1">'[4]LGE Base Fuel &amp; FAC'!#REF!</definedName>
    <definedName name="fac_hide_lge_01" localSheetId="2">'[4]LGE Base Fuel &amp; FAC'!#REF!</definedName>
    <definedName name="fac_hide_lge_01" localSheetId="0">'[4]LGE Base Fuel &amp; FAC'!#REF!</definedName>
    <definedName name="fac_hide_lge_01">'[4]LGE Base Fuel &amp; FAC'!#REF!</definedName>
    <definedName name="fac_ku_01" localSheetId="1">'[4]LGE Base Fuel &amp; FAC'!#REF!</definedName>
    <definedName name="fac_ku_01" localSheetId="2">'[4]LGE Base Fuel &amp; FAC'!#REF!</definedName>
    <definedName name="fac_ku_01" localSheetId="0">'[4]LGE Base Fuel &amp; FAC'!#REF!</definedName>
    <definedName name="fac_ku_01">'[4]LGE Base Fuel &amp; FAC'!#REF!</definedName>
    <definedName name="fbnrtyyy" localSheetId="1">'[4]LGE Base Fuel &amp; FAC'!#REF!</definedName>
    <definedName name="fbnrtyyy" localSheetId="2">'[4]LGE Base Fuel &amp; FAC'!#REF!</definedName>
    <definedName name="fbnrtyyy">'[4]LGE Base Fuel &amp; FAC'!#REF!</definedName>
    <definedName name="fghsfgh" localSheetId="1">#REF!</definedName>
    <definedName name="fghsfgh" localSheetId="2">#REF!</definedName>
    <definedName name="fghsfgh">#REF!</definedName>
    <definedName name="FOOTER" localSheetId="1">#REF!</definedName>
    <definedName name="FOOTER" localSheetId="2">#REF!</definedName>
    <definedName name="FOOTER" localSheetId="0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1">#REF!</definedName>
    <definedName name="gas_data" localSheetId="2">#REF!</definedName>
    <definedName name="gas_data" localSheetId="0">#REF!</definedName>
    <definedName name="gas_data">#REF!</definedName>
    <definedName name="Gas_Monthly_NetRevenue">#REF!</definedName>
    <definedName name="GAS_NET_OP_INC" localSheetId="1">#REF!</definedName>
    <definedName name="GAS_NET_OP_INC" localSheetId="2">#REF!</definedName>
    <definedName name="GAS_NET_OP_INC" localSheetId="0">#REF!</definedName>
    <definedName name="GAS_NET_OP_INC">#REF!</definedName>
    <definedName name="Gas_Sales_Revenues">#REF!</definedName>
    <definedName name="GenEx_Annual_KU" localSheetId="1">'[4]LGE Cost of Sales'!#REF!</definedName>
    <definedName name="GenEx_Annual_KU" localSheetId="2">'[4]LGE Cost of Sales'!#REF!</definedName>
    <definedName name="GenEx_Annual_KU" localSheetId="0">'[4]LGE Cost of Sales'!#REF!</definedName>
    <definedName name="GenEx_Annual_KU">'[4]LGE Cost of Sales'!#REF!</definedName>
    <definedName name="genex_hide_ku_01" localSheetId="1">'[4]LGE Cost of Sales'!#REF!</definedName>
    <definedName name="genex_hide_ku_01" localSheetId="2">'[4]LGE Cost of Sales'!#REF!</definedName>
    <definedName name="genex_hide_ku_01" localSheetId="0">'[4]LGE Cost of Sales'!#REF!</definedName>
    <definedName name="genex_hide_ku_01">'[4]LGE Cost of Sales'!#REF!</definedName>
    <definedName name="genex_hide_lge_01" localSheetId="1">'[4]LGE Cost of Sales'!#REF!</definedName>
    <definedName name="genex_hide_lge_01" localSheetId="2">'[4]LGE Cost of Sales'!#REF!</definedName>
    <definedName name="genex_hide_lge_01" localSheetId="0">'[4]LGE Cost of Sales'!#REF!</definedName>
    <definedName name="genex_hide_lge_01">'[4]LGE Cost of Sales'!#REF!</definedName>
    <definedName name="genex_ku_01" localSheetId="1">'[4]LGE Cost of Sales'!#REF!</definedName>
    <definedName name="genex_ku_01" localSheetId="2">'[4]LGE Cost of Sales'!#REF!</definedName>
    <definedName name="genex_ku_01" localSheetId="0">'[4]LGE Cost of Sales'!#REF!</definedName>
    <definedName name="genex_ku_01">'[4]LGE Cost of Sales'!#REF!</definedName>
    <definedName name="H">#REF!</definedName>
    <definedName name="h7g6gh" localSheetId="1">#REF!</definedName>
    <definedName name="h7g6gh" localSheetId="2">#REF!</definedName>
    <definedName name="h7g6gh">#REF!</definedName>
    <definedName name="hghghghghb" localSheetId="1">'[4]LGE Base Fuel &amp; FAC'!#REF!</definedName>
    <definedName name="hghghghghb" localSheetId="2">'[4]LGE Base Fuel &amp; FAC'!#REF!</definedName>
    <definedName name="hghghghghb">'[4]LGE Base Fuel &amp; FAC'!#REF!</definedName>
    <definedName name="hhhhhh" localSheetId="1">#REF!</definedName>
    <definedName name="hhhhhh" localSheetId="2">#REF!</definedName>
    <definedName name="hhhhh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kfgjkf" localSheetId="1">'[6]1'!#REF!</definedName>
    <definedName name="kkfgjkf" localSheetId="2">'[6]1'!#REF!</definedName>
    <definedName name="kkfgjkf">'[6]1'!#REF!</definedName>
    <definedName name="KUELIMBAL" localSheetId="1">#REF!</definedName>
    <definedName name="KUELIMBAL" localSheetId="2">#REF!</definedName>
    <definedName name="KUELIMBAL" localSheetId="0">#REF!</definedName>
    <definedName name="KUELIMBAL">#REF!</definedName>
    <definedName name="KUELIMCASH" localSheetId="1">#REF!</definedName>
    <definedName name="KUELIMCASH" localSheetId="2">#REF!</definedName>
    <definedName name="KUELIMCASH" localSheetId="0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llhv123" localSheetId="1">#REF!</definedName>
    <definedName name="lllhv123" localSheetId="2">#REF!</definedName>
    <definedName name="lllhv123">#REF!</definedName>
    <definedName name="lllllll" localSheetId="1">#REF!</definedName>
    <definedName name="lllllll" localSheetId="2">#REF!</definedName>
    <definedName name="lllllll">#REF!</definedName>
    <definedName name="LNGCL" localSheetId="1">#REF!</definedName>
    <definedName name="LNGCL" localSheetId="2">#REF!</definedName>
    <definedName name="LNGCL" localSheetId="0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m55ggg" localSheetId="1">'[4]KU Other Electric Revenues'!#REF!</definedName>
    <definedName name="mm55ggg" localSheetId="2">'[4]KU Other Electric Revenues'!#REF!</definedName>
    <definedName name="mm55ggg">'[4]KU Other Electric Revenues'!#REF!</definedName>
    <definedName name="MONTH_NAME">#REF!</definedName>
    <definedName name="MONTHCOUNT">#REF!</definedName>
    <definedName name="NATURAL">#REF!</definedName>
    <definedName name="NET_OP_INC" localSheetId="1">#REF!</definedName>
    <definedName name="NET_OP_INC" localSheetId="2">#REF!</definedName>
    <definedName name="NET_OP_INC" localSheetId="0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1">'[4]LGE Gross Margin-Inc.Stmt'!#REF!</definedName>
    <definedName name="netrev_hide_ku_01" localSheetId="2">'[4]LGE Gross Margin-Inc.Stmt'!#REF!</definedName>
    <definedName name="netrev_hide_ku_01" localSheetId="0">'[4]LGE Gross Margin-Inc.Stmt'!#REF!</definedName>
    <definedName name="netrev_hide_ku_01">'[4]LGE Gross Margin-Inc.Stmt'!#REF!</definedName>
    <definedName name="netrev_hide_lge_01" localSheetId="1">'[4]LGE Gross Margin-Inc.Stmt'!#REF!</definedName>
    <definedName name="netrev_hide_lge_01" localSheetId="2">'[4]LGE Gross Margin-Inc.Stmt'!#REF!</definedName>
    <definedName name="netrev_hide_lge_01" localSheetId="0">'[4]LGE Gross Margin-Inc.Stmt'!#REF!</definedName>
    <definedName name="netrev_hide_lge_01">'[4]LGE Gross Margin-Inc.Stmt'!#REF!</definedName>
    <definedName name="netrev_ku_01" localSheetId="1">'[4]LGE Gross Margin-Inc.Stmt'!#REF!</definedName>
    <definedName name="netrev_ku_01" localSheetId="2">'[4]LGE Gross Margin-Inc.Stmt'!#REF!</definedName>
    <definedName name="netrev_ku_01" localSheetId="0">'[4]LGE Gross Margin-Inc.Stmt'!#REF!</definedName>
    <definedName name="netrev_ku_01">'[4]LGE Gross Margin-Inc.Stmt'!#REF!</definedName>
    <definedName name="NetRevenue_Annual_KU" localSheetId="1">'[4]LGE Gross Margin-Inc.Stmt'!#REF!</definedName>
    <definedName name="NetRevenue_Annual_KU" localSheetId="2">'[4]LGE Gross Margin-Inc.Stmt'!#REF!</definedName>
    <definedName name="NetRevenue_Annual_KU" localSheetId="0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nnhh8888" localSheetId="1">'[4]LGE Sales'!#REF!</definedName>
    <definedName name="nnhh8888" localSheetId="2">'[4]LGE Sales'!#REF!</definedName>
    <definedName name="nnhh8888">'[4]LGE Sales'!#REF!</definedName>
    <definedName name="nnnn77777" localSheetId="1">'[4]LGE Sales'!#REF!</definedName>
    <definedName name="nnnn77777" localSheetId="2">'[4]LGE Sales'!#REF!</definedName>
    <definedName name="nnnn77777">'[4]LGE Sales'!#REF!</definedName>
    <definedName name="Operating_Revenue_Dollars">#REF!</definedName>
    <definedName name="Operating_Sales__KWh">#REF!</definedName>
    <definedName name="P" localSheetId="1">[2]dbase!#REF!</definedName>
    <definedName name="P" localSheetId="2">[2]dbase!#REF!</definedName>
    <definedName name="P">[2]dbase!#REF!</definedName>
    <definedName name="PAGE">#REF!</definedName>
    <definedName name="PAGE10">#REF!</definedName>
    <definedName name="PAGE1B" localSheetId="1">[3]d20!#REF!</definedName>
    <definedName name="PAGE1B" localSheetId="2">[3]d20!#REF!</definedName>
    <definedName name="PAGE1B" localSheetId="0">[3]d20!#REF!</definedName>
    <definedName name="PAGE1B">[3]d20!#REF!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3">'Demand Calc'!$A$1:$I$24</definedName>
    <definedName name="_xlnm.Print_Area" localSheetId="1">'Primary Dist. Unit Costs'!$A$1:$G$43</definedName>
    <definedName name="_xlnm.Print_Area" localSheetId="2">'Secondary Dist. Unit Costs'!$A$1:$G$43</definedName>
    <definedName name="_xlnm.Print_Area" localSheetId="0">'Total System - Unit Demand Cost'!$A$1:$I$43</definedName>
    <definedName name="PRINT1">#REF!</definedName>
    <definedName name="PWRGENBAL">#REF!</definedName>
    <definedName name="PWRGENCASH">#REF!</definedName>
    <definedName name="QtrbyMonth">#REF!</definedName>
    <definedName name="RangeRptgMo">[9]Main!$K$11</definedName>
    <definedName name="RangeRptgYr">[10]Main!$G$5</definedName>
    <definedName name="REPORT">#REF!</definedName>
    <definedName name="ReportTitle1">#REF!</definedName>
    <definedName name="require_hide_ku_01" localSheetId="1">'[4]LGE Require &amp; Source'!#REF!</definedName>
    <definedName name="require_hide_ku_01" localSheetId="2">'[4]LGE Require &amp; Source'!#REF!</definedName>
    <definedName name="require_hide_ku_01" localSheetId="0">'[4]LGE Require &amp; Source'!#REF!</definedName>
    <definedName name="require_hide_ku_01">'[4]LGE Require &amp; Source'!#REF!</definedName>
    <definedName name="require_hide_lge_01" localSheetId="1">'[4]LGE Require &amp; Source'!#REF!</definedName>
    <definedName name="require_hide_lge_01" localSheetId="2">'[4]LGE Require &amp; Source'!#REF!</definedName>
    <definedName name="require_hide_lge_01" localSheetId="0">'[4]LGE Require &amp; Source'!#REF!</definedName>
    <definedName name="require_hide_lge_01">'[4]LGE Require &amp; Source'!#REF!</definedName>
    <definedName name="require_ku_01" localSheetId="1">'[4]LGE Require &amp; Source'!#REF!</definedName>
    <definedName name="require_ku_01" localSheetId="2">'[4]LGE Require &amp; Source'!#REF!</definedName>
    <definedName name="require_ku_01" localSheetId="0">'[4]LGE Require &amp; Source'!#REF!</definedName>
    <definedName name="require_ku_01">'[4]LGE Require &amp; Source'!#REF!</definedName>
    <definedName name="Requirements_Annual_KU" localSheetId="1">'[4]LGE Require &amp; Source'!#REF!</definedName>
    <definedName name="Requirements_Annual_KU" localSheetId="2">'[4]LGE Require &amp; Source'!#REF!</definedName>
    <definedName name="Requirements_Annual_KU" localSheetId="0">'[4]LGE Require &amp; Source'!#REF!</definedName>
    <definedName name="Requirements_Annual_KU">'[4]LGE Require &amp; Source'!#REF!</definedName>
    <definedName name="Requirements_Data" localSheetId="1">'[4]LGE Require &amp; Source'!#REF!</definedName>
    <definedName name="Requirements_Data" localSheetId="2">'[4]LGE Require &amp; Source'!#REF!</definedName>
    <definedName name="Requirements_Data" localSheetId="0">'[4]LGE Require &amp; Source'!#REF!</definedName>
    <definedName name="Requirements_Data">'[4]LGE Require &amp; Source'!#REF!</definedName>
    <definedName name="Requirements_KU" localSheetId="1">'[4]LGE Require &amp; Source'!#REF!</definedName>
    <definedName name="Requirements_KU" localSheetId="2">'[4]LGE Require &amp; Source'!#REF!</definedName>
    <definedName name="Requirements_KU" localSheetId="0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 localSheetId="1">#REF!</definedName>
    <definedName name="RevCol01B" localSheetId="2">#REF!</definedName>
    <definedName name="RevCol01B" localSheetId="0">#REF!</definedName>
    <definedName name="RevCol01B">#REF!</definedName>
    <definedName name="RevCol02">#REF!</definedName>
    <definedName name="RevCol02A">#REF!</definedName>
    <definedName name="RevCol02B" localSheetId="1">#REF!</definedName>
    <definedName name="RevCol02B" localSheetId="2">#REF!</definedName>
    <definedName name="RevCol02B" localSheetId="0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1">#REF!</definedName>
    <definedName name="RevColTmp" localSheetId="2">#REF!</definedName>
    <definedName name="RevColTmp" localSheetId="0">#REF!</definedName>
    <definedName name="RevColTmp">#REF!</definedName>
    <definedName name="RevColTmpA" localSheetId="1">#REF!</definedName>
    <definedName name="RevColTmpA" localSheetId="2">#REF!</definedName>
    <definedName name="RevColTmpA" localSheetId="0">#REF!</definedName>
    <definedName name="RevColTmpA">#REF!</definedName>
    <definedName name="RevColTmpB" localSheetId="1">#REF!</definedName>
    <definedName name="RevColTmpB" localSheetId="2">#REF!</definedName>
    <definedName name="RevColTmpB" localSheetId="0">#REF!</definedName>
    <definedName name="RevColTmpB">#REF!</definedName>
    <definedName name="revenues_hide_ku_01" localSheetId="1">'[4]KU Other Electric Revenues'!#REF!</definedName>
    <definedName name="revenues_hide_ku_01" localSheetId="2">'[4]KU Other Electric Revenues'!#REF!</definedName>
    <definedName name="revenues_hide_ku_01" localSheetId="0">'[4]KU Other Electric Revenues'!#REF!</definedName>
    <definedName name="revenues_hide_ku_01">'[4]KU Other Electric Revenues'!#REF!</definedName>
    <definedName name="revenues_ku_01" localSheetId="1">'[4]KU Other Electric Revenues'!#REF!</definedName>
    <definedName name="revenues_ku_01" localSheetId="2">'[4]KU Other Electric Revenues'!#REF!</definedName>
    <definedName name="revenues_ku_01" localSheetId="0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 localSheetId="1">'[4]LGE Sales'!#REF!</definedName>
    <definedName name="Sales" localSheetId="2">'[4]LGE Sales'!#REF!</definedName>
    <definedName name="Sales" localSheetId="0">'[4]LGE Sales'!#REF!</definedName>
    <definedName name="Sales">'[4]LGE Sales'!#REF!</definedName>
    <definedName name="sales_hide_ku_01" localSheetId="1">'[4]LGE Sales'!#REF!</definedName>
    <definedName name="sales_hide_ku_01" localSheetId="2">'[4]LGE Sales'!#REF!</definedName>
    <definedName name="sales_hide_ku_01" localSheetId="0">'[4]LGE Sales'!#REF!</definedName>
    <definedName name="sales_hide_ku_01">'[4]LGE Sales'!#REF!</definedName>
    <definedName name="sales_ku_01" localSheetId="1">'[4]LGE Sales'!#REF!</definedName>
    <definedName name="sales_ku_01" localSheetId="2">'[4]LGE Sales'!#REF!</definedName>
    <definedName name="sales_ku_01" localSheetId="0">'[4]LGE Sales'!#REF!</definedName>
    <definedName name="sales_ku_01">'[4]LGE Sales'!#REF!</definedName>
    <definedName name="sales_title_ku" localSheetId="1">'[4]LGE Sales'!#REF!</definedName>
    <definedName name="sales_title_ku" localSheetId="2">'[4]LGE Sales'!#REF!</definedName>
    <definedName name="sales_title_ku" localSheetId="0">'[4]LGE Sales'!#REF!</definedName>
    <definedName name="sales_title_ku">'[4]LGE Sales'!#REF!</definedName>
    <definedName name="SCHEDZ">#REF!</definedName>
    <definedName name="sdfghstfgs" localSheetId="1">'[4]LGE Coal'!#REF!</definedName>
    <definedName name="sdfghstfgs" localSheetId="2">'[4]LGE Coal'!#REF!</definedName>
    <definedName name="sdfghstfgs">'[4]LGE Coal'!#REF!</definedName>
    <definedName name="sdfgsdfg" localSheetId="1">'[4]LGE Coal'!#REF!</definedName>
    <definedName name="sdfgsdfg" localSheetId="2">'[4]LGE Coal'!#REF!</definedName>
    <definedName name="sdfgsdfg">'[4]LGE Coal'!#REF!</definedName>
    <definedName name="sdfhasdfhsdfh" localSheetId="1">#REF!</definedName>
    <definedName name="sdfhasdfhsdfh" localSheetId="2">#REF!</definedName>
    <definedName name="sdfhasdfhsdfh">#REF!</definedName>
    <definedName name="sfgjh12334" localSheetId="1">'[4]LGE Base Fuel &amp; FAC'!#REF!</definedName>
    <definedName name="sfgjh12334" localSheetId="2">'[4]LGE Base Fuel &amp; FAC'!#REF!</definedName>
    <definedName name="sfgjh12334">'[4]LGE Base Fuel &amp; FAC'!#REF!</definedName>
    <definedName name="sghsfjhxcvbfgb" localSheetId="1">'[4]LGE Gross Margin-Inc.Stmt'!#REF!</definedName>
    <definedName name="sghsfjhxcvbfgb" localSheetId="2">'[4]LGE Gross Margin-Inc.Stmt'!#REF!</definedName>
    <definedName name="sghsfjhxcvbfgb">'[4]LGE Gross Margin-Inc.Stmt'!#REF!</definedName>
    <definedName name="shoot" localSheetId="1">#REF!</definedName>
    <definedName name="shoot" localSheetId="2">#REF!</definedName>
    <definedName name="shoot" localSheetId="0">#REF!</definedName>
    <definedName name="shoot">#REF!</definedName>
    <definedName name="ssfghsdfghbxxx" localSheetId="1">#REF!</definedName>
    <definedName name="ssfghsdfghbxxx" localSheetId="2">#REF!</definedName>
    <definedName name="ssfghsdfghbxxx">#REF!</definedName>
    <definedName name="START">#REF!</definedName>
    <definedName name="START2">#REF!</definedName>
    <definedName name="START3">#REF!</definedName>
    <definedName name="sthnn" localSheetId="1">'[7]not used Ex 4'!#REF!</definedName>
    <definedName name="sthnn" localSheetId="2">'[7]not used Ex 4'!#REF!</definedName>
    <definedName name="sthnn">'[7]not used Ex 4'!#REF!</definedName>
    <definedName name="Support">#REF!</definedName>
    <definedName name="SUPPORT5">#REF!</definedName>
    <definedName name="SUPPORT6" localSheetId="1">#REF!</definedName>
    <definedName name="SUPPORT6" localSheetId="2">#REF!</definedName>
    <definedName name="SUPPORT6" localSheetId="0">#REF!</definedName>
    <definedName name="SUPPORT6">#REF!</definedName>
    <definedName name="TAX_RATE" localSheetId="1">'[8]#REF'!#REF!</definedName>
    <definedName name="TAX_RATE" localSheetId="2">'[8]#REF'!#REF!</definedName>
    <definedName name="TAX_RATE" localSheetId="0">'[8]#REF'!#REF!</definedName>
    <definedName name="TAX_RATE">'[8]#REF'!#REF!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off" localSheetId="1">#REF!</definedName>
    <definedName name="teoff" localSheetId="2">#REF!</definedName>
    <definedName name="teoff">#REF!</definedName>
    <definedName name="test" localSheetId="1">'Primary Dist. Unit Costs'!test</definedName>
    <definedName name="test" localSheetId="2">'Secondary Dist. Unit Costs'!test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1">#REF!</definedName>
    <definedName name="ttt" localSheetId="2">#REF!</definedName>
    <definedName name="ttt" localSheetId="0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 localSheetId="1">'[4]LGE Retail Margin'!#REF!</definedName>
    <definedName name="vol_rev_annual_ku" localSheetId="2">'[4]LGE Retail Margin'!#REF!</definedName>
    <definedName name="vol_rev_annual_ku" localSheetId="0">'[4]LGE Retail Margin'!#REF!</definedName>
    <definedName name="vol_rev_annual_ku">'[4]LGE Retail Margin'!#REF!</definedName>
    <definedName name="vol_rev_hide_ku_monthly" localSheetId="1">'[4]LGE Retail Margin'!#REF!</definedName>
    <definedName name="vol_rev_hide_ku_monthly" localSheetId="2">'[4]LGE Retail Margin'!#REF!</definedName>
    <definedName name="vol_rev_hide_ku_monthly" localSheetId="0">'[4]LGE Retail Margin'!#REF!</definedName>
    <definedName name="vol_rev_hide_ku_monthly">'[4]LGE Retail Margin'!#REF!</definedName>
    <definedName name="vol_rev_hide_lge_01" localSheetId="1">'[4]LGE Retail Margin'!#REF!</definedName>
    <definedName name="vol_rev_hide_lge_01" localSheetId="2">'[4]LGE Retail Margin'!#REF!</definedName>
    <definedName name="vol_rev_hide_lge_01" localSheetId="0">'[4]LGE Retail Margin'!#REF!</definedName>
    <definedName name="vol_rev_hide_lge_01">'[4]LGE Retail Margin'!#REF!</definedName>
    <definedName name="vol_rev_ku_monthly" localSheetId="1">'[4]LGE Retail Margin'!#REF!</definedName>
    <definedName name="vol_rev_ku_monthly" localSheetId="2">'[4]LGE Retail Margin'!#REF!</definedName>
    <definedName name="vol_rev_ku_monthly" localSheetId="0">'[4]LGE Retail Margin'!#REF!</definedName>
    <definedName name="vol_rev_ku_monthly">'[4]LGE Retail Margin'!#REF!</definedName>
    <definedName name="volrev_data" localSheetId="1">'[4]LGE Retail Margin'!#REF!</definedName>
    <definedName name="volrev_data" localSheetId="2">'[4]LGE Retail Margin'!#REF!</definedName>
    <definedName name="volrev_data" localSheetId="0">'[4]LGE Retail Margin'!#REF!</definedName>
    <definedName name="volrev_data">'[4]LGE Retail Margin'!#REF!</definedName>
    <definedName name="XXXXXX" localSheetId="1" hidden="1">#REF!</definedName>
    <definedName name="XXXXXX" localSheetId="2" hidden="1">#REF!</definedName>
    <definedName name="XXXXXX" hidden="1">#REF!</definedName>
    <definedName name="YTD">#REF!</definedName>
    <definedName name="yuu999" localSheetId="1">'[8]#REF'!#REF!</definedName>
    <definedName name="yuu999" localSheetId="2">'[8]#REF'!#REF!</definedName>
    <definedName name="yuu999">'[8]#REF'!#REF!</definedName>
    <definedName name="zxcvbxcvb" localSheetId="1">'[4]LGE Require &amp; Source'!#REF!</definedName>
    <definedName name="zxcvbxcvb" localSheetId="2">'[4]LGE Require &amp; Source'!#REF!</definedName>
    <definedName name="zxcvbxcvb">'[4]LGE Require &amp; Source'!#REF!</definedName>
    <definedName name="zxxcvbbbbb" localSheetId="1">'[4]LGE Require &amp; Source'!#REF!</definedName>
    <definedName name="zxxcvbbbbb" localSheetId="2">'[4]LGE Require &amp; Source'!#REF!</definedName>
    <definedName name="zxxcvbbbbb">'[4]LGE Require &amp; Source'!#REF!</definedName>
  </definedNames>
  <calcPr calcId="145621"/>
</workbook>
</file>

<file path=xl/calcChain.xml><?xml version="1.0" encoding="utf-8"?>
<calcChain xmlns="http://schemas.openxmlformats.org/spreadsheetml/2006/main">
  <c r="P19" i="3" l="1"/>
  <c r="O19" i="3"/>
  <c r="N19" i="3"/>
  <c r="K19" i="3"/>
  <c r="J19" i="3"/>
  <c r="I19" i="3"/>
  <c r="C10" i="3" l="1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D9" i="3"/>
  <c r="E9" i="3"/>
  <c r="C9" i="3"/>
  <c r="I27" i="3"/>
  <c r="C27" i="3" s="1"/>
  <c r="C19" i="3"/>
  <c r="L14" i="3"/>
  <c r="L13" i="3"/>
  <c r="L12" i="3"/>
  <c r="L11" i="3"/>
  <c r="L10" i="3"/>
  <c r="L9" i="3"/>
  <c r="E1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D9" i="2"/>
  <c r="E9" i="2"/>
  <c r="C9" i="2"/>
  <c r="I27" i="2"/>
  <c r="K27" i="2" s="1"/>
  <c r="J19" i="2"/>
  <c r="I19" i="2"/>
  <c r="L14" i="2"/>
  <c r="L13" i="2"/>
  <c r="L12" i="2"/>
  <c r="L11" i="2"/>
  <c r="L10" i="2"/>
  <c r="L9" i="2"/>
  <c r="N27" i="2"/>
  <c r="C27" i="2" s="1"/>
  <c r="O19" i="2"/>
  <c r="N19" i="2"/>
  <c r="D19" i="2" l="1"/>
  <c r="C19" i="2"/>
  <c r="J15" i="2"/>
  <c r="J17" i="2" s="1"/>
  <c r="I15" i="2"/>
  <c r="K15" i="3"/>
  <c r="I15" i="3"/>
  <c r="J15" i="3"/>
  <c r="J27" i="2"/>
  <c r="E19" i="3"/>
  <c r="D19" i="3"/>
  <c r="L27" i="3"/>
  <c r="J27" i="3"/>
  <c r="L19" i="3"/>
  <c r="K27" i="3"/>
  <c r="L27" i="2"/>
  <c r="L19" i="2"/>
  <c r="I17" i="2" l="1"/>
  <c r="G15" i="1" l="1"/>
  <c r="F10" i="4" l="1"/>
  <c r="F16" i="4" s="1"/>
  <c r="D22" i="4" s="1"/>
  <c r="G10" i="4"/>
  <c r="Q27" i="3" l="1"/>
  <c r="P27" i="3"/>
  <c r="O27" i="3"/>
  <c r="Q19" i="3"/>
  <c r="Q14" i="3"/>
  <c r="Q13" i="3"/>
  <c r="Q12" i="3"/>
  <c r="Q11" i="3"/>
  <c r="Q10" i="3"/>
  <c r="Q9" i="3"/>
  <c r="P27" i="2"/>
  <c r="E27" i="2" s="1"/>
  <c r="Q19" i="2"/>
  <c r="Q14" i="2"/>
  <c r="Q13" i="2"/>
  <c r="Q12" i="2"/>
  <c r="Q11" i="2"/>
  <c r="Q10" i="2"/>
  <c r="Q9" i="2"/>
  <c r="N15" i="2" l="1"/>
  <c r="C15" i="2" s="1"/>
  <c r="O15" i="2"/>
  <c r="P15" i="3"/>
  <c r="N15" i="3"/>
  <c r="O15" i="3"/>
  <c r="P15" i="2"/>
  <c r="P17" i="2" s="1"/>
  <c r="P25" i="2" s="1"/>
  <c r="P29" i="2" s="1"/>
  <c r="Q27" i="2"/>
  <c r="O27" i="2"/>
  <c r="D27" i="2" s="1"/>
  <c r="E15" i="3" l="1"/>
  <c r="P17" i="3"/>
  <c r="Q15" i="3"/>
  <c r="C15" i="3"/>
  <c r="N17" i="3"/>
  <c r="D15" i="3"/>
  <c r="O17" i="3"/>
  <c r="O17" i="2"/>
  <c r="D15" i="2"/>
  <c r="Q15" i="2"/>
  <c r="N17" i="2"/>
  <c r="E37" i="2"/>
  <c r="G37" i="2" s="1"/>
  <c r="E38" i="2"/>
  <c r="G38" i="2" s="1"/>
  <c r="E39" i="2"/>
  <c r="G39" i="2" s="1"/>
  <c r="F39" i="2" s="1"/>
  <c r="C41" i="2"/>
  <c r="Q17" i="3" l="1"/>
  <c r="Q17" i="2"/>
  <c r="J23" i="2"/>
  <c r="I23" i="2"/>
  <c r="O23" i="2"/>
  <c r="N23" i="2"/>
  <c r="G41" i="2"/>
  <c r="E41" i="2"/>
  <c r="C21" i="2" s="1"/>
  <c r="L23" i="2" l="1"/>
  <c r="I21" i="2"/>
  <c r="J21" i="2"/>
  <c r="J25" i="2" s="1"/>
  <c r="J29" i="2" s="1"/>
  <c r="N21" i="2"/>
  <c r="N25" i="2" s="1"/>
  <c r="O21" i="2"/>
  <c r="O25" i="2" s="1"/>
  <c r="O29" i="2" s="1"/>
  <c r="Q23" i="2"/>
  <c r="L21" i="2" l="1"/>
  <c r="I25" i="2"/>
  <c r="Q21" i="2"/>
  <c r="N29" i="2"/>
  <c r="Q25" i="2"/>
  <c r="Q29" i="2" s="1"/>
  <c r="C41" i="3"/>
  <c r="E39" i="3"/>
  <c r="G39" i="3" s="1"/>
  <c r="F39" i="3" s="1"/>
  <c r="E38" i="3"/>
  <c r="G38" i="3" s="1"/>
  <c r="E37" i="3"/>
  <c r="F27" i="3"/>
  <c r="E27" i="3"/>
  <c r="D27" i="3"/>
  <c r="F19" i="3"/>
  <c r="F14" i="3"/>
  <c r="F13" i="3"/>
  <c r="F12" i="3"/>
  <c r="F11" i="3"/>
  <c r="F10" i="3"/>
  <c r="F9" i="3"/>
  <c r="D23" i="2"/>
  <c r="F27" i="2"/>
  <c r="F19" i="2"/>
  <c r="F14" i="2"/>
  <c r="F13" i="2"/>
  <c r="F12" i="2"/>
  <c r="F11" i="2"/>
  <c r="F10" i="2"/>
  <c r="F9" i="2"/>
  <c r="D41" i="1"/>
  <c r="G39" i="1"/>
  <c r="I39" i="1" s="1"/>
  <c r="H39" i="1" s="1"/>
  <c r="D23" i="1" s="1"/>
  <c r="G38" i="1"/>
  <c r="I38" i="1" s="1"/>
  <c r="G37" i="1"/>
  <c r="G19" i="1"/>
  <c r="E17" i="1"/>
  <c r="D17" i="1"/>
  <c r="G14" i="1"/>
  <c r="G13" i="1"/>
  <c r="G12" i="1"/>
  <c r="G11" i="1"/>
  <c r="G10" i="1"/>
  <c r="G9" i="1"/>
  <c r="K17" i="3" l="1"/>
  <c r="J17" i="3"/>
  <c r="K23" i="3"/>
  <c r="I23" i="3"/>
  <c r="J23" i="3"/>
  <c r="I29" i="2"/>
  <c r="K15" i="2"/>
  <c r="E15" i="2" s="1"/>
  <c r="E17" i="2" s="1"/>
  <c r="E25" i="2" s="1"/>
  <c r="E29" i="2" s="1"/>
  <c r="D17" i="2"/>
  <c r="D17" i="3"/>
  <c r="E17" i="3"/>
  <c r="D23" i="3"/>
  <c r="P23" i="3"/>
  <c r="N23" i="3"/>
  <c r="O23" i="3"/>
  <c r="G41" i="1"/>
  <c r="E21" i="1" s="1"/>
  <c r="E41" i="3"/>
  <c r="G37" i="3"/>
  <c r="G41" i="3" s="1"/>
  <c r="E23" i="3"/>
  <c r="C23" i="2"/>
  <c r="F23" i="2" s="1"/>
  <c r="C23" i="3"/>
  <c r="E23" i="1"/>
  <c r="I37" i="1"/>
  <c r="I41" i="1" s="1"/>
  <c r="G17" i="1"/>
  <c r="L23" i="3" l="1"/>
  <c r="J21" i="3"/>
  <c r="J25" i="3" s="1"/>
  <c r="J29" i="3" s="1"/>
  <c r="I21" i="3"/>
  <c r="N21" i="3"/>
  <c r="K21" i="3"/>
  <c r="K25" i="3" s="1"/>
  <c r="K29" i="3" s="1"/>
  <c r="I17" i="3"/>
  <c r="L15" i="3"/>
  <c r="K17" i="2"/>
  <c r="L15" i="2"/>
  <c r="P21" i="3"/>
  <c r="P25" i="3" s="1"/>
  <c r="P29" i="3" s="1"/>
  <c r="O21" i="3"/>
  <c r="O25" i="3" s="1"/>
  <c r="O29" i="3" s="1"/>
  <c r="N25" i="3"/>
  <c r="F23" i="3"/>
  <c r="F15" i="3"/>
  <c r="C17" i="3"/>
  <c r="F17" i="3" s="1"/>
  <c r="F15" i="2"/>
  <c r="C17" i="2"/>
  <c r="F17" i="2" s="1"/>
  <c r="Q23" i="3"/>
  <c r="D27" i="1"/>
  <c r="E25" i="1"/>
  <c r="D21" i="1"/>
  <c r="D21" i="3"/>
  <c r="D25" i="3" s="1"/>
  <c r="D29" i="3" s="1"/>
  <c r="E21" i="3"/>
  <c r="E25" i="3" s="1"/>
  <c r="E29" i="3" s="1"/>
  <c r="C21" i="3"/>
  <c r="D21" i="2"/>
  <c r="D25" i="2" s="1"/>
  <c r="D29" i="2" s="1"/>
  <c r="G23" i="1"/>
  <c r="L21" i="3" l="1"/>
  <c r="L17" i="3"/>
  <c r="I25" i="3"/>
  <c r="K25" i="2"/>
  <c r="L17" i="2"/>
  <c r="Q21" i="3"/>
  <c r="G21" i="1"/>
  <c r="D25" i="1"/>
  <c r="G25" i="1" s="1"/>
  <c r="Q25" i="3"/>
  <c r="Q29" i="3" s="1"/>
  <c r="N29" i="3"/>
  <c r="E27" i="1"/>
  <c r="E29" i="1" s="1"/>
  <c r="G27" i="1"/>
  <c r="F21" i="2"/>
  <c r="C25" i="2"/>
  <c r="C29" i="2" s="1"/>
  <c r="F21" i="3"/>
  <c r="C25" i="3"/>
  <c r="F25" i="3" s="1"/>
  <c r="L25" i="3" l="1"/>
  <c r="L29" i="3" s="1"/>
  <c r="I29" i="3"/>
  <c r="K29" i="2"/>
  <c r="L25" i="2"/>
  <c r="L29" i="2" s="1"/>
  <c r="G29" i="1"/>
  <c r="D29" i="1"/>
  <c r="F25" i="2"/>
  <c r="F29" i="2" s="1"/>
  <c r="C29" i="3"/>
  <c r="F29" i="3"/>
</calcChain>
</file>

<file path=xl/sharedStrings.xml><?xml version="1.0" encoding="utf-8"?>
<sst xmlns="http://schemas.openxmlformats.org/spreadsheetml/2006/main" count="239" uniqueCount="71">
  <si>
    <t>Production and Transmission Unit Demand Costs</t>
  </si>
  <si>
    <t>Total System</t>
  </si>
  <si>
    <t>Total</t>
  </si>
  <si>
    <t>Production</t>
  </si>
  <si>
    <t>Transmission</t>
  </si>
  <si>
    <t>Reference</t>
  </si>
  <si>
    <t>Cost</t>
  </si>
  <si>
    <t>Operation and Maintenance Expenses</t>
  </si>
  <si>
    <t>Depreciation Expenses</t>
  </si>
  <si>
    <t>Accretion Expenses</t>
  </si>
  <si>
    <t>Property Taxes</t>
  </si>
  <si>
    <t>Other Taxes</t>
  </si>
  <si>
    <t>Gain Disposition of Allowances and other</t>
  </si>
  <si>
    <t>Sub-Total Expenses</t>
  </si>
  <si>
    <t>Return</t>
  </si>
  <si>
    <t>Rate Base x Weighted Cost of Capital %</t>
  </si>
  <si>
    <t>Income Taxes</t>
  </si>
  <si>
    <t>Rate Base x Income Tax %</t>
  </si>
  <si>
    <t>Total Revenue Requirement</t>
  </si>
  <si>
    <t>Expenses + Return + Income Taxes</t>
  </si>
  <si>
    <t>100% Load Factor Demand</t>
  </si>
  <si>
    <t>Unit Cost (Single Phase)</t>
  </si>
  <si>
    <t>Total Revenue Requirement / Demand</t>
  </si>
  <si>
    <t>Weighted</t>
  </si>
  <si>
    <t xml:space="preserve">Cost of </t>
  </si>
  <si>
    <t>Capital</t>
  </si>
  <si>
    <t>Income</t>
  </si>
  <si>
    <t>Grossed Up</t>
  </si>
  <si>
    <t>Taxes</t>
  </si>
  <si>
    <t>For Inc Taxes</t>
  </si>
  <si>
    <t>Short Term Debt</t>
  </si>
  <si>
    <t>Long Term Debt</t>
  </si>
  <si>
    <t>Common Equity</t>
  </si>
  <si>
    <t>Total Capitalization</t>
  </si>
  <si>
    <t>Composite State and Fed Inc Tax Rate</t>
  </si>
  <si>
    <t>Distribution</t>
  </si>
  <si>
    <t xml:space="preserve">Distribution </t>
  </si>
  <si>
    <t xml:space="preserve">Primary </t>
  </si>
  <si>
    <t>Primary</t>
  </si>
  <si>
    <t xml:space="preserve">Substation </t>
  </si>
  <si>
    <t>Lines</t>
  </si>
  <si>
    <t>Transformer</t>
  </si>
  <si>
    <t xml:space="preserve">Cost </t>
  </si>
  <si>
    <t>Billing Demand</t>
  </si>
  <si>
    <t>Secondary</t>
  </si>
  <si>
    <t>(3)</t>
  </si>
  <si>
    <t>(5)</t>
  </si>
  <si>
    <t>90% Power Factor Adjustment</t>
  </si>
  <si>
    <t>System CP x 12 months @ 90% PF</t>
  </si>
  <si>
    <t>(1)</t>
  </si>
  <si>
    <t>(2)</t>
  </si>
  <si>
    <t>(4)</t>
  </si>
  <si>
    <t>Billing Demand @ 90% PF</t>
  </si>
  <si>
    <t>TODS</t>
  </si>
  <si>
    <t>(1)*5 + (2)*7 + (3)*12</t>
  </si>
  <si>
    <t>KU System Peak</t>
  </si>
  <si>
    <t>(2) / (3)</t>
  </si>
  <si>
    <t>(1) * 12</t>
  </si>
  <si>
    <t>Expense Adjustments</t>
  </si>
  <si>
    <t>Adjusted Rate Base</t>
  </si>
  <si>
    <t>TODP</t>
  </si>
  <si>
    <t>PSP</t>
  </si>
  <si>
    <t>PSS</t>
  </si>
  <si>
    <t>Secondary Distribution Unit Demand Costs</t>
  </si>
  <si>
    <t>Primary Distribution Unit Demand Costs</t>
  </si>
  <si>
    <t>Power Service Primary &amp; TOD Primary</t>
  </si>
  <si>
    <t>Power Service Secondary &amp; TOD Secondary</t>
  </si>
  <si>
    <t>Conroy Exhibit C4</t>
  </si>
  <si>
    <t>Calculation of KU 100% Load Factor Demand</t>
  </si>
  <si>
    <t>Page 1 -- no changes resulting from the Services reallocation in cost of service</t>
  </si>
  <si>
    <t>Revisions Highlighted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</si>
</sst>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&quot;$&quot;#,##0\ ;\(&quot;$&quot;#,##0\)"/>
    <numFmt numFmtId="168" formatCode="_([$€-2]* #,##0.00_);_([$€-2]* \(#,##0.00\);_([$€-2]* &quot;-&quot;??_)"/>
    <numFmt numFmtId="169" formatCode="_(&quot;$&quot;* #,##0.0000_);_(&quot;$&quot;* \(#,##0.0000\);_(&quot;$&quot;* &quot;-&quot;??_);_(@_)"/>
    <numFmt numFmtId="170" formatCode="0.0000%"/>
  </numFmts>
  <fonts count="28" x14ac:knownFonts="1"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7" fontId="7" fillId="0" borderId="0"/>
    <xf numFmtId="0" fontId="8" fillId="2" borderId="0">
      <alignment horizontal="left"/>
    </xf>
    <xf numFmtId="0" fontId="9" fillId="2" borderId="0">
      <alignment horizontal="right"/>
    </xf>
    <xf numFmtId="0" fontId="10" fillId="3" borderId="0">
      <alignment horizontal="center"/>
    </xf>
    <xf numFmtId="0" fontId="9" fillId="2" borderId="0">
      <alignment horizontal="right"/>
    </xf>
    <xf numFmtId="0" fontId="11" fillId="3" borderId="0">
      <alignment horizontal="left"/>
    </xf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3" fillId="0" borderId="0" applyProtection="0"/>
    <xf numFmtId="0" fontId="12" fillId="0" borderId="0" applyProtection="0"/>
    <xf numFmtId="0" fontId="16" fillId="0" borderId="0" applyProtection="0"/>
    <xf numFmtId="2" fontId="3" fillId="0" borderId="0" applyFont="0" applyFill="0" applyBorder="0" applyAlignment="0" applyProtection="0"/>
    <xf numFmtId="0" fontId="8" fillId="2" borderId="0">
      <alignment horizontal="left"/>
    </xf>
    <xf numFmtId="0" fontId="17" fillId="3" borderId="0">
      <alignment horizontal="left"/>
    </xf>
    <xf numFmtId="4" fontId="18" fillId="4" borderId="0">
      <alignment horizontal="right"/>
    </xf>
    <xf numFmtId="0" fontId="19" fillId="4" borderId="0">
      <alignment horizontal="center" vertical="center"/>
    </xf>
    <xf numFmtId="0" fontId="17" fillId="4" borderId="5"/>
    <xf numFmtId="0" fontId="19" fillId="4" borderId="0" applyBorder="0">
      <alignment horizontal="centerContinuous"/>
    </xf>
    <xf numFmtId="0" fontId="20" fillId="4" borderId="0" applyBorder="0">
      <alignment horizontal="centerContinuous"/>
    </xf>
    <xf numFmtId="0" fontId="17" fillId="5" borderId="0">
      <alignment horizontal="center"/>
    </xf>
    <xf numFmtId="49" fontId="21" fillId="3" borderId="0">
      <alignment horizontal="center"/>
    </xf>
    <xf numFmtId="0" fontId="9" fillId="2" borderId="0">
      <alignment horizontal="center"/>
    </xf>
    <xf numFmtId="0" fontId="9" fillId="2" borderId="0">
      <alignment horizontal="centerContinuous"/>
    </xf>
    <xf numFmtId="0" fontId="22" fillId="3" borderId="0">
      <alignment horizontal="left"/>
    </xf>
    <xf numFmtId="49" fontId="22" fillId="3" borderId="0">
      <alignment horizontal="center"/>
    </xf>
    <xf numFmtId="0" fontId="8" fillId="2" borderId="0">
      <alignment horizontal="left"/>
    </xf>
    <xf numFmtId="49" fontId="22" fillId="3" borderId="0">
      <alignment horizontal="left"/>
    </xf>
    <xf numFmtId="0" fontId="8" fillId="2" borderId="0">
      <alignment horizontal="centerContinuous"/>
    </xf>
    <xf numFmtId="0" fontId="8" fillId="2" borderId="0">
      <alignment horizontal="right"/>
    </xf>
    <xf numFmtId="49" fontId="17" fillId="3" borderId="0">
      <alignment horizontal="left"/>
    </xf>
    <xf numFmtId="0" fontId="9" fillId="2" borderId="0">
      <alignment horizontal="right"/>
    </xf>
    <xf numFmtId="0" fontId="22" fillId="6" borderId="0">
      <alignment horizontal="center"/>
    </xf>
    <xf numFmtId="0" fontId="23" fillId="6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" borderId="0">
      <alignment horizontal="center"/>
    </xf>
    <xf numFmtId="0" fontId="25" fillId="0" borderId="0"/>
    <xf numFmtId="9" fontId="25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4" fontId="0" fillId="0" borderId="0" xfId="2" applyNumberFormat="1" applyFont="1"/>
    <xf numFmtId="165" fontId="0" fillId="0" borderId="0" xfId="1" applyNumberFormat="1" applyFont="1"/>
    <xf numFmtId="0" fontId="0" fillId="0" borderId="0" xfId="0" applyBorder="1"/>
    <xf numFmtId="164" fontId="0" fillId="0" borderId="0" xfId="2" applyNumberFormat="1" applyFont="1" applyBorder="1"/>
    <xf numFmtId="165" fontId="0" fillId="0" borderId="0" xfId="1" applyNumberFormat="1" applyFont="1" applyBorder="1"/>
    <xf numFmtId="165" fontId="3" fillId="0" borderId="0" xfId="1" applyNumberFormat="1" applyFont="1" applyFill="1" applyBorder="1"/>
    <xf numFmtId="44" fontId="0" fillId="0" borderId="0" xfId="2" applyFont="1" applyBorder="1"/>
    <xf numFmtId="0" fontId="4" fillId="0" borderId="0" xfId="4" applyFont="1" applyBorder="1" applyAlignment="1"/>
    <xf numFmtId="10" fontId="4" fillId="0" borderId="0" xfId="4" applyNumberFormat="1" applyFont="1" applyBorder="1" applyAlignment="1" applyProtection="1">
      <alignment horizontal="center"/>
    </xf>
    <xf numFmtId="166" fontId="4" fillId="0" borderId="0" xfId="4" applyNumberFormat="1" applyFont="1" applyBorder="1" applyAlignment="1" applyProtection="1"/>
    <xf numFmtId="0" fontId="6" fillId="0" borderId="0" xfId="4" applyFont="1" applyBorder="1" applyAlignment="1">
      <alignment horizontal="center"/>
    </xf>
    <xf numFmtId="10" fontId="4" fillId="0" borderId="0" xfId="4" quotePrefix="1" applyNumberFormat="1" applyFont="1" applyBorder="1" applyAlignment="1" applyProtection="1">
      <alignment horizontal="center"/>
    </xf>
    <xf numFmtId="37" fontId="4" fillId="0" borderId="0" xfId="5" applyFont="1" applyFill="1"/>
    <xf numFmtId="0" fontId="25" fillId="0" borderId="0" xfId="51"/>
    <xf numFmtId="9" fontId="0" fillId="0" borderId="0" xfId="52" applyNumberFormat="1" applyFont="1" applyBorder="1" applyAlignment="1">
      <alignment horizontal="center" vertical="center"/>
    </xf>
    <xf numFmtId="3" fontId="25" fillId="0" borderId="0" xfId="51" applyNumberFormat="1" applyBorder="1" applyAlignment="1">
      <alignment horizontal="center" vertical="center"/>
    </xf>
    <xf numFmtId="0" fontId="3" fillId="0" borderId="0" xfId="51" applyFont="1"/>
    <xf numFmtId="165" fontId="25" fillId="0" borderId="0" xfId="1" applyNumberFormat="1" applyFont="1"/>
    <xf numFmtId="0" fontId="3" fillId="0" borderId="0" xfId="51" applyFont="1" applyFill="1" applyBorder="1" applyAlignment="1">
      <alignment horizontal="center"/>
    </xf>
    <xf numFmtId="0" fontId="3" fillId="0" borderId="0" xfId="51" quotePrefix="1" applyFont="1" applyFill="1" applyBorder="1" applyAlignment="1">
      <alignment horizontal="center"/>
    </xf>
    <xf numFmtId="166" fontId="4" fillId="0" borderId="0" xfId="3" applyNumberFormat="1" applyFont="1" applyBorder="1" applyAlignment="1">
      <alignment horizontal="right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4" fillId="0" borderId="0" xfId="2" applyNumberFormat="1" applyFont="1"/>
    <xf numFmtId="165" fontId="4" fillId="0" borderId="0" xfId="1" applyNumberFormat="1" applyFont="1"/>
    <xf numFmtId="164" fontId="4" fillId="0" borderId="1" xfId="2" applyNumberFormat="1" applyFont="1" applyBorder="1"/>
    <xf numFmtId="0" fontId="4" fillId="0" borderId="0" xfId="0" applyFont="1" applyBorder="1"/>
    <xf numFmtId="164" fontId="4" fillId="0" borderId="0" xfId="2" applyNumberFormat="1" applyFont="1" applyBorder="1"/>
    <xf numFmtId="165" fontId="4" fillId="0" borderId="0" xfId="1" applyNumberFormat="1" applyFont="1" applyBorder="1"/>
    <xf numFmtId="165" fontId="26" fillId="0" borderId="0" xfId="1" applyNumberFormat="1" applyFont="1" applyFill="1" applyBorder="1"/>
    <xf numFmtId="44" fontId="4" fillId="0" borderId="2" xfId="2" applyFont="1" applyBorder="1"/>
    <xf numFmtId="44" fontId="4" fillId="0" borderId="0" xfId="2" applyFont="1" applyBorder="1"/>
    <xf numFmtId="0" fontId="4" fillId="0" borderId="0" xfId="0" applyFont="1" applyAlignment="1">
      <alignment horizontal="right"/>
    </xf>
    <xf numFmtId="166" fontId="4" fillId="0" borderId="0" xfId="0" applyNumberFormat="1" applyFont="1"/>
    <xf numFmtId="170" fontId="4" fillId="0" borderId="0" xfId="3" applyNumberFormat="1" applyFont="1"/>
    <xf numFmtId="165" fontId="4" fillId="0" borderId="0" xfId="1" applyNumberFormat="1" applyFont="1" applyFill="1"/>
    <xf numFmtId="165" fontId="4" fillId="0" borderId="0" xfId="1" applyNumberFormat="1" applyFont="1" applyFill="1" applyBorder="1"/>
    <xf numFmtId="169" fontId="4" fillId="0" borderId="2" xfId="2" applyNumberFormat="1" applyFont="1" applyBorder="1"/>
    <xf numFmtId="0" fontId="4" fillId="0" borderId="0" xfId="51" applyFont="1" applyBorder="1" applyAlignment="1">
      <alignment horizontal="center" vertical="center"/>
    </xf>
    <xf numFmtId="3" fontId="25" fillId="0" borderId="5" xfId="1" applyNumberFormat="1" applyFont="1" applyFill="1" applyBorder="1" applyAlignment="1">
      <alignment vertic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0" fontId="4" fillId="0" borderId="0" xfId="4" applyNumberFormat="1" applyFont="1" applyBorder="1" applyAlignment="1" applyProtection="1">
      <protection locked="0"/>
    </xf>
    <xf numFmtId="10" fontId="5" fillId="0" borderId="0" xfId="4" applyNumberFormat="1" applyFont="1" applyBorder="1" applyAlignment="1" applyProtection="1"/>
    <xf numFmtId="10" fontId="4" fillId="0" borderId="0" xfId="4" applyNumberFormat="1" applyFont="1" applyBorder="1" applyAlignment="1" applyProtection="1"/>
    <xf numFmtId="10" fontId="4" fillId="0" borderId="0" xfId="0" applyNumberFormat="1" applyFont="1"/>
    <xf numFmtId="10" fontId="4" fillId="0" borderId="3" xfId="4" applyNumberFormat="1" applyFont="1" applyBorder="1" applyAlignment="1" applyProtection="1">
      <protection locked="0"/>
    </xf>
    <xf numFmtId="10" fontId="4" fillId="0" borderId="3" xfId="4" applyNumberFormat="1" applyFont="1" applyBorder="1" applyAlignment="1" applyProtection="1"/>
    <xf numFmtId="10" fontId="4" fillId="0" borderId="0" xfId="4" applyNumberFormat="1" applyFont="1" applyBorder="1"/>
    <xf numFmtId="10" fontId="4" fillId="0" borderId="4" xfId="3" applyNumberFormat="1" applyFont="1" applyBorder="1" applyAlignment="1">
      <alignment horizontal="right"/>
    </xf>
    <xf numFmtId="165" fontId="4" fillId="7" borderId="0" xfId="1" applyNumberFormat="1" applyFont="1" applyFill="1"/>
    <xf numFmtId="165" fontId="27" fillId="7" borderId="0" xfId="1" applyNumberFormat="1" applyFont="1" applyFill="1"/>
    <xf numFmtId="165" fontId="27" fillId="0" borderId="0" xfId="1" applyNumberFormat="1" applyFont="1"/>
    <xf numFmtId="164" fontId="4" fillId="7" borderId="0" xfId="2" applyNumberFormat="1" applyFont="1" applyFill="1"/>
    <xf numFmtId="3" fontId="0" fillId="0" borderId="8" xfId="1" applyNumberFormat="1" applyFont="1" applyBorder="1" applyAlignment="1">
      <alignment horizontal="center" vertical="center"/>
    </xf>
    <xf numFmtId="3" fontId="0" fillId="0" borderId="0" xfId="1" applyNumberFormat="1" applyFont="1" applyBorder="1" applyAlignment="1">
      <alignment horizontal="center" vertical="center"/>
    </xf>
    <xf numFmtId="3" fontId="0" fillId="0" borderId="5" xfId="1" applyNumberFormat="1" applyFont="1" applyBorder="1" applyAlignment="1">
      <alignment horizontal="center" vertical="center"/>
    </xf>
    <xf numFmtId="3" fontId="0" fillId="0" borderId="9" xfId="1" applyNumberFormat="1" applyFont="1" applyBorder="1" applyAlignment="1">
      <alignment horizontal="center" vertical="center"/>
    </xf>
    <xf numFmtId="3" fontId="0" fillId="0" borderId="3" xfId="1" applyNumberFormat="1" applyFont="1" applyBorder="1" applyAlignment="1">
      <alignment horizontal="center" vertical="center"/>
    </xf>
    <xf numFmtId="3" fontId="0" fillId="0" borderId="10" xfId="1" applyNumberFormat="1" applyFont="1" applyBorder="1" applyAlignment="1">
      <alignment horizontal="center" vertical="center"/>
    </xf>
    <xf numFmtId="3" fontId="25" fillId="0" borderId="0" xfId="51" applyNumberFormat="1" applyBorder="1" applyAlignment="1">
      <alignment horizontal="center" vertical="center"/>
    </xf>
    <xf numFmtId="3" fontId="25" fillId="0" borderId="5" xfId="51" applyNumberFormat="1" applyBorder="1" applyAlignment="1">
      <alignment horizontal="center" vertical="center"/>
    </xf>
    <xf numFmtId="3" fontId="25" fillId="0" borderId="3" xfId="51" applyNumberFormat="1" applyBorder="1" applyAlignment="1">
      <alignment horizontal="center" vertical="center"/>
    </xf>
    <xf numFmtId="3" fontId="25" fillId="0" borderId="10" xfId="51" applyNumberForma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</xf>
    <xf numFmtId="0" fontId="3" fillId="0" borderId="13" xfId="51" applyFont="1" applyBorder="1" applyAlignment="1">
      <alignment horizontal="center" vertical="center"/>
    </xf>
    <xf numFmtId="0" fontId="3" fillId="0" borderId="9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3" fillId="0" borderId="10" xfId="51" applyFont="1" applyBorder="1" applyAlignment="1">
      <alignment horizontal="center" vertical="center"/>
    </xf>
    <xf numFmtId="3" fontId="12" fillId="0" borderId="6" xfId="51" applyNumberFormat="1" applyFont="1" applyBorder="1" applyAlignment="1">
      <alignment horizontal="center" vertical="center"/>
    </xf>
    <xf numFmtId="0" fontId="12" fillId="0" borderId="6" xfId="51" applyFont="1" applyBorder="1" applyAlignment="1">
      <alignment horizontal="center" vertical="center"/>
    </xf>
    <xf numFmtId="0" fontId="25" fillId="0" borderId="0" xfId="51" applyAlignment="1">
      <alignment horizontal="center"/>
    </xf>
    <xf numFmtId="0" fontId="3" fillId="0" borderId="6" xfId="51" applyFont="1" applyBorder="1" applyAlignment="1">
      <alignment horizontal="center"/>
    </xf>
    <xf numFmtId="0" fontId="3" fillId="0" borderId="7" xfId="51" quotePrefix="1" applyFont="1" applyBorder="1" applyAlignment="1">
      <alignment horizontal="center"/>
    </xf>
    <xf numFmtId="0" fontId="3" fillId="0" borderId="6" xfId="51" quotePrefix="1" applyFont="1" applyBorder="1" applyAlignment="1">
      <alignment horizontal="center"/>
    </xf>
    <xf numFmtId="0" fontId="3" fillId="0" borderId="8" xfId="51" quotePrefix="1" applyFont="1" applyBorder="1" applyAlignment="1">
      <alignment horizontal="center"/>
    </xf>
    <xf numFmtId="0" fontId="3" fillId="0" borderId="0" xfId="51" quotePrefix="1" applyFont="1" applyBorder="1" applyAlignment="1">
      <alignment horizontal="center"/>
    </xf>
    <xf numFmtId="0" fontId="3" fillId="0" borderId="5" xfId="51" quotePrefix="1" applyFont="1" applyBorder="1" applyAlignment="1">
      <alignment horizontal="center"/>
    </xf>
    <xf numFmtId="9" fontId="0" fillId="0" borderId="8" xfId="52" applyNumberFormat="1" applyFont="1" applyBorder="1" applyAlignment="1">
      <alignment horizontal="center" vertical="center"/>
    </xf>
    <xf numFmtId="9" fontId="0" fillId="0" borderId="0" xfId="52" applyNumberFormat="1" applyFont="1" applyBorder="1" applyAlignment="1">
      <alignment horizontal="center" vertical="center"/>
    </xf>
    <xf numFmtId="9" fontId="0" fillId="0" borderId="5" xfId="52" applyNumberFormat="1" applyFont="1" applyBorder="1" applyAlignment="1">
      <alignment horizontal="center" vertical="center"/>
    </xf>
    <xf numFmtId="9" fontId="0" fillId="0" borderId="9" xfId="52" applyNumberFormat="1" applyFont="1" applyBorder="1" applyAlignment="1">
      <alignment horizontal="center" vertical="center"/>
    </xf>
    <xf numFmtId="9" fontId="0" fillId="0" borderId="3" xfId="52" applyNumberFormat="1" applyFont="1" applyBorder="1" applyAlignment="1">
      <alignment horizontal="center" vertical="center"/>
    </xf>
    <xf numFmtId="9" fontId="0" fillId="0" borderId="10" xfId="52" applyNumberFormat="1" applyFont="1" applyBorder="1" applyAlignment="1">
      <alignment horizontal="center" vertical="center"/>
    </xf>
    <xf numFmtId="0" fontId="4" fillId="0" borderId="0" xfId="51" applyFont="1" applyBorder="1" applyAlignment="1">
      <alignment horizontal="center" vertical="center"/>
    </xf>
  </cellXfs>
  <cellStyles count="53">
    <cellStyle name="ColumnAttributeAbovePrompt" xfId="6"/>
    <cellStyle name="ColumnAttributePrompt" xfId="7"/>
    <cellStyle name="ColumnAttributeValue" xfId="8"/>
    <cellStyle name="ColumnHeadingPrompt" xfId="9"/>
    <cellStyle name="ColumnHeadingValue" xfId="10"/>
    <cellStyle name="Comma" xfId="1" builtinId="3"/>
    <cellStyle name="Comma0" xfId="11"/>
    <cellStyle name="Currency" xfId="2" builtinId="4"/>
    <cellStyle name="Currency0" xfId="12"/>
    <cellStyle name="Date" xfId="13"/>
    <cellStyle name="Euro" xfId="14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Fixed" xfId="22"/>
    <cellStyle name="LineItemPrompt" xfId="23"/>
    <cellStyle name="LineItemValue" xfId="24"/>
    <cellStyle name="Normal" xfId="0" builtinId="0"/>
    <cellStyle name="Normal 2" xfId="51"/>
    <cellStyle name="Normal_FERC COC" xfId="4"/>
    <cellStyle name="Normal_KU RR Exhibits 12mosAPR 2008 SETTLEMENT JAN09 (Working File)" xfId="5"/>
    <cellStyle name="Output Amounts" xfId="25"/>
    <cellStyle name="Output Column Headings" xfId="26"/>
    <cellStyle name="Output Line Items" xfId="27"/>
    <cellStyle name="Output Report Heading" xfId="28"/>
    <cellStyle name="Output Report Title" xfId="29"/>
    <cellStyle name="Percent" xfId="3" builtinId="5"/>
    <cellStyle name="Percent 2" xfId="52"/>
    <cellStyle name="ReportTitlePrompt" xfId="30"/>
    <cellStyle name="ReportTitleValue" xfId="31"/>
    <cellStyle name="RowAcctAbovePrompt" xfId="32"/>
    <cellStyle name="RowAcctSOBAbovePrompt" xfId="33"/>
    <cellStyle name="RowAcctSOBValue" xfId="34"/>
    <cellStyle name="RowAcctValue" xfId="35"/>
    <cellStyle name="RowAttrAbovePrompt" xfId="36"/>
    <cellStyle name="RowAttrValue" xfId="37"/>
    <cellStyle name="RowColSetAbovePrompt" xfId="38"/>
    <cellStyle name="RowColSetLeftPrompt" xfId="39"/>
    <cellStyle name="RowColSetValue" xfId="40"/>
    <cellStyle name="RowLeftPrompt" xfId="41"/>
    <cellStyle name="SampleUsingFormatMask" xfId="42"/>
    <cellStyle name="SampleWithNoFormatMask" xfId="43"/>
    <cellStyle name="STYL5 - Style5" xfId="44"/>
    <cellStyle name="STYL6 - Style6" xfId="45"/>
    <cellStyle name="STYLE1 - Style1" xfId="46"/>
    <cellStyle name="STYLE2 - Style2" xfId="47"/>
    <cellStyle name="STYLE3 - Style3" xfId="48"/>
    <cellStyle name="STYLE4 - Style4" xfId="49"/>
    <cellStyle name="UploadThisRowValue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BreakPreview" zoomScale="60" zoomScaleNormal="100" workbookViewId="0">
      <selection activeCell="G31" sqref="G31"/>
    </sheetView>
  </sheetViews>
  <sheetFormatPr defaultRowHeight="15" x14ac:dyDescent="0.25"/>
  <cols>
    <col min="1" max="1" width="47.28515625" customWidth="1"/>
    <col min="2" max="2" width="48.28515625" customWidth="1"/>
    <col min="3" max="3" width="3" customWidth="1"/>
    <col min="4" max="5" width="18.7109375" customWidth="1"/>
    <col min="6" max="6" width="1.85546875" customWidth="1"/>
    <col min="7" max="7" width="20" customWidth="1"/>
    <col min="8" max="8" width="10.85546875" customWidth="1"/>
    <col min="9" max="9" width="15.28515625" customWidth="1"/>
    <col min="10" max="12" width="12.7109375" customWidth="1"/>
    <col min="13" max="13" width="13" customWidth="1"/>
  </cols>
  <sheetData>
    <row r="1" spans="1:13" ht="15.75" x14ac:dyDescent="0.25">
      <c r="A1" s="45" t="s">
        <v>0</v>
      </c>
      <c r="B1" s="45"/>
      <c r="C1" s="45"/>
      <c r="D1" s="46"/>
      <c r="E1" s="46"/>
      <c r="F1" s="46"/>
      <c r="G1" s="46"/>
      <c r="H1" s="46"/>
      <c r="I1" s="46"/>
    </row>
    <row r="2" spans="1:13" ht="15.75" x14ac:dyDescent="0.25">
      <c r="A2" s="45" t="s">
        <v>1</v>
      </c>
      <c r="B2" s="46"/>
      <c r="C2" s="46"/>
      <c r="D2" s="46"/>
      <c r="E2" s="46"/>
      <c r="F2" s="46"/>
      <c r="G2" s="46"/>
      <c r="H2" s="46"/>
      <c r="I2" s="46"/>
    </row>
    <row r="3" spans="1:13" ht="15.75" x14ac:dyDescent="0.25">
      <c r="A3" s="24"/>
      <c r="B3" s="25"/>
      <c r="C3" s="25"/>
      <c r="D3" s="25"/>
      <c r="E3" s="25"/>
      <c r="F3" s="25"/>
      <c r="G3" s="25"/>
      <c r="H3" s="25"/>
      <c r="I3" s="25"/>
    </row>
    <row r="4" spans="1:13" ht="15.75" x14ac:dyDescent="0.25">
      <c r="A4" s="24"/>
      <c r="B4" s="25"/>
      <c r="C4" s="25"/>
      <c r="D4" s="25"/>
      <c r="E4" s="25"/>
      <c r="F4" s="25"/>
      <c r="G4" s="25"/>
      <c r="H4" s="25"/>
      <c r="I4" s="25"/>
      <c r="K4" t="s">
        <v>69</v>
      </c>
    </row>
    <row r="5" spans="1:13" ht="15.75" x14ac:dyDescent="0.25">
      <c r="A5" s="25"/>
      <c r="B5" s="25"/>
      <c r="C5" s="25"/>
      <c r="D5" s="26" t="s">
        <v>2</v>
      </c>
      <c r="E5" s="26" t="s">
        <v>2</v>
      </c>
      <c r="F5" s="26"/>
      <c r="G5" s="26"/>
      <c r="H5" s="26"/>
      <c r="I5" s="26"/>
      <c r="J5" s="2"/>
      <c r="K5" s="2"/>
      <c r="L5" s="2"/>
    </row>
    <row r="6" spans="1:13" ht="15.75" x14ac:dyDescent="0.25">
      <c r="A6" s="25"/>
      <c r="B6" s="25"/>
      <c r="C6" s="25"/>
      <c r="D6" s="26" t="s">
        <v>3</v>
      </c>
      <c r="E6" s="26" t="s">
        <v>4</v>
      </c>
      <c r="F6" s="26"/>
      <c r="G6" s="26"/>
      <c r="H6" s="26"/>
      <c r="I6" s="26"/>
      <c r="J6" s="2"/>
      <c r="K6" s="2"/>
      <c r="L6" s="2"/>
    </row>
    <row r="7" spans="1:13" ht="15.75" x14ac:dyDescent="0.25">
      <c r="A7" s="25"/>
      <c r="B7" s="24" t="s">
        <v>5</v>
      </c>
      <c r="C7" s="27"/>
      <c r="D7" s="26" t="s">
        <v>6</v>
      </c>
      <c r="E7" s="26" t="s">
        <v>6</v>
      </c>
      <c r="F7" s="26"/>
      <c r="G7" s="26" t="s">
        <v>2</v>
      </c>
      <c r="H7" s="25"/>
      <c r="I7" s="26"/>
      <c r="J7" s="2"/>
      <c r="K7" s="2"/>
    </row>
    <row r="8" spans="1:13" ht="15.75" x14ac:dyDescent="0.25">
      <c r="A8" s="25"/>
      <c r="B8" s="25"/>
      <c r="C8" s="25"/>
      <c r="D8" s="25"/>
      <c r="E8" s="25"/>
      <c r="F8" s="25"/>
      <c r="G8" s="25"/>
      <c r="H8" s="25"/>
      <c r="I8" s="25"/>
    </row>
    <row r="9" spans="1:13" ht="15.75" x14ac:dyDescent="0.25">
      <c r="A9" s="25" t="s">
        <v>7</v>
      </c>
      <c r="B9" s="25" t="s">
        <v>67</v>
      </c>
      <c r="C9" s="25"/>
      <c r="D9" s="28">
        <v>90638112</v>
      </c>
      <c r="E9" s="28">
        <v>29749027</v>
      </c>
      <c r="F9" s="28"/>
      <c r="G9" s="28">
        <f t="shared" ref="G9:G14" si="0">SUM(D9:F9)</f>
        <v>120387139</v>
      </c>
      <c r="H9" s="25"/>
      <c r="I9" s="28"/>
      <c r="J9" s="3"/>
      <c r="K9" s="3"/>
    </row>
    <row r="10" spans="1:13" ht="15.75" x14ac:dyDescent="0.25">
      <c r="A10" s="25" t="s">
        <v>8</v>
      </c>
      <c r="B10" s="25" t="s">
        <v>67</v>
      </c>
      <c r="C10" s="25"/>
      <c r="D10" s="29">
        <v>121456460.01621392</v>
      </c>
      <c r="E10" s="29">
        <v>10488192.603470689</v>
      </c>
      <c r="F10" s="29"/>
      <c r="G10" s="28">
        <f t="shared" si="0"/>
        <v>131944652.61968461</v>
      </c>
      <c r="H10" s="25"/>
      <c r="I10" s="29"/>
      <c r="J10" s="4"/>
      <c r="K10" s="4"/>
      <c r="M10" s="3"/>
    </row>
    <row r="11" spans="1:13" ht="15.75" x14ac:dyDescent="0.25">
      <c r="A11" s="25" t="s">
        <v>9</v>
      </c>
      <c r="B11" s="25" t="s">
        <v>67</v>
      </c>
      <c r="C11" s="25"/>
      <c r="D11" s="29">
        <v>-2647544.4533641296</v>
      </c>
      <c r="E11" s="29">
        <v>-5403.6107021218604</v>
      </c>
      <c r="F11" s="29"/>
      <c r="G11" s="28">
        <f t="shared" si="0"/>
        <v>-2652948.0640662513</v>
      </c>
      <c r="H11" s="25"/>
      <c r="I11" s="29"/>
      <c r="J11" s="4"/>
      <c r="K11" s="4"/>
    </row>
    <row r="12" spans="1:13" ht="15.75" x14ac:dyDescent="0.25">
      <c r="A12" s="25" t="s">
        <v>10</v>
      </c>
      <c r="B12" s="25" t="s">
        <v>67</v>
      </c>
      <c r="C12" s="25"/>
      <c r="D12" s="29">
        <v>11264737.063642306</v>
      </c>
      <c r="E12" s="29">
        <v>1687073.0608939524</v>
      </c>
      <c r="F12" s="29"/>
      <c r="G12" s="28">
        <f t="shared" si="0"/>
        <v>12951810.124536259</v>
      </c>
      <c r="H12" s="25"/>
      <c r="I12" s="29"/>
      <c r="J12" s="4"/>
      <c r="K12" s="4"/>
    </row>
    <row r="13" spans="1:13" ht="15.75" x14ac:dyDescent="0.25">
      <c r="A13" s="25" t="s">
        <v>11</v>
      </c>
      <c r="B13" s="25" t="s">
        <v>67</v>
      </c>
      <c r="C13" s="25"/>
      <c r="D13" s="29">
        <v>5861594.2763873711</v>
      </c>
      <c r="E13" s="29">
        <v>877866.72176313133</v>
      </c>
      <c r="F13" s="29"/>
      <c r="G13" s="28">
        <f t="shared" si="0"/>
        <v>6739460.9981505023</v>
      </c>
      <c r="H13" s="25"/>
      <c r="I13" s="29"/>
      <c r="J13" s="4"/>
      <c r="K13" s="4"/>
    </row>
    <row r="14" spans="1:13" ht="15.75" x14ac:dyDescent="0.25">
      <c r="A14" s="25" t="s">
        <v>12</v>
      </c>
      <c r="B14" s="25" t="s">
        <v>67</v>
      </c>
      <c r="C14" s="25"/>
      <c r="D14" s="29">
        <v>0</v>
      </c>
      <c r="E14" s="29">
        <v>0</v>
      </c>
      <c r="F14" s="29"/>
      <c r="G14" s="28">
        <f t="shared" si="0"/>
        <v>0</v>
      </c>
      <c r="H14" s="25"/>
      <c r="I14" s="29"/>
      <c r="J14" s="4"/>
      <c r="K14" s="4"/>
    </row>
    <row r="15" spans="1:13" ht="15.75" x14ac:dyDescent="0.25">
      <c r="A15" s="25" t="s">
        <v>58</v>
      </c>
      <c r="B15" s="25" t="s">
        <v>67</v>
      </c>
      <c r="C15" s="25"/>
      <c r="D15" s="29">
        <v>-13835797.567118745</v>
      </c>
      <c r="E15" s="29">
        <v>-5438023.0408632699</v>
      </c>
      <c r="F15" s="29"/>
      <c r="G15" s="28">
        <f t="shared" ref="G15" si="1">SUM(D15:F15)</f>
        <v>-19273820.607982017</v>
      </c>
      <c r="H15" s="25"/>
      <c r="I15" s="29"/>
      <c r="J15" s="4"/>
      <c r="K15" s="4"/>
    </row>
    <row r="16" spans="1:13" ht="6" customHeight="1" x14ac:dyDescent="0.25">
      <c r="A16" s="25"/>
      <c r="B16" s="25"/>
      <c r="C16" s="25"/>
      <c r="D16" s="29"/>
      <c r="E16" s="29"/>
      <c r="F16" s="29"/>
      <c r="G16" s="29"/>
      <c r="H16" s="25"/>
      <c r="I16" s="29"/>
      <c r="J16" s="4"/>
      <c r="K16" s="4"/>
    </row>
    <row r="17" spans="1:11" ht="15.75" x14ac:dyDescent="0.25">
      <c r="A17" s="25" t="s">
        <v>13</v>
      </c>
      <c r="B17" s="25"/>
      <c r="C17" s="25"/>
      <c r="D17" s="30">
        <f>SUM(D9:D16)</f>
        <v>212737561.33576071</v>
      </c>
      <c r="E17" s="30">
        <f>SUM(E9:E16)</f>
        <v>37358732.73456239</v>
      </c>
      <c r="F17" s="30"/>
      <c r="G17" s="30">
        <f>SUM(D17:F17)</f>
        <v>250096294.07032311</v>
      </c>
      <c r="H17" s="31"/>
      <c r="I17" s="32"/>
      <c r="J17" s="6"/>
      <c r="K17" s="6"/>
    </row>
    <row r="18" spans="1:11" ht="4.5" customHeight="1" x14ac:dyDescent="0.25">
      <c r="A18" s="25"/>
      <c r="B18" s="25"/>
      <c r="C18" s="25"/>
      <c r="D18" s="29"/>
      <c r="E18" s="29"/>
      <c r="F18" s="29"/>
      <c r="G18" s="29"/>
      <c r="H18" s="31"/>
      <c r="I18" s="33"/>
      <c r="J18" s="7"/>
      <c r="K18" s="7"/>
    </row>
    <row r="19" spans="1:11" ht="15.75" x14ac:dyDescent="0.25">
      <c r="A19" s="25" t="s">
        <v>59</v>
      </c>
      <c r="B19" s="25" t="s">
        <v>67</v>
      </c>
      <c r="C19" s="25"/>
      <c r="D19" s="29">
        <v>2188897800.9112244</v>
      </c>
      <c r="E19" s="29">
        <v>289975107.10209829</v>
      </c>
      <c r="F19" s="29"/>
      <c r="G19" s="29">
        <f>SUM(D19:F19)</f>
        <v>2478872908.0133228</v>
      </c>
      <c r="H19" s="31"/>
      <c r="I19" s="33"/>
      <c r="J19" s="7"/>
      <c r="K19" s="7"/>
    </row>
    <row r="20" spans="1:11" ht="6.75" customHeight="1" x14ac:dyDescent="0.25">
      <c r="A20" s="25"/>
      <c r="B20" s="25"/>
      <c r="C20" s="25"/>
      <c r="D20" s="29"/>
      <c r="E20" s="29"/>
      <c r="F20" s="29"/>
      <c r="G20" s="29"/>
      <c r="H20" s="31"/>
      <c r="I20" s="33"/>
      <c r="J20" s="7"/>
      <c r="K20" s="7"/>
    </row>
    <row r="21" spans="1:11" ht="15.75" x14ac:dyDescent="0.25">
      <c r="A21" s="25" t="s">
        <v>14</v>
      </c>
      <c r="B21" s="25" t="s">
        <v>15</v>
      </c>
      <c r="C21" s="25"/>
      <c r="D21" s="29">
        <f>D19*G41</f>
        <v>166694855.35905403</v>
      </c>
      <c r="E21" s="29">
        <f>E19*G41</f>
        <v>22082967.288828164</v>
      </c>
      <c r="F21" s="29"/>
      <c r="G21" s="29">
        <f>SUM(D21:F21)</f>
        <v>188777822.64788219</v>
      </c>
      <c r="H21" s="31"/>
      <c r="I21" s="33"/>
      <c r="J21" s="7"/>
      <c r="K21" s="7"/>
    </row>
    <row r="22" spans="1:11" ht="8.25" customHeight="1" x14ac:dyDescent="0.25">
      <c r="A22" s="25"/>
      <c r="B22" s="25"/>
      <c r="C22" s="25"/>
      <c r="D22" s="29"/>
      <c r="E22" s="29"/>
      <c r="F22" s="29"/>
      <c r="G22" s="29"/>
      <c r="H22" s="31"/>
      <c r="I22" s="33"/>
      <c r="J22" s="7"/>
      <c r="K22" s="7"/>
    </row>
    <row r="23" spans="1:11" ht="15.75" x14ac:dyDescent="0.25">
      <c r="A23" s="25" t="s">
        <v>16</v>
      </c>
      <c r="B23" s="25" t="s">
        <v>17</v>
      </c>
      <c r="C23" s="25"/>
      <c r="D23" s="29">
        <f>$H$39*D19</f>
        <v>75117101.582971737</v>
      </c>
      <c r="E23" s="29">
        <f>$H$39*E19</f>
        <v>9951167.9200617224</v>
      </c>
      <c r="F23" s="29"/>
      <c r="G23" s="29">
        <f>SUM(D23:F23)</f>
        <v>85068269.503033459</v>
      </c>
      <c r="H23" s="31"/>
      <c r="I23" s="33"/>
      <c r="J23" s="7"/>
      <c r="K23" s="7"/>
    </row>
    <row r="24" spans="1:11" ht="4.5" customHeight="1" x14ac:dyDescent="0.25">
      <c r="A24" s="25"/>
      <c r="B24" s="25"/>
      <c r="C24" s="25"/>
      <c r="D24" s="29"/>
      <c r="E24" s="29"/>
      <c r="F24" s="29"/>
      <c r="G24" s="29"/>
      <c r="H24" s="31"/>
      <c r="I24" s="33"/>
      <c r="J24" s="7"/>
      <c r="K24" s="7"/>
    </row>
    <row r="25" spans="1:11" ht="15.75" x14ac:dyDescent="0.25">
      <c r="A25" s="25" t="s">
        <v>18</v>
      </c>
      <c r="B25" s="25" t="s">
        <v>19</v>
      </c>
      <c r="C25" s="25"/>
      <c r="D25" s="30">
        <f>D17+D21+D23</f>
        <v>454549518.27778649</v>
      </c>
      <c r="E25" s="30">
        <f>E17+E21+E23</f>
        <v>69392867.943452269</v>
      </c>
      <c r="F25" s="30"/>
      <c r="G25" s="30">
        <f>SUM(D25:F25)</f>
        <v>523942386.22123873</v>
      </c>
      <c r="H25" s="31"/>
      <c r="I25" s="32"/>
      <c r="J25" s="6"/>
      <c r="K25" s="6"/>
    </row>
    <row r="26" spans="1:11" ht="6.75" customHeight="1" x14ac:dyDescent="0.25">
      <c r="A26" s="25"/>
      <c r="B26" s="25"/>
      <c r="C26" s="25"/>
      <c r="D26" s="25"/>
      <c r="E26" s="25"/>
      <c r="F26" s="25"/>
      <c r="G26" s="25"/>
      <c r="H26" s="31"/>
      <c r="I26" s="31"/>
      <c r="J26" s="5"/>
      <c r="K26" s="5"/>
    </row>
    <row r="27" spans="1:11" ht="15.75" x14ac:dyDescent="0.25">
      <c r="A27" s="25" t="s">
        <v>20</v>
      </c>
      <c r="B27" s="25" t="s">
        <v>48</v>
      </c>
      <c r="C27" s="25"/>
      <c r="D27" s="29">
        <f>'Demand Calc'!D22</f>
        <v>46888626.666666664</v>
      </c>
      <c r="E27" s="29">
        <f>D27</f>
        <v>46888626.666666664</v>
      </c>
      <c r="F27" s="40"/>
      <c r="G27" s="29">
        <f>D27</f>
        <v>46888626.666666664</v>
      </c>
      <c r="H27" s="31"/>
      <c r="I27" s="41"/>
      <c r="J27" s="8"/>
      <c r="K27" s="8"/>
    </row>
    <row r="28" spans="1:11" ht="6.75" customHeight="1" x14ac:dyDescent="0.25">
      <c r="A28" s="25"/>
      <c r="B28" s="25"/>
      <c r="C28" s="25"/>
      <c r="D28" s="25"/>
      <c r="E28" s="25"/>
      <c r="F28" s="25"/>
      <c r="G28" s="25"/>
      <c r="H28" s="31"/>
      <c r="I28" s="31"/>
      <c r="J28" s="5"/>
      <c r="K28" s="5"/>
    </row>
    <row r="29" spans="1:11" ht="16.5" thickBot="1" x14ac:dyDescent="0.3">
      <c r="A29" s="25" t="s">
        <v>21</v>
      </c>
      <c r="B29" s="25" t="s">
        <v>22</v>
      </c>
      <c r="C29" s="25"/>
      <c r="D29" s="35">
        <f>D25/D27</f>
        <v>9.6942382533231193</v>
      </c>
      <c r="E29" s="35">
        <f>E25/E27</f>
        <v>1.4799509577614474</v>
      </c>
      <c r="F29" s="35"/>
      <c r="G29" s="35">
        <f>G25/G27</f>
        <v>11.174189211084567</v>
      </c>
      <c r="H29" s="31"/>
      <c r="I29" s="36"/>
      <c r="J29" s="9"/>
      <c r="K29" s="9"/>
    </row>
    <row r="30" spans="1:11" ht="16.5" thickTop="1" x14ac:dyDescent="0.25">
      <c r="A30" s="25"/>
      <c r="B30" s="25"/>
      <c r="C30" s="25"/>
      <c r="D30" s="25"/>
      <c r="E30" s="25"/>
      <c r="F30" s="25"/>
      <c r="G30" s="25"/>
      <c r="H30" s="25"/>
      <c r="I30" s="25"/>
    </row>
    <row r="31" spans="1:11" ht="15.75" x14ac:dyDescent="0.25">
      <c r="A31" s="25"/>
      <c r="B31" s="25"/>
      <c r="C31" s="25"/>
      <c r="D31" s="25"/>
      <c r="E31" s="25"/>
      <c r="F31" s="25"/>
      <c r="G31" s="37"/>
      <c r="H31" s="37"/>
      <c r="I31" s="37" t="s">
        <v>23</v>
      </c>
    </row>
    <row r="32" spans="1:11" ht="15.75" x14ac:dyDescent="0.25">
      <c r="A32" s="25"/>
      <c r="B32" s="25"/>
      <c r="C32" s="25"/>
      <c r="D32" s="25"/>
      <c r="E32" s="25"/>
      <c r="F32" s="25"/>
      <c r="G32" s="37"/>
      <c r="H32" s="37"/>
      <c r="I32" s="37" t="s">
        <v>24</v>
      </c>
    </row>
    <row r="33" spans="1:9" ht="15.75" x14ac:dyDescent="0.25">
      <c r="A33" s="25"/>
      <c r="B33" s="25"/>
      <c r="C33" s="25"/>
      <c r="D33" s="25"/>
      <c r="E33" s="25"/>
      <c r="F33" s="25"/>
      <c r="G33" s="37" t="s">
        <v>23</v>
      </c>
      <c r="H33" s="37"/>
      <c r="I33" s="37" t="s">
        <v>25</v>
      </c>
    </row>
    <row r="34" spans="1:9" ht="15.75" x14ac:dyDescent="0.25">
      <c r="A34" s="25"/>
      <c r="B34" s="25"/>
      <c r="C34" s="25"/>
      <c r="D34" s="25"/>
      <c r="E34" s="25"/>
      <c r="F34" s="25"/>
      <c r="G34" s="37" t="s">
        <v>24</v>
      </c>
      <c r="H34" s="37" t="s">
        <v>26</v>
      </c>
      <c r="I34" s="37" t="s">
        <v>27</v>
      </c>
    </row>
    <row r="35" spans="1:9" ht="15.75" x14ac:dyDescent="0.25">
      <c r="A35" s="25"/>
      <c r="B35" s="25"/>
      <c r="C35" s="25"/>
      <c r="D35" s="25"/>
      <c r="E35" s="25"/>
      <c r="F35" s="25"/>
      <c r="G35" s="37" t="s">
        <v>25</v>
      </c>
      <c r="H35" s="37" t="s">
        <v>28</v>
      </c>
      <c r="I35" s="37" t="s">
        <v>29</v>
      </c>
    </row>
    <row r="36" spans="1:9" ht="15.75" x14ac:dyDescent="0.2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5.75" x14ac:dyDescent="0.25">
      <c r="A37" s="10" t="s">
        <v>30</v>
      </c>
      <c r="B37" s="10"/>
      <c r="C37" s="10"/>
      <c r="D37" s="47">
        <v>0</v>
      </c>
      <c r="E37" s="48">
        <v>4.1000000000000003E-3</v>
      </c>
      <c r="F37" s="11"/>
      <c r="G37" s="49">
        <f>D37*E37</f>
        <v>0</v>
      </c>
      <c r="H37" s="50"/>
      <c r="I37" s="50">
        <f>G37+H37</f>
        <v>0</v>
      </c>
    </row>
    <row r="38" spans="1:9" ht="15.75" x14ac:dyDescent="0.25">
      <c r="A38" s="10" t="s">
        <v>31</v>
      </c>
      <c r="B38" s="10"/>
      <c r="C38" s="10"/>
      <c r="D38" s="47">
        <v>0.46300000000000002</v>
      </c>
      <c r="E38" s="48">
        <v>3.6900000000000002E-2</v>
      </c>
      <c r="F38" s="14"/>
      <c r="G38" s="49">
        <f>E38*D38</f>
        <v>1.7084700000000001E-2</v>
      </c>
      <c r="H38" s="50"/>
      <c r="I38" s="50">
        <f>G38+H38</f>
        <v>1.7084700000000001E-2</v>
      </c>
    </row>
    <row r="39" spans="1:9" ht="15.75" x14ac:dyDescent="0.25">
      <c r="A39" s="10" t="s">
        <v>32</v>
      </c>
      <c r="B39" s="10"/>
      <c r="C39" s="10"/>
      <c r="D39" s="51">
        <v>0.53700000000000003</v>
      </c>
      <c r="E39" s="49">
        <v>0.11</v>
      </c>
      <c r="F39" s="14"/>
      <c r="G39" s="52">
        <f>D39*E39</f>
        <v>5.9070000000000004E-2</v>
      </c>
      <c r="H39" s="50">
        <f>I39*D43</f>
        <v>3.4317317853625219E-2</v>
      </c>
      <c r="I39" s="52">
        <f>G39/(1-D43)</f>
        <v>9.3387317853625224E-2</v>
      </c>
    </row>
    <row r="40" spans="1:9" ht="15.75" x14ac:dyDescent="0.25">
      <c r="A40" s="13"/>
      <c r="B40" s="13"/>
      <c r="C40" s="13"/>
      <c r="D40" s="53"/>
      <c r="E40" s="49"/>
      <c r="F40" s="11"/>
      <c r="G40" s="11"/>
      <c r="H40" s="50"/>
      <c r="I40" s="50"/>
    </row>
    <row r="41" spans="1:9" ht="16.5" thickBot="1" x14ac:dyDescent="0.3">
      <c r="A41" s="15" t="s">
        <v>33</v>
      </c>
      <c r="B41" s="15"/>
      <c r="C41" s="15"/>
      <c r="D41" s="54">
        <f>D37+D38+D39</f>
        <v>1</v>
      </c>
      <c r="E41" s="11"/>
      <c r="F41" s="11"/>
      <c r="G41" s="54">
        <f>G37+G38+G39</f>
        <v>7.6154700000000006E-2</v>
      </c>
      <c r="H41" s="50"/>
      <c r="I41" s="54">
        <f>I37+I38+I39</f>
        <v>0.11047201785362523</v>
      </c>
    </row>
    <row r="42" spans="1:9" ht="16.5" thickTop="1" x14ac:dyDescent="0.2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5.75" x14ac:dyDescent="0.25">
      <c r="A43" s="25" t="s">
        <v>34</v>
      </c>
      <c r="B43" s="25"/>
      <c r="C43" s="25"/>
      <c r="D43" s="39">
        <v>0.36747299999999999</v>
      </c>
      <c r="E43" s="25"/>
      <c r="F43" s="25"/>
      <c r="G43" s="25"/>
      <c r="H43" s="25"/>
      <c r="I43" s="25"/>
    </row>
    <row r="44" spans="1:9" ht="15.75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5.75" x14ac:dyDescent="0.2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.75" x14ac:dyDescent="0.25">
      <c r="A46" s="26"/>
      <c r="B46" s="25"/>
      <c r="C46" s="25"/>
      <c r="D46" s="25"/>
      <c r="E46" s="25"/>
      <c r="F46" s="25"/>
      <c r="G46" s="25"/>
      <c r="H46" s="25"/>
      <c r="I46" s="25"/>
    </row>
    <row r="47" spans="1:9" ht="15.75" x14ac:dyDescent="0.25">
      <c r="A47" s="25"/>
      <c r="B47" s="25"/>
      <c r="C47" s="25"/>
      <c r="D47" s="25"/>
      <c r="E47" s="25"/>
      <c r="F47" s="25"/>
      <c r="G47" s="25"/>
      <c r="H47" s="25"/>
      <c r="I47" s="25"/>
    </row>
    <row r="48" spans="1:9" x14ac:dyDescent="0.25">
      <c r="B48" s="1"/>
      <c r="C48" s="1"/>
    </row>
    <row r="49" spans="2:3" x14ac:dyDescent="0.25">
      <c r="B49" s="1"/>
      <c r="C49" s="1"/>
    </row>
  </sheetData>
  <pageMargins left="0.7" right="0.7" top="1.25" bottom="0.94" header="0.75" footer="0.3"/>
  <pageSetup scale="67" orientation="landscape" r:id="rId1"/>
  <headerFooter scaleWithDoc="0">
    <oddHeader xml:space="preserve">&amp;C&amp;"Times New Roman,Bold"&amp;14Kentucky Utilities Company
&amp;12Supplemental / Standby Charge Cost Support
</oddHeader>
    <oddFooter>&amp;R&amp;"Times New Roman,Bold"&amp;12Attachment 1 to Response to KU PSC-3 Question No. 3
Revised Conroy Exhibit M3
Page &amp;P of &amp;N
Conroy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view="pageBreakPreview" zoomScale="60" zoomScaleNormal="100" workbookViewId="0">
      <selection activeCell="G31" sqref="G31"/>
    </sheetView>
  </sheetViews>
  <sheetFormatPr defaultRowHeight="15.75" x14ac:dyDescent="0.25"/>
  <cols>
    <col min="1" max="1" width="47.28515625" style="25" customWidth="1"/>
    <col min="2" max="2" width="45.5703125" style="25" customWidth="1"/>
    <col min="3" max="3" width="17.28515625" style="25" bestFit="1" customWidth="1"/>
    <col min="4" max="5" width="18.7109375" style="25" customWidth="1"/>
    <col min="6" max="6" width="16.5703125" style="25" bestFit="1" customWidth="1"/>
    <col min="7" max="12" width="15.7109375" style="25" customWidth="1"/>
    <col min="13" max="13" width="12.7109375" style="25" customWidth="1"/>
    <col min="14" max="14" width="16.5703125" style="25" customWidth="1"/>
    <col min="15" max="15" width="17.7109375" style="25" customWidth="1"/>
    <col min="16" max="16" width="17.28515625" style="25" customWidth="1"/>
    <col min="17" max="17" width="16.140625" style="25" bestFit="1" customWidth="1"/>
    <col min="18" max="16384" width="9.140625" style="25"/>
  </cols>
  <sheetData>
    <row r="1" spans="1:17" x14ac:dyDescent="0.25">
      <c r="A1" s="45" t="s">
        <v>64</v>
      </c>
      <c r="B1" s="45"/>
      <c r="C1" s="46"/>
      <c r="D1" s="46"/>
      <c r="E1" s="46"/>
      <c r="F1" s="46"/>
      <c r="G1" s="46"/>
    </row>
    <row r="2" spans="1:17" x14ac:dyDescent="0.25">
      <c r="A2" s="45" t="s">
        <v>65</v>
      </c>
      <c r="B2" s="46"/>
      <c r="C2" s="46"/>
      <c r="D2" s="46"/>
      <c r="E2" s="46"/>
      <c r="F2" s="46"/>
      <c r="G2" s="46"/>
      <c r="H2" s="25" t="s">
        <v>61</v>
      </c>
      <c r="M2" s="25" t="s">
        <v>60</v>
      </c>
    </row>
    <row r="3" spans="1:17" x14ac:dyDescent="0.25">
      <c r="A3" s="45" t="s">
        <v>70</v>
      </c>
      <c r="C3" s="26"/>
      <c r="D3" s="26"/>
      <c r="E3" s="26"/>
      <c r="I3" s="26" t="s">
        <v>35</v>
      </c>
      <c r="J3" s="26" t="s">
        <v>35</v>
      </c>
      <c r="K3" s="26" t="s">
        <v>36</v>
      </c>
      <c r="N3" s="26" t="s">
        <v>35</v>
      </c>
      <c r="O3" s="26" t="s">
        <v>35</v>
      </c>
      <c r="P3" s="26" t="s">
        <v>36</v>
      </c>
    </row>
    <row r="4" spans="1:17" x14ac:dyDescent="0.25">
      <c r="A4" s="24"/>
      <c r="C4" s="26" t="s">
        <v>35</v>
      </c>
      <c r="D4" s="26" t="s">
        <v>35</v>
      </c>
      <c r="E4" s="26" t="s">
        <v>36</v>
      </c>
      <c r="I4" s="26"/>
      <c r="J4" s="26"/>
      <c r="K4" s="26"/>
      <c r="N4" s="26"/>
      <c r="O4" s="26"/>
      <c r="P4" s="26"/>
    </row>
    <row r="5" spans="1:17" x14ac:dyDescent="0.25">
      <c r="C5" s="26" t="s">
        <v>37</v>
      </c>
      <c r="D5" s="26" t="s">
        <v>37</v>
      </c>
      <c r="E5" s="26" t="s">
        <v>38</v>
      </c>
      <c r="F5" s="26"/>
      <c r="G5" s="26"/>
      <c r="H5" s="26"/>
      <c r="I5" s="26" t="s">
        <v>37</v>
      </c>
      <c r="J5" s="26" t="s">
        <v>37</v>
      </c>
      <c r="K5" s="26" t="s">
        <v>38</v>
      </c>
      <c r="L5" s="26"/>
      <c r="M5" s="26"/>
      <c r="N5" s="26" t="s">
        <v>37</v>
      </c>
      <c r="O5" s="26" t="s">
        <v>37</v>
      </c>
      <c r="P5" s="26" t="s">
        <v>38</v>
      </c>
      <c r="Q5" s="26"/>
    </row>
    <row r="6" spans="1:17" x14ac:dyDescent="0.25">
      <c r="C6" s="26" t="s">
        <v>39</v>
      </c>
      <c r="D6" s="26" t="s">
        <v>40</v>
      </c>
      <c r="E6" s="26" t="s">
        <v>41</v>
      </c>
      <c r="F6" s="26"/>
      <c r="G6" s="26"/>
      <c r="H6" s="26"/>
      <c r="I6" s="26" t="s">
        <v>39</v>
      </c>
      <c r="J6" s="26" t="s">
        <v>40</v>
      </c>
      <c r="K6" s="26" t="s">
        <v>41</v>
      </c>
      <c r="L6" s="26"/>
      <c r="M6" s="26"/>
      <c r="N6" s="26" t="s">
        <v>39</v>
      </c>
      <c r="O6" s="26" t="s">
        <v>40</v>
      </c>
      <c r="P6" s="26" t="s">
        <v>41</v>
      </c>
      <c r="Q6" s="26"/>
    </row>
    <row r="7" spans="1:17" x14ac:dyDescent="0.25">
      <c r="B7" s="24" t="s">
        <v>5</v>
      </c>
      <c r="C7" s="26" t="s">
        <v>42</v>
      </c>
      <c r="D7" s="26" t="s">
        <v>6</v>
      </c>
      <c r="E7" s="26" t="s">
        <v>6</v>
      </c>
      <c r="F7" s="26" t="s">
        <v>2</v>
      </c>
      <c r="I7" s="26" t="s">
        <v>42</v>
      </c>
      <c r="J7" s="26" t="s">
        <v>6</v>
      </c>
      <c r="K7" s="26" t="s">
        <v>6</v>
      </c>
      <c r="L7" s="26" t="s">
        <v>2</v>
      </c>
      <c r="M7" s="26"/>
      <c r="N7" s="26" t="s">
        <v>42</v>
      </c>
      <c r="O7" s="26" t="s">
        <v>6</v>
      </c>
      <c r="P7" s="26" t="s">
        <v>6</v>
      </c>
      <c r="Q7" s="26" t="s">
        <v>2</v>
      </c>
    </row>
    <row r="9" spans="1:17" x14ac:dyDescent="0.25">
      <c r="A9" s="25" t="s">
        <v>7</v>
      </c>
      <c r="B9" s="25" t="s">
        <v>67</v>
      </c>
      <c r="C9" s="28">
        <f>I9+N9</f>
        <v>1282564.8548416262</v>
      </c>
      <c r="D9" s="28">
        <f t="shared" ref="D9:E9" si="0">J9+O9</f>
        <v>3818214.2826943118</v>
      </c>
      <c r="E9" s="28">
        <f t="shared" si="0"/>
        <v>0</v>
      </c>
      <c r="F9" s="28">
        <f t="shared" ref="F9:F15" si="1">SUM(C9:E9)</f>
        <v>5100779.1375359381</v>
      </c>
      <c r="I9" s="28">
        <v>230629.50822700647</v>
      </c>
      <c r="J9" s="28">
        <v>686587.41037454898</v>
      </c>
      <c r="K9" s="28">
        <v>0</v>
      </c>
      <c r="L9" s="28">
        <f t="shared" ref="L9:L15" si="2">SUM(I9:K9)</f>
        <v>917216.91860155552</v>
      </c>
      <c r="M9" s="28"/>
      <c r="N9" s="28">
        <v>1051935.3466146197</v>
      </c>
      <c r="O9" s="28">
        <v>3131626.8723197626</v>
      </c>
      <c r="P9" s="28">
        <v>0</v>
      </c>
      <c r="Q9" s="28">
        <f t="shared" ref="Q9:Q15" si="3">SUM(N9:P9)</f>
        <v>4183562.2189343823</v>
      </c>
    </row>
    <row r="10" spans="1:17" x14ac:dyDescent="0.25">
      <c r="A10" s="25" t="s">
        <v>8</v>
      </c>
      <c r="B10" s="25" t="s">
        <v>67</v>
      </c>
      <c r="C10" s="28">
        <f t="shared" ref="C10:C15" si="4">I10+N10</f>
        <v>824946.65268747101</v>
      </c>
      <c r="D10" s="28">
        <f t="shared" ref="D10:D15" si="5">J10+O10</f>
        <v>1336113.1541623513</v>
      </c>
      <c r="E10" s="28">
        <f t="shared" ref="E10:E15" si="6">K10+P10</f>
        <v>0</v>
      </c>
      <c r="F10" s="28">
        <f t="shared" si="1"/>
        <v>2161059.8068498224</v>
      </c>
      <c r="I10" s="29">
        <v>148341.06837140792</v>
      </c>
      <c r="J10" s="29">
        <v>240258.50896884914</v>
      </c>
      <c r="K10" s="29">
        <v>0</v>
      </c>
      <c r="L10" s="28">
        <f t="shared" si="2"/>
        <v>388599.57734025706</v>
      </c>
      <c r="M10" s="29"/>
      <c r="N10" s="29">
        <v>676605.58431606309</v>
      </c>
      <c r="O10" s="29">
        <v>1095854.6451935021</v>
      </c>
      <c r="P10" s="29">
        <v>0</v>
      </c>
      <c r="Q10" s="28">
        <f t="shared" si="3"/>
        <v>1772460.229509565</v>
      </c>
    </row>
    <row r="11" spans="1:17" x14ac:dyDescent="0.25">
      <c r="A11" s="25" t="s">
        <v>9</v>
      </c>
      <c r="B11" s="25" t="s">
        <v>67</v>
      </c>
      <c r="C11" s="28">
        <f t="shared" si="4"/>
        <v>-286.18316812669514</v>
      </c>
      <c r="D11" s="28">
        <f t="shared" si="5"/>
        <v>-463.51251221913168</v>
      </c>
      <c r="E11" s="28">
        <f t="shared" si="6"/>
        <v>0</v>
      </c>
      <c r="F11" s="28">
        <f t="shared" si="1"/>
        <v>-749.69568034582676</v>
      </c>
      <c r="I11" s="29">
        <v>-51.461166333032352</v>
      </c>
      <c r="J11" s="29">
        <v>-83.348348698797665</v>
      </c>
      <c r="K11" s="29">
        <v>0</v>
      </c>
      <c r="L11" s="28">
        <f t="shared" si="2"/>
        <v>-134.80951503183002</v>
      </c>
      <c r="M11" s="29"/>
      <c r="N11" s="29">
        <v>-234.7220017936628</v>
      </c>
      <c r="O11" s="29">
        <v>-380.164163520334</v>
      </c>
      <c r="P11" s="29">
        <v>0</v>
      </c>
      <c r="Q11" s="28">
        <f t="shared" si="3"/>
        <v>-614.8861653139968</v>
      </c>
    </row>
    <row r="12" spans="1:17" x14ac:dyDescent="0.25">
      <c r="A12" s="25" t="s">
        <v>10</v>
      </c>
      <c r="B12" s="25" t="s">
        <v>67</v>
      </c>
      <c r="C12" s="28">
        <f t="shared" si="4"/>
        <v>93399.586190255475</v>
      </c>
      <c r="D12" s="28">
        <f t="shared" si="5"/>
        <v>151273.31603271313</v>
      </c>
      <c r="E12" s="28">
        <f t="shared" si="6"/>
        <v>0</v>
      </c>
      <c r="F12" s="28">
        <f t="shared" si="1"/>
        <v>244672.90222296861</v>
      </c>
      <c r="I12" s="29">
        <v>16795.018630324481</v>
      </c>
      <c r="J12" s="29">
        <v>27201.813890963993</v>
      </c>
      <c r="K12" s="29">
        <v>0</v>
      </c>
      <c r="L12" s="28">
        <f t="shared" si="2"/>
        <v>43996.832521288474</v>
      </c>
      <c r="M12" s="29"/>
      <c r="N12" s="29">
        <v>76604.567559930991</v>
      </c>
      <c r="O12" s="29">
        <v>124071.50214174914</v>
      </c>
      <c r="P12" s="29">
        <v>0</v>
      </c>
      <c r="Q12" s="28">
        <f t="shared" si="3"/>
        <v>200676.06970168013</v>
      </c>
    </row>
    <row r="13" spans="1:17" x14ac:dyDescent="0.25">
      <c r="A13" s="25" t="s">
        <v>11</v>
      </c>
      <c r="B13" s="25" t="s">
        <v>67</v>
      </c>
      <c r="C13" s="28">
        <f t="shared" si="4"/>
        <v>48600.378041379059</v>
      </c>
      <c r="D13" s="28">
        <f t="shared" si="5"/>
        <v>78714.913487806291</v>
      </c>
      <c r="E13" s="28">
        <f t="shared" si="6"/>
        <v>0</v>
      </c>
      <c r="F13" s="28">
        <f t="shared" si="1"/>
        <v>127315.29152918534</v>
      </c>
      <c r="I13" s="29">
        <v>8739.2705678918119</v>
      </c>
      <c r="J13" s="29">
        <v>14154.435714727126</v>
      </c>
      <c r="K13" s="29">
        <v>0</v>
      </c>
      <c r="L13" s="28">
        <f t="shared" si="2"/>
        <v>22893.706282618936</v>
      </c>
      <c r="M13" s="29"/>
      <c r="N13" s="29">
        <v>39861.107473487245</v>
      </c>
      <c r="O13" s="29">
        <v>64560.477773079168</v>
      </c>
      <c r="P13" s="29">
        <v>0</v>
      </c>
      <c r="Q13" s="28">
        <f t="shared" si="3"/>
        <v>104421.58524656642</v>
      </c>
    </row>
    <row r="14" spans="1:17" x14ac:dyDescent="0.25">
      <c r="A14" s="25" t="s">
        <v>12</v>
      </c>
      <c r="B14" s="25" t="s">
        <v>67</v>
      </c>
      <c r="C14" s="28">
        <f t="shared" si="4"/>
        <v>0</v>
      </c>
      <c r="D14" s="28">
        <f t="shared" si="5"/>
        <v>0</v>
      </c>
      <c r="E14" s="28">
        <f t="shared" si="6"/>
        <v>0</v>
      </c>
      <c r="F14" s="28">
        <f t="shared" si="1"/>
        <v>0</v>
      </c>
      <c r="I14" s="29">
        <v>0</v>
      </c>
      <c r="J14" s="29">
        <v>0</v>
      </c>
      <c r="K14" s="29">
        <v>0</v>
      </c>
      <c r="L14" s="28">
        <f t="shared" si="2"/>
        <v>0</v>
      </c>
      <c r="M14" s="29"/>
      <c r="N14" s="29">
        <v>0</v>
      </c>
      <c r="O14" s="29">
        <v>0</v>
      </c>
      <c r="P14" s="29">
        <v>0</v>
      </c>
      <c r="Q14" s="28">
        <f t="shared" si="3"/>
        <v>0</v>
      </c>
    </row>
    <row r="15" spans="1:17" x14ac:dyDescent="0.25">
      <c r="A15" s="25" t="s">
        <v>58</v>
      </c>
      <c r="B15" s="25" t="s">
        <v>67</v>
      </c>
      <c r="C15" s="58">
        <f t="shared" si="4"/>
        <v>-99149.246574857621</v>
      </c>
      <c r="D15" s="58">
        <f t="shared" si="5"/>
        <v>-295168.75342514238</v>
      </c>
      <c r="E15" s="28">
        <f t="shared" si="6"/>
        <v>0</v>
      </c>
      <c r="F15" s="28">
        <f t="shared" si="1"/>
        <v>-394318</v>
      </c>
      <c r="I15" s="56">
        <f>(I9/$L$9)*-243996</f>
        <v>-61351.547652602625</v>
      </c>
      <c r="J15" s="57">
        <f>(J9/$L$9)*-243996</f>
        <v>-182644.45234739737</v>
      </c>
      <c r="K15" s="29">
        <f t="shared" ref="K15" si="7">(K9/$F$9)*-244007</f>
        <v>0</v>
      </c>
      <c r="L15" s="28">
        <f t="shared" si="2"/>
        <v>-243996</v>
      </c>
      <c r="M15" s="29"/>
      <c r="N15" s="57">
        <f>(N9/$Q$9)*-150322</f>
        <v>-37797.698922255004</v>
      </c>
      <c r="O15" s="57">
        <f>(O9/$Q$9)*-150322</f>
        <v>-112524.301077745</v>
      </c>
      <c r="P15" s="29">
        <f>(P9/$Q$9)*-244007</f>
        <v>0</v>
      </c>
      <c r="Q15" s="28">
        <f t="shared" si="3"/>
        <v>-150322</v>
      </c>
    </row>
    <row r="16" spans="1:17" ht="6" customHeight="1" x14ac:dyDescent="0.25">
      <c r="C16" s="29"/>
      <c r="D16" s="29"/>
      <c r="E16" s="29"/>
      <c r="F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x14ac:dyDescent="0.25">
      <c r="A17" s="25" t="s">
        <v>13</v>
      </c>
      <c r="C17" s="30">
        <f>SUM(C9:C16)</f>
        <v>2150076.0420177472</v>
      </c>
      <c r="D17" s="30">
        <f>SUM(D9:D16)</f>
        <v>5088683.4004398203</v>
      </c>
      <c r="E17" s="30">
        <f>SUM(E9:E16)</f>
        <v>0</v>
      </c>
      <c r="F17" s="30">
        <f>SUM(C17:E17)</f>
        <v>7238759.4424575679</v>
      </c>
      <c r="G17" s="31"/>
      <c r="H17" s="31"/>
      <c r="I17" s="30">
        <f>SUM(I9:I16)</f>
        <v>343101.85697769502</v>
      </c>
      <c r="J17" s="30">
        <f>SUM(J9:J16)</f>
        <v>785474.36825299321</v>
      </c>
      <c r="K17" s="30">
        <f>SUM(K9:K16)</f>
        <v>0</v>
      </c>
      <c r="L17" s="30">
        <f>SUM(I17:K17)</f>
        <v>1128576.2252306882</v>
      </c>
      <c r="M17" s="32"/>
      <c r="N17" s="30">
        <f>SUM(N9:N16)</f>
        <v>1806974.1850400525</v>
      </c>
      <c r="O17" s="30">
        <f>SUM(O9:O16)</f>
        <v>4303209.0321868276</v>
      </c>
      <c r="P17" s="30">
        <f>SUM(P9:P16)</f>
        <v>0</v>
      </c>
      <c r="Q17" s="30">
        <f>SUM(N17:P17)</f>
        <v>6110183.2172268797</v>
      </c>
    </row>
    <row r="18" spans="1:17" ht="4.5" customHeight="1" x14ac:dyDescent="0.25">
      <c r="C18" s="29"/>
      <c r="D18" s="29"/>
      <c r="E18" s="29"/>
      <c r="F18" s="29"/>
      <c r="G18" s="31"/>
      <c r="H18" s="31"/>
      <c r="I18" s="29"/>
      <c r="J18" s="29"/>
      <c r="K18" s="29"/>
      <c r="L18" s="29"/>
      <c r="M18" s="33"/>
      <c r="N18" s="29"/>
      <c r="O18" s="29"/>
      <c r="P18" s="29"/>
      <c r="Q18" s="29"/>
    </row>
    <row r="19" spans="1:17" x14ac:dyDescent="0.25">
      <c r="A19" s="25" t="s">
        <v>59</v>
      </c>
      <c r="B19" s="25" t="s">
        <v>67</v>
      </c>
      <c r="C19" s="29">
        <f>I19+N19</f>
        <v>17444710.970692731</v>
      </c>
      <c r="D19" s="29">
        <f t="shared" ref="D19:E19" si="8">J19+O19</f>
        <v>28253706.176957365</v>
      </c>
      <c r="E19" s="29">
        <f t="shared" si="8"/>
        <v>0</v>
      </c>
      <c r="F19" s="29">
        <f>SUM(C19:E19)</f>
        <v>45698417.147650093</v>
      </c>
      <c r="G19" s="31"/>
      <c r="H19" s="31"/>
      <c r="I19" s="29">
        <f>3350639.18357109+(3350639.18357109/8777383)*(-553471)</f>
        <v>3139359.6234140052</v>
      </c>
      <c r="J19" s="29">
        <f>5426743.67919899++(5426743.67919899/8777383)*(-553471)</f>
        <v>5084552.248009312</v>
      </c>
      <c r="K19" s="29">
        <v>0</v>
      </c>
      <c r="L19" s="29">
        <f>SUM(I19:K19)</f>
        <v>8223911.8714233171</v>
      </c>
      <c r="M19" s="33"/>
      <c r="N19" s="29">
        <f>15282761.5947613+(15282761.6/40034943)*(-2560438)</f>
        <v>14305351.347278725</v>
      </c>
      <c r="O19" s="29">
        <f>24752181.700652+(24752181.7/40034943)*(-2560438)</f>
        <v>23169153.928948052</v>
      </c>
      <c r="P19" s="29">
        <v>0</v>
      </c>
      <c r="Q19" s="29">
        <f>SUM(N19:P19)</f>
        <v>37474505.276226774</v>
      </c>
    </row>
    <row r="20" spans="1:17" ht="6.75" customHeight="1" x14ac:dyDescent="0.25">
      <c r="C20" s="29"/>
      <c r="D20" s="29"/>
      <c r="E20" s="29"/>
      <c r="F20" s="29"/>
      <c r="G20" s="31"/>
      <c r="H20" s="31"/>
      <c r="I20" s="29"/>
      <c r="J20" s="29"/>
      <c r="K20" s="29"/>
      <c r="L20" s="29"/>
      <c r="M20" s="33"/>
      <c r="N20" s="29"/>
      <c r="O20" s="29"/>
      <c r="P20" s="29"/>
      <c r="Q20" s="29"/>
    </row>
    <row r="21" spans="1:17" x14ac:dyDescent="0.25">
      <c r="A21" s="25" t="s">
        <v>14</v>
      </c>
      <c r="B21" s="25" t="s">
        <v>15</v>
      </c>
      <c r="C21" s="29">
        <f>C19*E41</f>
        <v>1328496.7305598138</v>
      </c>
      <c r="D21" s="29">
        <f>D19*E41</f>
        <v>2151652.5177943353</v>
      </c>
      <c r="E21" s="29">
        <v>0</v>
      </c>
      <c r="F21" s="29">
        <f>SUM(C21:E21)</f>
        <v>3480149.2483541491</v>
      </c>
      <c r="G21" s="31"/>
      <c r="H21" s="31"/>
      <c r="I21" s="29">
        <f>I19*E41</f>
        <v>239076.99031320657</v>
      </c>
      <c r="J21" s="29">
        <f>J19*E41</f>
        <v>387212.55108147475</v>
      </c>
      <c r="K21" s="29">
        <v>0</v>
      </c>
      <c r="L21" s="29">
        <f>SUM(I21:K21)</f>
        <v>626289.54139468132</v>
      </c>
      <c r="M21" s="33"/>
      <c r="N21" s="29">
        <f>N19*E41</f>
        <v>1089419.7402466072</v>
      </c>
      <c r="O21" s="29">
        <f>O19*E41</f>
        <v>1764439.9667128604</v>
      </c>
      <c r="P21" s="29">
        <v>0</v>
      </c>
      <c r="Q21" s="29">
        <f>SUM(N21:P21)</f>
        <v>2853859.7069594674</v>
      </c>
    </row>
    <row r="22" spans="1:17" ht="8.25" customHeight="1" x14ac:dyDescent="0.25">
      <c r="C22" s="29"/>
      <c r="D22" s="29"/>
      <c r="E22" s="29"/>
      <c r="F22" s="29"/>
      <c r="G22" s="31"/>
      <c r="H22" s="31"/>
      <c r="I22" s="29"/>
      <c r="J22" s="29"/>
      <c r="K22" s="29"/>
      <c r="L22" s="29"/>
      <c r="M22" s="33"/>
      <c r="N22" s="29"/>
      <c r="O22" s="29"/>
      <c r="P22" s="29"/>
      <c r="Q22" s="29"/>
    </row>
    <row r="23" spans="1:17" x14ac:dyDescent="0.25">
      <c r="A23" s="25" t="s">
        <v>16</v>
      </c>
      <c r="B23" s="25" t="s">
        <v>17</v>
      </c>
      <c r="C23" s="29">
        <f>$F$39*C19</f>
        <v>598655.69124588545</v>
      </c>
      <c r="D23" s="29">
        <f>$F$39*D19</f>
        <v>969591.41541758017</v>
      </c>
      <c r="E23" s="29">
        <v>0</v>
      </c>
      <c r="F23" s="29">
        <f>SUM(C23:E23)</f>
        <v>1568247.1066634655</v>
      </c>
      <c r="G23" s="31"/>
      <c r="H23" s="31"/>
      <c r="I23" s="29">
        <f>$F$39*I19</f>
        <v>107734.40205353558</v>
      </c>
      <c r="J23" s="29">
        <f>$F$39*J19</f>
        <v>174488.19563830021</v>
      </c>
      <c r="K23" s="29">
        <v>0</v>
      </c>
      <c r="L23" s="29">
        <f>SUM(I23:K23)</f>
        <v>282222.59769183578</v>
      </c>
      <c r="M23" s="33"/>
      <c r="N23" s="29">
        <f>$F$39*N19</f>
        <v>490921.28919234977</v>
      </c>
      <c r="O23" s="29">
        <f>$F$39*O19</f>
        <v>795103.2197792799</v>
      </c>
      <c r="P23" s="29">
        <v>0</v>
      </c>
      <c r="Q23" s="29">
        <f>SUM(N23:P23)</f>
        <v>1286024.5089716297</v>
      </c>
    </row>
    <row r="24" spans="1:17" ht="4.5" customHeight="1" x14ac:dyDescent="0.25">
      <c r="C24" s="29"/>
      <c r="D24" s="29"/>
      <c r="E24" s="29"/>
      <c r="F24" s="29"/>
      <c r="G24" s="31"/>
      <c r="H24" s="31"/>
      <c r="I24" s="29"/>
      <c r="J24" s="29"/>
      <c r="K24" s="29"/>
      <c r="L24" s="29"/>
      <c r="M24" s="33"/>
      <c r="N24" s="29"/>
      <c r="O24" s="29"/>
      <c r="P24" s="29"/>
      <c r="Q24" s="29"/>
    </row>
    <row r="25" spans="1:17" x14ac:dyDescent="0.25">
      <c r="A25" s="31" t="s">
        <v>18</v>
      </c>
      <c r="B25" s="25" t="s">
        <v>19</v>
      </c>
      <c r="C25" s="30">
        <f>C17+C21+C23</f>
        <v>4077228.4638234465</v>
      </c>
      <c r="D25" s="30">
        <f>D17+D21+D23</f>
        <v>8209927.3336517354</v>
      </c>
      <c r="E25" s="30">
        <f>E17+E21+E23</f>
        <v>0</v>
      </c>
      <c r="F25" s="30">
        <f>SUM(C25:E25)</f>
        <v>12287155.797475182</v>
      </c>
      <c r="G25" s="31"/>
      <c r="H25" s="31"/>
      <c r="I25" s="30">
        <f>I17+I21+I23</f>
        <v>689913.24934443715</v>
      </c>
      <c r="J25" s="30">
        <f>J17+J21+J23</f>
        <v>1347175.1149727681</v>
      </c>
      <c r="K25" s="30">
        <f>K17+K21+K23</f>
        <v>0</v>
      </c>
      <c r="L25" s="30">
        <f>SUM(I25:K25)</f>
        <v>2037088.3643172053</v>
      </c>
      <c r="M25" s="32"/>
      <c r="N25" s="30">
        <f>N17+N21+N23</f>
        <v>3387315.2144790096</v>
      </c>
      <c r="O25" s="30">
        <f>O17+O21+O23</f>
        <v>6862752.218678968</v>
      </c>
      <c r="P25" s="30">
        <f>P17+P21+P23</f>
        <v>0</v>
      </c>
      <c r="Q25" s="30">
        <f>SUM(N25:P25)</f>
        <v>10250067.433157977</v>
      </c>
    </row>
    <row r="26" spans="1:17" ht="6.75" customHeight="1" x14ac:dyDescent="0.25">
      <c r="A26" s="31"/>
      <c r="G26" s="31"/>
      <c r="H26" s="31"/>
      <c r="M26" s="31"/>
    </row>
    <row r="27" spans="1:17" x14ac:dyDescent="0.25">
      <c r="A27" s="31" t="s">
        <v>43</v>
      </c>
      <c r="B27" s="25" t="s">
        <v>52</v>
      </c>
      <c r="C27" s="29">
        <f>I27+N27</f>
        <v>10389465.111111112</v>
      </c>
      <c r="D27" s="29">
        <f t="shared" ref="D27:E27" si="9">J27+O27</f>
        <v>10389465.111111112</v>
      </c>
      <c r="E27" s="29">
        <f t="shared" si="9"/>
        <v>10389465.111111112</v>
      </c>
      <c r="F27" s="29">
        <f>C27</f>
        <v>10389465.111111112</v>
      </c>
      <c r="G27" s="31"/>
      <c r="H27" s="31"/>
      <c r="I27" s="29">
        <f>1649710/0.9</f>
        <v>1833011.111111111</v>
      </c>
      <c r="J27" s="29">
        <f>I27</f>
        <v>1833011.111111111</v>
      </c>
      <c r="K27" s="29">
        <f>I27</f>
        <v>1833011.111111111</v>
      </c>
      <c r="L27" s="29">
        <f>I27</f>
        <v>1833011.111111111</v>
      </c>
      <c r="M27" s="34"/>
      <c r="N27" s="29">
        <f>8556454</f>
        <v>8556454</v>
      </c>
      <c r="O27" s="29">
        <f>N27</f>
        <v>8556454</v>
      </c>
      <c r="P27" s="29">
        <f>N27</f>
        <v>8556454</v>
      </c>
      <c r="Q27" s="29">
        <f>N27</f>
        <v>8556454</v>
      </c>
    </row>
    <row r="28" spans="1:17" ht="6.75" customHeight="1" x14ac:dyDescent="0.25">
      <c r="A28" s="31"/>
      <c r="G28" s="31"/>
      <c r="H28" s="31"/>
      <c r="M28" s="31"/>
    </row>
    <row r="29" spans="1:17" ht="16.5" thickBot="1" x14ac:dyDescent="0.3">
      <c r="A29" s="31" t="s">
        <v>21</v>
      </c>
      <c r="B29" s="25" t="s">
        <v>22</v>
      </c>
      <c r="C29" s="42">
        <f>C25/C27</f>
        <v>0.39243872713553041</v>
      </c>
      <c r="D29" s="42">
        <f>D25/D27</f>
        <v>0.79021655550597603</v>
      </c>
      <c r="E29" s="42">
        <f>E25/E27</f>
        <v>0</v>
      </c>
      <c r="F29" s="42">
        <f>F25/F27</f>
        <v>1.1826552826415064</v>
      </c>
      <c r="G29" s="31"/>
      <c r="H29" s="31"/>
      <c r="I29" s="42">
        <f>I25/I27</f>
        <v>0.37638246989470481</v>
      </c>
      <c r="J29" s="42">
        <f>J25/J27</f>
        <v>0.73495196336052482</v>
      </c>
      <c r="K29" s="42">
        <f>K25/K27</f>
        <v>0</v>
      </c>
      <c r="L29" s="42">
        <f>L25/L27</f>
        <v>1.1113344332552295</v>
      </c>
      <c r="M29" s="36"/>
      <c r="N29" s="42">
        <f>N25/N27</f>
        <v>0.39587838776191747</v>
      </c>
      <c r="O29" s="42">
        <f>O25/O27</f>
        <v>0.80205564345685354</v>
      </c>
      <c r="P29" s="42">
        <f>P25/P27</f>
        <v>0</v>
      </c>
      <c r="Q29" s="42">
        <f>Q25/Q27</f>
        <v>1.197934031218771</v>
      </c>
    </row>
    <row r="30" spans="1:17" ht="16.5" thickTop="1" x14ac:dyDescent="0.25">
      <c r="A30" s="31"/>
    </row>
    <row r="31" spans="1:17" x14ac:dyDescent="0.25">
      <c r="E31" s="37"/>
      <c r="F31" s="37"/>
      <c r="G31" s="37" t="s">
        <v>23</v>
      </c>
      <c r="H31" s="37"/>
      <c r="I31" s="37"/>
      <c r="J31" s="37"/>
      <c r="K31" s="37"/>
      <c r="L31" s="37"/>
    </row>
    <row r="32" spans="1:17" x14ac:dyDescent="0.25">
      <c r="E32" s="37"/>
      <c r="F32" s="37"/>
      <c r="G32" s="37" t="s">
        <v>24</v>
      </c>
      <c r="H32" s="37"/>
      <c r="I32" s="37"/>
      <c r="J32" s="37"/>
      <c r="K32" s="37"/>
      <c r="L32" s="37"/>
    </row>
    <row r="33" spans="1:12" x14ac:dyDescent="0.25">
      <c r="E33" s="37" t="s">
        <v>23</v>
      </c>
      <c r="F33" s="37"/>
      <c r="G33" s="37" t="s">
        <v>25</v>
      </c>
      <c r="H33" s="37"/>
      <c r="I33" s="37"/>
      <c r="J33" s="37"/>
      <c r="K33" s="37"/>
      <c r="L33" s="37"/>
    </row>
    <row r="34" spans="1:12" x14ac:dyDescent="0.25">
      <c r="E34" s="37" t="s">
        <v>24</v>
      </c>
      <c r="F34" s="37" t="s">
        <v>26</v>
      </c>
      <c r="G34" s="37" t="s">
        <v>27</v>
      </c>
      <c r="H34" s="37"/>
      <c r="I34" s="37"/>
      <c r="J34" s="37"/>
      <c r="K34" s="37"/>
      <c r="L34" s="37"/>
    </row>
    <row r="35" spans="1:12" x14ac:dyDescent="0.25">
      <c r="E35" s="37" t="s">
        <v>25</v>
      </c>
      <c r="F35" s="37" t="s">
        <v>28</v>
      </c>
      <c r="G35" s="37" t="s">
        <v>29</v>
      </c>
      <c r="H35" s="37"/>
      <c r="I35" s="37"/>
      <c r="J35" s="37"/>
      <c r="K35" s="37"/>
      <c r="L35" s="37"/>
    </row>
    <row r="37" spans="1:12" x14ac:dyDescent="0.25">
      <c r="A37" s="10" t="s">
        <v>30</v>
      </c>
      <c r="B37" s="10"/>
      <c r="C37" s="47">
        <v>0</v>
      </c>
      <c r="D37" s="48">
        <v>4.1000000000000003E-3</v>
      </c>
      <c r="E37" s="49">
        <f>C37*D37</f>
        <v>0</v>
      </c>
      <c r="F37" s="50"/>
      <c r="G37" s="50">
        <f>E37+F37</f>
        <v>0</v>
      </c>
      <c r="H37" s="38"/>
      <c r="I37" s="38"/>
      <c r="J37" s="38"/>
      <c r="K37" s="38"/>
      <c r="L37" s="38"/>
    </row>
    <row r="38" spans="1:12" x14ac:dyDescent="0.25">
      <c r="A38" s="10" t="s">
        <v>31</v>
      </c>
      <c r="B38" s="10"/>
      <c r="C38" s="47">
        <v>0.46300000000000002</v>
      </c>
      <c r="D38" s="48">
        <v>3.6900000000000002E-2</v>
      </c>
      <c r="E38" s="49">
        <f>D38*C38</f>
        <v>1.7084700000000001E-2</v>
      </c>
      <c r="F38" s="50"/>
      <c r="G38" s="50">
        <f>E38+F38</f>
        <v>1.7084700000000001E-2</v>
      </c>
      <c r="H38" s="38"/>
      <c r="I38" s="38"/>
      <c r="J38" s="38"/>
      <c r="K38" s="38"/>
      <c r="L38" s="38"/>
    </row>
    <row r="39" spans="1:12" x14ac:dyDescent="0.25">
      <c r="A39" s="10" t="s">
        <v>32</v>
      </c>
      <c r="B39" s="10"/>
      <c r="C39" s="51">
        <v>0.53700000000000003</v>
      </c>
      <c r="D39" s="49">
        <v>0.11</v>
      </c>
      <c r="E39" s="52">
        <f>C39*D39</f>
        <v>5.9070000000000004E-2</v>
      </c>
      <c r="F39" s="50">
        <f>G39*C43</f>
        <v>3.4317317853625219E-2</v>
      </c>
      <c r="G39" s="52">
        <f>E39/(1-C43)</f>
        <v>9.3387317853625224E-2</v>
      </c>
      <c r="H39" s="12"/>
      <c r="I39" s="12"/>
      <c r="J39" s="12"/>
      <c r="K39" s="12"/>
      <c r="L39" s="12"/>
    </row>
    <row r="40" spans="1:12" x14ac:dyDescent="0.25">
      <c r="A40" s="13"/>
      <c r="B40" s="13"/>
      <c r="C40" s="53"/>
      <c r="D40" s="49"/>
      <c r="E40" s="11"/>
      <c r="F40" s="50"/>
      <c r="G40" s="50"/>
    </row>
    <row r="41" spans="1:12" ht="16.5" thickBot="1" x14ac:dyDescent="0.3">
      <c r="A41" s="15" t="s">
        <v>33</v>
      </c>
      <c r="B41" s="15"/>
      <c r="C41" s="54">
        <f>C37+C38+C39</f>
        <v>1</v>
      </c>
      <c r="D41" s="11"/>
      <c r="E41" s="54">
        <f>E37+E38+E39</f>
        <v>7.6154700000000006E-2</v>
      </c>
      <c r="F41" s="50"/>
      <c r="G41" s="54">
        <f>G37+G38+G39</f>
        <v>0.11047201785362523</v>
      </c>
      <c r="H41" s="23"/>
      <c r="I41" s="23"/>
      <c r="J41" s="23"/>
      <c r="K41" s="23"/>
      <c r="L41" s="23"/>
    </row>
    <row r="42" spans="1:12" ht="16.5" thickTop="1" x14ac:dyDescent="0.25"/>
    <row r="43" spans="1:12" x14ac:dyDescent="0.25">
      <c r="A43" s="25" t="s">
        <v>34</v>
      </c>
      <c r="C43" s="39">
        <v>0.36747299999999999</v>
      </c>
    </row>
    <row r="46" spans="1:12" x14ac:dyDescent="0.25">
      <c r="A46" s="26"/>
    </row>
  </sheetData>
  <pageMargins left="0.7" right="0.7" top="1.25" bottom="0.75" header="0.75" footer="0.3"/>
  <pageSetup scale="69" orientation="landscape" r:id="rId1"/>
  <headerFooter scaleWithDoc="0">
    <oddHeader>&amp;C&amp;"Times New Roman,Bold"&amp;14Kentucky Utilities Company
&amp;12Supplemental / Standby Charge Cost Support</oddHeader>
    <oddFooter>&amp;R&amp;"Times New Roman,Bold"&amp;12Attachment 1 to Response to KU PSC-3 Question No. 3
Revised Conroy Exhibit M3
Page &amp;P of &amp;N
Conroy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view="pageBreakPreview" zoomScale="60" zoomScaleNormal="100" workbookViewId="0">
      <selection activeCell="G31" sqref="G31"/>
    </sheetView>
  </sheetViews>
  <sheetFormatPr defaultRowHeight="15.75" x14ac:dyDescent="0.25"/>
  <cols>
    <col min="1" max="1" width="47.28515625" style="25" customWidth="1"/>
    <col min="2" max="2" width="45.5703125" style="25" customWidth="1"/>
    <col min="3" max="3" width="17.28515625" style="25" bestFit="1" customWidth="1"/>
    <col min="4" max="5" width="18.7109375" style="25" customWidth="1"/>
    <col min="6" max="6" width="16.140625" style="25" bestFit="1" customWidth="1"/>
    <col min="7" max="8" width="16.140625" style="25" customWidth="1"/>
    <col min="9" max="9" width="18" style="25" bestFit="1" customWidth="1"/>
    <col min="10" max="10" width="17.28515625" style="25" bestFit="1" customWidth="1"/>
    <col min="11" max="11" width="18" style="25" bestFit="1" customWidth="1"/>
    <col min="12" max="12" width="16.140625" style="25" customWidth="1"/>
    <col min="13" max="13" width="12.7109375" style="25" customWidth="1"/>
    <col min="14" max="15" width="16.5703125" style="25" customWidth="1"/>
    <col min="16" max="16" width="17.28515625" style="25" customWidth="1"/>
    <col min="17" max="17" width="15.140625" style="25" customWidth="1"/>
    <col min="18" max="16384" width="9.140625" style="25"/>
  </cols>
  <sheetData>
    <row r="1" spans="1:17" x14ac:dyDescent="0.25">
      <c r="A1" s="45" t="s">
        <v>63</v>
      </c>
      <c r="B1" s="45"/>
      <c r="C1" s="46"/>
      <c r="D1" s="46"/>
      <c r="E1" s="46"/>
      <c r="F1" s="46"/>
      <c r="G1" s="46"/>
    </row>
    <row r="2" spans="1:17" x14ac:dyDescent="0.25">
      <c r="A2" s="45" t="s">
        <v>66</v>
      </c>
      <c r="B2" s="46"/>
      <c r="C2" s="46"/>
      <c r="D2" s="46"/>
      <c r="E2" s="46"/>
      <c r="F2" s="46"/>
      <c r="G2" s="46"/>
    </row>
    <row r="3" spans="1:17" x14ac:dyDescent="0.25">
      <c r="A3" s="45" t="s">
        <v>70</v>
      </c>
      <c r="H3" s="25" t="s">
        <v>62</v>
      </c>
      <c r="M3" s="25" t="s">
        <v>53</v>
      </c>
    </row>
    <row r="4" spans="1:17" x14ac:dyDescent="0.25">
      <c r="C4" s="26" t="s">
        <v>35</v>
      </c>
      <c r="D4" s="26" t="s">
        <v>35</v>
      </c>
      <c r="E4" s="26" t="s">
        <v>36</v>
      </c>
      <c r="I4" s="26" t="s">
        <v>35</v>
      </c>
      <c r="J4" s="26" t="s">
        <v>35</v>
      </c>
      <c r="K4" s="26" t="s">
        <v>36</v>
      </c>
      <c r="N4" s="26" t="s">
        <v>35</v>
      </c>
      <c r="O4" s="26" t="s">
        <v>35</v>
      </c>
      <c r="P4" s="26" t="s">
        <v>36</v>
      </c>
    </row>
    <row r="5" spans="1:17" x14ac:dyDescent="0.25">
      <c r="C5" s="26" t="s">
        <v>44</v>
      </c>
      <c r="D5" s="26" t="s">
        <v>44</v>
      </c>
      <c r="E5" s="26" t="s">
        <v>44</v>
      </c>
      <c r="F5" s="26"/>
      <c r="G5" s="26"/>
      <c r="H5" s="26"/>
      <c r="I5" s="26" t="s">
        <v>44</v>
      </c>
      <c r="J5" s="26" t="s">
        <v>44</v>
      </c>
      <c r="K5" s="26" t="s">
        <v>44</v>
      </c>
      <c r="L5" s="26"/>
      <c r="M5" s="26"/>
      <c r="N5" s="26" t="s">
        <v>44</v>
      </c>
      <c r="O5" s="26" t="s">
        <v>44</v>
      </c>
      <c r="P5" s="26" t="s">
        <v>44</v>
      </c>
      <c r="Q5" s="26"/>
    </row>
    <row r="6" spans="1:17" x14ac:dyDescent="0.25">
      <c r="C6" s="26" t="s">
        <v>39</v>
      </c>
      <c r="D6" s="26" t="s">
        <v>40</v>
      </c>
      <c r="E6" s="26" t="s">
        <v>41</v>
      </c>
      <c r="F6" s="26"/>
      <c r="G6" s="26"/>
      <c r="H6" s="26"/>
      <c r="I6" s="26" t="s">
        <v>39</v>
      </c>
      <c r="J6" s="26" t="s">
        <v>40</v>
      </c>
      <c r="K6" s="26" t="s">
        <v>41</v>
      </c>
      <c r="L6" s="26"/>
      <c r="M6" s="26"/>
      <c r="N6" s="26" t="s">
        <v>39</v>
      </c>
      <c r="O6" s="26" t="s">
        <v>40</v>
      </c>
      <c r="P6" s="26" t="s">
        <v>41</v>
      </c>
      <c r="Q6" s="26"/>
    </row>
    <row r="7" spans="1:17" x14ac:dyDescent="0.25">
      <c r="B7" s="24" t="s">
        <v>5</v>
      </c>
      <c r="C7" s="26" t="s">
        <v>42</v>
      </c>
      <c r="D7" s="26" t="s">
        <v>6</v>
      </c>
      <c r="E7" s="26" t="s">
        <v>6</v>
      </c>
      <c r="F7" s="26" t="s">
        <v>2</v>
      </c>
      <c r="I7" s="26" t="s">
        <v>42</v>
      </c>
      <c r="J7" s="26" t="s">
        <v>6</v>
      </c>
      <c r="K7" s="26" t="s">
        <v>6</v>
      </c>
      <c r="L7" s="26" t="s">
        <v>2</v>
      </c>
      <c r="M7" s="26"/>
      <c r="N7" s="26" t="s">
        <v>42</v>
      </c>
      <c r="O7" s="26" t="s">
        <v>6</v>
      </c>
      <c r="P7" s="26" t="s">
        <v>6</v>
      </c>
      <c r="Q7" s="26" t="s">
        <v>2</v>
      </c>
    </row>
    <row r="9" spans="1:17" x14ac:dyDescent="0.25">
      <c r="A9" s="25" t="s">
        <v>7</v>
      </c>
      <c r="B9" s="25" t="s">
        <v>67</v>
      </c>
      <c r="C9" s="28">
        <f t="shared" ref="C9:E15" si="0">I9+N9</f>
        <v>1061572.164553877</v>
      </c>
      <c r="D9" s="28">
        <f t="shared" si="0"/>
        <v>448807.16495710058</v>
      </c>
      <c r="E9" s="28">
        <f t="shared" si="0"/>
        <v>440958.81703605293</v>
      </c>
      <c r="F9" s="28">
        <f t="shared" ref="F9:F14" si="1">SUM(C9:E9)</f>
        <v>1951338.1465470304</v>
      </c>
      <c r="I9" s="28">
        <v>924783.88095805713</v>
      </c>
      <c r="J9" s="28">
        <v>389871.4317900312</v>
      </c>
      <c r="K9" s="28">
        <v>383053.7005235136</v>
      </c>
      <c r="L9" s="28">
        <f t="shared" ref="L9:L14" si="2">SUM(I9:K9)</f>
        <v>1697709.0132716019</v>
      </c>
      <c r="M9" s="28"/>
      <c r="N9" s="28">
        <v>136788.28359581975</v>
      </c>
      <c r="O9" s="28">
        <v>58935.73316706936</v>
      </c>
      <c r="P9" s="28">
        <v>57905.116512539345</v>
      </c>
      <c r="Q9" s="28">
        <f t="shared" ref="Q9:Q14" si="3">SUM(N9:P9)</f>
        <v>253629.13327542844</v>
      </c>
    </row>
    <row r="10" spans="1:17" x14ac:dyDescent="0.25">
      <c r="A10" s="25" t="s">
        <v>8</v>
      </c>
      <c r="B10" s="25" t="s">
        <v>67</v>
      </c>
      <c r="C10" s="28">
        <f t="shared" si="0"/>
        <v>682803.99266285228</v>
      </c>
      <c r="D10" s="28">
        <f t="shared" si="0"/>
        <v>157051.72952167265</v>
      </c>
      <c r="E10" s="28">
        <f t="shared" si="0"/>
        <v>552781.02742384269</v>
      </c>
      <c r="F10" s="28">
        <f t="shared" si="1"/>
        <v>1392636.7496083677</v>
      </c>
      <c r="I10" s="29">
        <v>594821.66860862728</v>
      </c>
      <c r="J10" s="29">
        <v>136428.26459681836</v>
      </c>
      <c r="K10" s="29">
        <v>480191.82280367118</v>
      </c>
      <c r="L10" s="28">
        <f t="shared" si="2"/>
        <v>1211441.7560091168</v>
      </c>
      <c r="M10" s="29"/>
      <c r="N10" s="29">
        <v>87982.324054224999</v>
      </c>
      <c r="O10" s="29">
        <v>20623.46492485427</v>
      </c>
      <c r="P10" s="29">
        <v>72589.204620171513</v>
      </c>
      <c r="Q10" s="28">
        <f t="shared" si="3"/>
        <v>181194.9935992508</v>
      </c>
    </row>
    <row r="11" spans="1:17" x14ac:dyDescent="0.25">
      <c r="A11" s="25" t="s">
        <v>9</v>
      </c>
      <c r="B11" s="25" t="s">
        <v>67</v>
      </c>
      <c r="C11" s="28">
        <f t="shared" si="0"/>
        <v>-236.87229858224691</v>
      </c>
      <c r="D11" s="28">
        <f t="shared" si="0"/>
        <v>-54.482991558142139</v>
      </c>
      <c r="E11" s="28">
        <f t="shared" si="0"/>
        <v>-191.76588594319355</v>
      </c>
      <c r="F11" s="28">
        <f t="shared" si="1"/>
        <v>-483.12117608358261</v>
      </c>
      <c r="I11" s="29">
        <v>-206.35025190812499</v>
      </c>
      <c r="J11" s="29">
        <v>-47.32848222021461</v>
      </c>
      <c r="K11" s="29">
        <v>-166.58388358907558</v>
      </c>
      <c r="L11" s="28">
        <f t="shared" si="2"/>
        <v>-420.2626177174152</v>
      </c>
      <c r="M11" s="29"/>
      <c r="N11" s="29">
        <v>-30.522046674121938</v>
      </c>
      <c r="O11" s="29">
        <v>-7.1545093379275304</v>
      </c>
      <c r="P11" s="29">
        <v>-25.182002354117955</v>
      </c>
      <c r="Q11" s="28">
        <f t="shared" si="3"/>
        <v>-62.858558366167422</v>
      </c>
    </row>
    <row r="12" spans="1:17" x14ac:dyDescent="0.25">
      <c r="A12" s="25" t="s">
        <v>10</v>
      </c>
      <c r="B12" s="25" t="s">
        <v>67</v>
      </c>
      <c r="C12" s="28">
        <f t="shared" si="0"/>
        <v>77306.344787273294</v>
      </c>
      <c r="D12" s="28">
        <f t="shared" si="0"/>
        <v>17781.230458965569</v>
      </c>
      <c r="E12" s="28">
        <f t="shared" si="0"/>
        <v>62585.282390097622</v>
      </c>
      <c r="F12" s="28">
        <f t="shared" si="1"/>
        <v>157672.85763633647</v>
      </c>
      <c r="I12" s="29">
        <v>67345.079253373668</v>
      </c>
      <c r="J12" s="29">
        <v>15446.263605635744</v>
      </c>
      <c r="K12" s="29">
        <v>54366.809533317261</v>
      </c>
      <c r="L12" s="28">
        <f t="shared" si="2"/>
        <v>137158.15239232668</v>
      </c>
      <c r="M12" s="29"/>
      <c r="N12" s="29">
        <v>9961.2655338996319</v>
      </c>
      <c r="O12" s="29">
        <v>2334.9668533298254</v>
      </c>
      <c r="P12" s="29">
        <v>8218.472856780365</v>
      </c>
      <c r="Q12" s="28">
        <f t="shared" si="3"/>
        <v>20514.705244009823</v>
      </c>
    </row>
    <row r="13" spans="1:17" x14ac:dyDescent="0.25">
      <c r="A13" s="25" t="s">
        <v>11</v>
      </c>
      <c r="B13" s="25" t="s">
        <v>67</v>
      </c>
      <c r="C13" s="28">
        <f t="shared" si="0"/>
        <v>40226.27652766477</v>
      </c>
      <c r="D13" s="28">
        <f t="shared" si="0"/>
        <v>9252.4448725745169</v>
      </c>
      <c r="E13" s="28">
        <f t="shared" si="0"/>
        <v>32566.186939943324</v>
      </c>
      <c r="F13" s="28">
        <f t="shared" si="1"/>
        <v>82044.908340182606</v>
      </c>
      <c r="I13" s="29">
        <v>35042.9423131863</v>
      </c>
      <c r="J13" s="29">
        <v>8037.4472862387602</v>
      </c>
      <c r="K13" s="29">
        <v>28289.713091882415</v>
      </c>
      <c r="L13" s="28">
        <f t="shared" si="2"/>
        <v>71370.102691307475</v>
      </c>
      <c r="M13" s="29"/>
      <c r="N13" s="29">
        <v>5183.3342144784674</v>
      </c>
      <c r="O13" s="29">
        <v>1214.9975863357563</v>
      </c>
      <c r="P13" s="29">
        <v>4276.4738480609085</v>
      </c>
      <c r="Q13" s="28">
        <f t="shared" si="3"/>
        <v>10674.805648875132</v>
      </c>
    </row>
    <row r="14" spans="1:17" x14ac:dyDescent="0.25">
      <c r="A14" s="25" t="s">
        <v>12</v>
      </c>
      <c r="B14" s="25" t="s">
        <v>67</v>
      </c>
      <c r="C14" s="28">
        <f t="shared" si="0"/>
        <v>0</v>
      </c>
      <c r="D14" s="28">
        <f t="shared" si="0"/>
        <v>0</v>
      </c>
      <c r="E14" s="28">
        <f t="shared" si="0"/>
        <v>0</v>
      </c>
      <c r="F14" s="28">
        <f t="shared" si="1"/>
        <v>0</v>
      </c>
      <c r="I14" s="29">
        <v>0</v>
      </c>
      <c r="J14" s="29">
        <v>0</v>
      </c>
      <c r="K14" s="29">
        <v>0</v>
      </c>
      <c r="L14" s="28">
        <f t="shared" si="2"/>
        <v>0</v>
      </c>
      <c r="M14" s="29"/>
      <c r="N14" s="29"/>
      <c r="O14" s="29"/>
      <c r="P14" s="29"/>
      <c r="Q14" s="28">
        <f t="shared" si="3"/>
        <v>0</v>
      </c>
    </row>
    <row r="15" spans="1:17" x14ac:dyDescent="0.25">
      <c r="A15" s="25" t="s">
        <v>58</v>
      </c>
      <c r="B15" s="25" t="s">
        <v>67</v>
      </c>
      <c r="C15" s="58">
        <f t="shared" si="0"/>
        <v>-333730.66071287909</v>
      </c>
      <c r="D15" s="58">
        <f t="shared" si="0"/>
        <v>-140506.19448168337</v>
      </c>
      <c r="E15" s="58">
        <f t="shared" si="0"/>
        <v>-138049.14480543757</v>
      </c>
      <c r="F15" s="28">
        <f t="shared" ref="F15" si="4">SUM(C15:E15)</f>
        <v>-612286</v>
      </c>
      <c r="I15" s="57">
        <f>(I9/$L$9)*-649950</f>
        <v>-354043.76057967613</v>
      </c>
      <c r="J15" s="57">
        <f>(J9/$L$9)*-649950</f>
        <v>-149258.16798464037</v>
      </c>
      <c r="K15" s="57">
        <f>(K9/$L$9)*-649950</f>
        <v>-146648.07143568352</v>
      </c>
      <c r="L15" s="28">
        <f t="shared" ref="L15" si="5">SUM(I15:K15)</f>
        <v>-649950</v>
      </c>
      <c r="M15" s="29"/>
      <c r="N15" s="57">
        <f>(N9/$Q$9)*37664</f>
        <v>20313.099866797042</v>
      </c>
      <c r="O15" s="57">
        <f>(O9/$Q$9)*37664</f>
        <v>8751.9735029570038</v>
      </c>
      <c r="P15" s="57">
        <f>(P9/$Q$9)*37664</f>
        <v>8598.9266302459546</v>
      </c>
      <c r="Q15" s="28">
        <f t="shared" ref="Q15" si="6">SUM(N15:P15)</f>
        <v>37664</v>
      </c>
    </row>
    <row r="16" spans="1:17" ht="6" customHeight="1" x14ac:dyDescent="0.25">
      <c r="C16" s="29"/>
      <c r="D16" s="29"/>
      <c r="E16" s="29"/>
      <c r="F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x14ac:dyDescent="0.25">
      <c r="A17" s="25" t="s">
        <v>13</v>
      </c>
      <c r="C17" s="30">
        <f>SUM(C9:C16)</f>
        <v>1527941.2455202059</v>
      </c>
      <c r="D17" s="30">
        <f>SUM(D9:D16)</f>
        <v>492331.89233707177</v>
      </c>
      <c r="E17" s="30">
        <f>SUM(E9:E16)</f>
        <v>950650.40309855586</v>
      </c>
      <c r="F17" s="30">
        <f>SUM(C17:E17)</f>
        <v>2970923.5409558336</v>
      </c>
      <c r="G17" s="31"/>
      <c r="H17" s="31"/>
      <c r="I17" s="30">
        <f>SUM(I9:I16)</f>
        <v>1267743.46030166</v>
      </c>
      <c r="J17" s="30">
        <f>SUM(J9:J16)</f>
        <v>400477.91081186349</v>
      </c>
      <c r="K17" s="30">
        <f>SUM(K9:K16)</f>
        <v>799087.39063311182</v>
      </c>
      <c r="L17" s="30">
        <f>SUM(I17:K17)</f>
        <v>2467308.7617466352</v>
      </c>
      <c r="M17" s="32"/>
      <c r="N17" s="30">
        <f>SUM(N9:N16)</f>
        <v>260197.78521854576</v>
      </c>
      <c r="O17" s="30">
        <f>SUM(O9:O16)</f>
        <v>91853.981525208292</v>
      </c>
      <c r="P17" s="30">
        <f>SUM(P9:P16)</f>
        <v>151563.01246544396</v>
      </c>
      <c r="Q17" s="30">
        <f>SUM(N17:P17)</f>
        <v>503614.77920919796</v>
      </c>
    </row>
    <row r="18" spans="1:17" ht="4.5" customHeight="1" x14ac:dyDescent="0.25">
      <c r="C18" s="29"/>
      <c r="D18" s="29"/>
      <c r="E18" s="29"/>
      <c r="F18" s="29"/>
      <c r="G18" s="31"/>
      <c r="H18" s="31"/>
      <c r="I18" s="29"/>
      <c r="J18" s="29"/>
      <c r="K18" s="29"/>
      <c r="L18" s="29"/>
      <c r="M18" s="33"/>
      <c r="N18" s="29"/>
      <c r="O18" s="29"/>
      <c r="P18" s="29"/>
      <c r="Q18" s="29"/>
    </row>
    <row r="19" spans="1:17" x14ac:dyDescent="0.25">
      <c r="A19" s="25" t="s">
        <v>59</v>
      </c>
      <c r="B19" s="25" t="s">
        <v>67</v>
      </c>
      <c r="C19" s="55">
        <f>I19+N19</f>
        <v>13719509.193796841</v>
      </c>
      <c r="D19" s="55">
        <f>J19+O19</f>
        <v>3155569.074801445</v>
      </c>
      <c r="E19" s="55">
        <f>K19+P19</f>
        <v>11060395.731401714</v>
      </c>
      <c r="F19" s="29">
        <f>SUM(C19:E19)</f>
        <v>27935474</v>
      </c>
      <c r="G19" s="31"/>
      <c r="H19" s="31"/>
      <c r="I19" s="57">
        <f>13435476+(13435476/27317841)*-3011826</f>
        <v>11954198.034469122</v>
      </c>
      <c r="J19" s="57">
        <f>3081519+(3081519/27317841)*-3011826</f>
        <v>2741777.6916113175</v>
      </c>
      <c r="K19" s="57">
        <f>10800846+(10800846/27317841)*-3011826</f>
        <v>9610039.27391956</v>
      </c>
      <c r="L19" s="29">
        <f>SUM(I19:K19)</f>
        <v>24306015</v>
      </c>
      <c r="M19" s="33"/>
      <c r="N19" s="57">
        <f>1987292+(1987292/4085849)*-456390</f>
        <v>1765311.1593277187</v>
      </c>
      <c r="O19" s="57">
        <f>465824+(465824/4085849)*-456390</f>
        <v>413791.38319012767</v>
      </c>
      <c r="P19" s="57">
        <f>1632733+(1632733/4085849)*-456390</f>
        <v>1450356.4574821535</v>
      </c>
      <c r="Q19" s="29">
        <f>SUM(N19:P19)</f>
        <v>3629459</v>
      </c>
    </row>
    <row r="20" spans="1:17" ht="6.75" customHeight="1" x14ac:dyDescent="0.25">
      <c r="C20" s="29"/>
      <c r="D20" s="29"/>
      <c r="E20" s="29"/>
      <c r="F20" s="29"/>
      <c r="G20" s="31"/>
      <c r="H20" s="31"/>
      <c r="I20" s="29"/>
      <c r="J20" s="29"/>
      <c r="K20" s="29"/>
      <c r="L20" s="29"/>
      <c r="M20" s="33"/>
      <c r="N20" s="29"/>
      <c r="O20" s="29"/>
      <c r="P20" s="29"/>
      <c r="Q20" s="29"/>
    </row>
    <row r="21" spans="1:17" x14ac:dyDescent="0.25">
      <c r="A21" s="25" t="s">
        <v>14</v>
      </c>
      <c r="B21" s="25" t="s">
        <v>15</v>
      </c>
      <c r="C21" s="29">
        <f>C19*E41</f>
        <v>1044805.1068008404</v>
      </c>
      <c r="D21" s="29">
        <f>D19*E41</f>
        <v>240311.41622078163</v>
      </c>
      <c r="E21" s="29">
        <f>E19*E41</f>
        <v>842301.1188061781</v>
      </c>
      <c r="F21" s="29">
        <f>SUM(C21:E21)</f>
        <v>2127417.6418278003</v>
      </c>
      <c r="G21" s="31"/>
      <c r="H21" s="31"/>
      <c r="I21" s="29">
        <f>I19*E41</f>
        <v>910368.36505558575</v>
      </c>
      <c r="J21" s="29">
        <f>J19*E41</f>
        <v>208799.25757135241</v>
      </c>
      <c r="K21" s="29">
        <f>K19*E41</f>
        <v>731849.65789356199</v>
      </c>
      <c r="L21" s="29">
        <f>SUM(I21:K21)</f>
        <v>1851017.2805205001</v>
      </c>
      <c r="M21" s="33"/>
      <c r="N21" s="29">
        <f>N19*E41</f>
        <v>134436.74174525464</v>
      </c>
      <c r="O21" s="29">
        <f>O19*E41</f>
        <v>31512.158649429217</v>
      </c>
      <c r="P21" s="29">
        <f>P19*E41</f>
        <v>110451.46091261617</v>
      </c>
      <c r="Q21" s="29">
        <f>SUM(N21:P21)</f>
        <v>276400.36130730005</v>
      </c>
    </row>
    <row r="22" spans="1:17" ht="8.25" customHeight="1" x14ac:dyDescent="0.25">
      <c r="C22" s="29"/>
      <c r="D22" s="29"/>
      <c r="E22" s="29"/>
      <c r="F22" s="29"/>
      <c r="G22" s="31"/>
      <c r="H22" s="31"/>
      <c r="I22" s="29"/>
      <c r="J22" s="29"/>
      <c r="K22" s="29"/>
      <c r="L22" s="29"/>
      <c r="M22" s="33"/>
      <c r="N22" s="29"/>
      <c r="O22" s="29"/>
      <c r="P22" s="29"/>
      <c r="Q22" s="29"/>
    </row>
    <row r="23" spans="1:17" x14ac:dyDescent="0.25">
      <c r="A23" s="25" t="s">
        <v>16</v>
      </c>
      <c r="B23" s="25" t="s">
        <v>17</v>
      </c>
      <c r="C23" s="29">
        <f>$F$39*C19</f>
        <v>470816.75779925968</v>
      </c>
      <c r="D23" s="29">
        <f>$F$39*D19</f>
        <v>108290.66694903125</v>
      </c>
      <c r="E23" s="29">
        <f>$F$39*E19</f>
        <v>379563.11590139219</v>
      </c>
      <c r="F23" s="29">
        <f>SUM(C23:E23)</f>
        <v>958670.5406496831</v>
      </c>
      <c r="G23" s="31"/>
      <c r="H23" s="31"/>
      <c r="I23" s="29">
        <f>$F$39*I19</f>
        <v>410236.01363405871</v>
      </c>
      <c r="J23" s="29">
        <f>$F$39*J19</f>
        <v>94090.456527004411</v>
      </c>
      <c r="K23" s="29">
        <f>$F$39*K19</f>
        <v>329790.77234891924</v>
      </c>
      <c r="L23" s="29">
        <f>SUM(I23:K23)</f>
        <v>834117.24250998232</v>
      </c>
      <c r="M23" s="33"/>
      <c r="N23" s="29">
        <f>$F$39*N19</f>
        <v>60580.744165200951</v>
      </c>
      <c r="O23" s="29">
        <f>$F$39*O19</f>
        <v>14200.210422026843</v>
      </c>
      <c r="P23" s="29">
        <f>$F$39*P19</f>
        <v>49772.343552472936</v>
      </c>
      <c r="Q23" s="29">
        <f>SUM(N23:P23)</f>
        <v>124553.29813970072</v>
      </c>
    </row>
    <row r="24" spans="1:17" ht="4.5" customHeight="1" x14ac:dyDescent="0.25">
      <c r="C24" s="29"/>
      <c r="D24" s="29"/>
      <c r="E24" s="29"/>
      <c r="F24" s="29"/>
      <c r="G24" s="31"/>
      <c r="H24" s="31"/>
      <c r="I24" s="29"/>
      <c r="J24" s="29"/>
      <c r="K24" s="29"/>
      <c r="L24" s="29"/>
      <c r="M24" s="33"/>
      <c r="N24" s="29"/>
      <c r="O24" s="29"/>
      <c r="P24" s="29"/>
      <c r="Q24" s="29"/>
    </row>
    <row r="25" spans="1:17" x14ac:dyDescent="0.25">
      <c r="A25" s="25" t="s">
        <v>18</v>
      </c>
      <c r="B25" s="25" t="s">
        <v>19</v>
      </c>
      <c r="C25" s="30">
        <f>C17+C21+C23</f>
        <v>3043563.1101203063</v>
      </c>
      <c r="D25" s="30">
        <f>D17+D21+D23</f>
        <v>840933.97550688463</v>
      </c>
      <c r="E25" s="30">
        <f>E17+E21+E23</f>
        <v>2172514.6378061259</v>
      </c>
      <c r="F25" s="30">
        <f>SUM(C25:E25)</f>
        <v>6057011.7234333167</v>
      </c>
      <c r="G25" s="31"/>
      <c r="H25" s="31"/>
      <c r="I25" s="30">
        <f>I17+I21+I23</f>
        <v>2588347.8389913044</v>
      </c>
      <c r="J25" s="30">
        <f>J17+J21+J23</f>
        <v>703367.62491022027</v>
      </c>
      <c r="K25" s="30">
        <f>K17+K21+K23</f>
        <v>1860727.820875593</v>
      </c>
      <c r="L25" s="30">
        <f>SUM(I25:K25)</f>
        <v>5152443.2847771179</v>
      </c>
      <c r="M25" s="32"/>
      <c r="N25" s="30">
        <f>N17+N21+N23</f>
        <v>455215.2711290014</v>
      </c>
      <c r="O25" s="30">
        <f>O17+O21+O23</f>
        <v>137566.35059666436</v>
      </c>
      <c r="P25" s="30">
        <f>P17+P21+P23</f>
        <v>311786.81693053304</v>
      </c>
      <c r="Q25" s="30">
        <f>SUM(N25:P25)</f>
        <v>904568.43865619879</v>
      </c>
    </row>
    <row r="26" spans="1:17" ht="6.75" customHeight="1" x14ac:dyDescent="0.25">
      <c r="G26" s="31"/>
      <c r="H26" s="31"/>
      <c r="M26" s="31"/>
    </row>
    <row r="27" spans="1:17" x14ac:dyDescent="0.25">
      <c r="A27" s="25" t="s">
        <v>43</v>
      </c>
      <c r="B27" s="25" t="s">
        <v>52</v>
      </c>
      <c r="C27" s="29">
        <f>I27+N27</f>
        <v>10758050.222222222</v>
      </c>
      <c r="D27" s="29">
        <f>C27</f>
        <v>10758050.222222222</v>
      </c>
      <c r="E27" s="29">
        <f>C27</f>
        <v>10758050.222222222</v>
      </c>
      <c r="F27" s="29">
        <f>C27</f>
        <v>10758050.222222222</v>
      </c>
      <c r="G27" s="31"/>
      <c r="H27" s="31"/>
      <c r="I27" s="29">
        <f>8750756/0.9</f>
        <v>9723062.222222222</v>
      </c>
      <c r="J27" s="29">
        <f>I27</f>
        <v>9723062.222222222</v>
      </c>
      <c r="K27" s="29">
        <f>I27</f>
        <v>9723062.222222222</v>
      </c>
      <c r="L27" s="29">
        <f>I27</f>
        <v>9723062.222222222</v>
      </c>
      <c r="M27" s="34"/>
      <c r="N27" s="29">
        <v>1034988</v>
      </c>
      <c r="O27" s="29">
        <f>N27</f>
        <v>1034988</v>
      </c>
      <c r="P27" s="29">
        <f>N27</f>
        <v>1034988</v>
      </c>
      <c r="Q27" s="29">
        <f>N27</f>
        <v>1034988</v>
      </c>
    </row>
    <row r="28" spans="1:17" ht="6.75" customHeight="1" x14ac:dyDescent="0.25">
      <c r="C28" s="29"/>
      <c r="D28" s="29"/>
      <c r="E28" s="29"/>
      <c r="G28" s="31"/>
      <c r="H28" s="31"/>
      <c r="I28" s="29"/>
      <c r="J28" s="29"/>
      <c r="K28" s="29"/>
      <c r="M28" s="31"/>
      <c r="N28" s="29"/>
      <c r="O28" s="29"/>
      <c r="P28" s="29"/>
    </row>
    <row r="29" spans="1:17" ht="16.5" thickBot="1" x14ac:dyDescent="0.3">
      <c r="A29" s="25" t="s">
        <v>21</v>
      </c>
      <c r="B29" s="25" t="s">
        <v>22</v>
      </c>
      <c r="C29" s="42">
        <f>C25/C27</f>
        <v>0.28291029017817848</v>
      </c>
      <c r="D29" s="42">
        <f>D25/D27</f>
        <v>7.8167879693461617E-2</v>
      </c>
      <c r="E29" s="42">
        <f>E25/E27</f>
        <v>0.20194315818664801</v>
      </c>
      <c r="F29" s="42">
        <f>F25/F27</f>
        <v>0.56302132805828808</v>
      </c>
      <c r="G29" s="31"/>
      <c r="H29" s="31"/>
      <c r="I29" s="42">
        <f>I25/I27</f>
        <v>0.26620706314884957</v>
      </c>
      <c r="J29" s="42">
        <f>J25/J27</f>
        <v>7.2340134088894517E-2</v>
      </c>
      <c r="K29" s="42">
        <f>K25/K27</f>
        <v>0.19137261269632402</v>
      </c>
      <c r="L29" s="42">
        <f>L25/L27</f>
        <v>0.52991980993406806</v>
      </c>
      <c r="M29" s="36"/>
      <c r="N29" s="42">
        <f>N25/N27</f>
        <v>0.43982661743807794</v>
      </c>
      <c r="O29" s="42">
        <f>O25/O27</f>
        <v>0.13291588945636507</v>
      </c>
      <c r="P29" s="42">
        <f>P25/P27</f>
        <v>0.30124679409861083</v>
      </c>
      <c r="Q29" s="42">
        <f>Q25/Q27</f>
        <v>0.87398930099305383</v>
      </c>
    </row>
    <row r="30" spans="1:17" ht="16.5" thickTop="1" x14ac:dyDescent="0.25"/>
    <row r="31" spans="1:17" x14ac:dyDescent="0.25">
      <c r="E31" s="37"/>
      <c r="F31" s="37"/>
      <c r="G31" s="37" t="s">
        <v>23</v>
      </c>
    </row>
    <row r="32" spans="1:17" x14ac:dyDescent="0.25">
      <c r="E32" s="37"/>
      <c r="F32" s="37"/>
      <c r="G32" s="37" t="s">
        <v>24</v>
      </c>
      <c r="H32" s="37"/>
      <c r="I32" s="37"/>
      <c r="J32" s="37"/>
      <c r="K32" s="37"/>
      <c r="L32" s="37"/>
    </row>
    <row r="33" spans="1:12" x14ac:dyDescent="0.25">
      <c r="E33" s="37" t="s">
        <v>23</v>
      </c>
      <c r="F33" s="37"/>
      <c r="G33" s="37" t="s">
        <v>25</v>
      </c>
      <c r="H33" s="37"/>
      <c r="I33" s="37"/>
      <c r="J33" s="37"/>
      <c r="K33" s="37"/>
      <c r="L33" s="37"/>
    </row>
    <row r="34" spans="1:12" x14ac:dyDescent="0.25">
      <c r="E34" s="37" t="s">
        <v>24</v>
      </c>
      <c r="F34" s="37" t="s">
        <v>26</v>
      </c>
      <c r="G34" s="37" t="s">
        <v>27</v>
      </c>
      <c r="H34" s="37"/>
      <c r="I34" s="37"/>
      <c r="J34" s="37"/>
      <c r="K34" s="37"/>
      <c r="L34" s="37"/>
    </row>
    <row r="35" spans="1:12" x14ac:dyDescent="0.25">
      <c r="E35" s="37" t="s">
        <v>25</v>
      </c>
      <c r="F35" s="37" t="s">
        <v>28</v>
      </c>
      <c r="G35" s="37" t="s">
        <v>29</v>
      </c>
      <c r="H35" s="37"/>
      <c r="I35" s="37"/>
      <c r="J35" s="37"/>
      <c r="K35" s="37"/>
      <c r="L35" s="37"/>
    </row>
    <row r="36" spans="1:12" x14ac:dyDescent="0.25">
      <c r="H36" s="37"/>
      <c r="I36" s="37"/>
      <c r="J36" s="37"/>
      <c r="K36" s="37"/>
      <c r="L36" s="37"/>
    </row>
    <row r="37" spans="1:12" x14ac:dyDescent="0.25">
      <c r="A37" s="10" t="s">
        <v>30</v>
      </c>
      <c r="B37" s="10"/>
      <c r="C37" s="47">
        <v>0</v>
      </c>
      <c r="D37" s="48">
        <v>4.1000000000000003E-3</v>
      </c>
      <c r="E37" s="49">
        <f>C37*D37</f>
        <v>0</v>
      </c>
      <c r="F37" s="50"/>
      <c r="G37" s="50">
        <f>E37+F37</f>
        <v>0</v>
      </c>
    </row>
    <row r="38" spans="1:12" x14ac:dyDescent="0.25">
      <c r="A38" s="10" t="s">
        <v>31</v>
      </c>
      <c r="B38" s="10"/>
      <c r="C38" s="47">
        <v>0.46300000000000002</v>
      </c>
      <c r="D38" s="48">
        <v>3.6900000000000002E-2</v>
      </c>
      <c r="E38" s="49">
        <f>D38*C38</f>
        <v>1.7084700000000001E-2</v>
      </c>
      <c r="F38" s="50"/>
      <c r="G38" s="50">
        <f>E38+F38</f>
        <v>1.7084700000000001E-2</v>
      </c>
    </row>
    <row r="39" spans="1:12" x14ac:dyDescent="0.25">
      <c r="A39" s="10" t="s">
        <v>32</v>
      </c>
      <c r="B39" s="10"/>
      <c r="C39" s="51">
        <v>0.53700000000000003</v>
      </c>
      <c r="D39" s="49">
        <v>0.11</v>
      </c>
      <c r="E39" s="52">
        <f>C39*D39</f>
        <v>5.9070000000000004E-2</v>
      </c>
      <c r="F39" s="50">
        <f>G39*C43</f>
        <v>3.4317317853625219E-2</v>
      </c>
      <c r="G39" s="52">
        <f>E39/(1-C43)</f>
        <v>9.3387317853625224E-2</v>
      </c>
    </row>
    <row r="40" spans="1:12" x14ac:dyDescent="0.25">
      <c r="A40" s="13"/>
      <c r="B40" s="13"/>
      <c r="C40" s="53"/>
      <c r="D40" s="49"/>
      <c r="E40" s="11"/>
      <c r="F40" s="50"/>
      <c r="G40" s="50"/>
      <c r="H40" s="12"/>
      <c r="I40" s="12"/>
      <c r="J40" s="12"/>
      <c r="K40" s="12"/>
      <c r="L40" s="12"/>
    </row>
    <row r="41" spans="1:12" ht="16.5" thickBot="1" x14ac:dyDescent="0.3">
      <c r="A41" s="15" t="s">
        <v>33</v>
      </c>
      <c r="B41" s="15"/>
      <c r="C41" s="54">
        <f>C37+C38+C39</f>
        <v>1</v>
      </c>
      <c r="D41" s="11"/>
      <c r="E41" s="54">
        <f>E37+E38+E39</f>
        <v>7.6154700000000006E-2</v>
      </c>
      <c r="F41" s="50"/>
      <c r="G41" s="54">
        <f>G37+G38+G39</f>
        <v>0.11047201785362523</v>
      </c>
    </row>
    <row r="42" spans="1:12" ht="16.5" thickTop="1" x14ac:dyDescent="0.25">
      <c r="H42" s="23"/>
      <c r="I42" s="23"/>
      <c r="J42" s="23"/>
      <c r="K42" s="23"/>
      <c r="L42" s="23"/>
    </row>
    <row r="43" spans="1:12" x14ac:dyDescent="0.25">
      <c r="A43" s="25" t="s">
        <v>34</v>
      </c>
      <c r="C43" s="39">
        <v>0.36747299999999999</v>
      </c>
    </row>
    <row r="47" spans="1:12" x14ac:dyDescent="0.25">
      <c r="A47" s="26"/>
    </row>
  </sheetData>
  <pageMargins left="0.7" right="0.7" top="1.25" bottom="0.81" header="0.75" footer="0.3"/>
  <pageSetup scale="69" orientation="landscape" r:id="rId1"/>
  <headerFooter scaleWithDoc="0">
    <oddHeader>&amp;C&amp;"Times New Roman,Bold"&amp;14Kentucky Utilities Company
&amp;12Supplemental / Standby Charge Cost Support</oddHeader>
    <oddFooter>&amp;R&amp;"Times New Roman,Bold"&amp;12Attachment 1 to Response to KU PSC-3 Question No. 3
Revised Conroy Exhibit M3
Page 3 of 4
Conroy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tabSelected="1" view="pageBreakPreview" zoomScaleNormal="100" zoomScaleSheetLayoutView="100" workbookViewId="0">
      <selection activeCell="G31" sqref="G31"/>
    </sheetView>
  </sheetViews>
  <sheetFormatPr defaultRowHeight="12.75" x14ac:dyDescent="0.2"/>
  <cols>
    <col min="1" max="1" width="9.140625" style="16"/>
    <col min="2" max="2" width="7" style="16" customWidth="1"/>
    <col min="3" max="3" width="3" style="16" customWidth="1"/>
    <col min="4" max="4" width="9.140625" style="16" customWidth="1"/>
    <col min="5" max="5" width="9.140625" style="16"/>
    <col min="6" max="6" width="1.85546875" style="16" customWidth="1"/>
    <col min="7" max="7" width="18.42578125" style="16" bestFit="1" customWidth="1"/>
    <col min="8" max="255" width="9.140625" style="16"/>
    <col min="256" max="256" width="26.85546875" style="16" bestFit="1" customWidth="1"/>
    <col min="257" max="257" width="16.85546875" style="16" bestFit="1" customWidth="1"/>
    <col min="258" max="258" width="9.140625" style="16" customWidth="1"/>
    <col min="259" max="259" width="9.140625" style="16"/>
    <col min="260" max="260" width="23.5703125" style="16" bestFit="1" customWidth="1"/>
    <col min="261" max="261" width="16.28515625" style="16" bestFit="1" customWidth="1"/>
    <col min="262" max="511" width="9.140625" style="16"/>
    <col min="512" max="512" width="26.85546875" style="16" bestFit="1" customWidth="1"/>
    <col min="513" max="513" width="16.85546875" style="16" bestFit="1" customWidth="1"/>
    <col min="514" max="514" width="9.140625" style="16" customWidth="1"/>
    <col min="515" max="515" width="9.140625" style="16"/>
    <col min="516" max="516" width="23.5703125" style="16" bestFit="1" customWidth="1"/>
    <col min="517" max="517" width="16.28515625" style="16" bestFit="1" customWidth="1"/>
    <col min="518" max="767" width="9.140625" style="16"/>
    <col min="768" max="768" width="26.85546875" style="16" bestFit="1" customWidth="1"/>
    <col min="769" max="769" width="16.85546875" style="16" bestFit="1" customWidth="1"/>
    <col min="770" max="770" width="9.140625" style="16" customWidth="1"/>
    <col min="771" max="771" width="9.140625" style="16"/>
    <col min="772" max="772" width="23.5703125" style="16" bestFit="1" customWidth="1"/>
    <col min="773" max="773" width="16.28515625" style="16" bestFit="1" customWidth="1"/>
    <col min="774" max="1023" width="9.140625" style="16"/>
    <col min="1024" max="1024" width="26.85546875" style="16" bestFit="1" customWidth="1"/>
    <col min="1025" max="1025" width="16.85546875" style="16" bestFit="1" customWidth="1"/>
    <col min="1026" max="1026" width="9.140625" style="16" customWidth="1"/>
    <col min="1027" max="1027" width="9.140625" style="16"/>
    <col min="1028" max="1028" width="23.5703125" style="16" bestFit="1" customWidth="1"/>
    <col min="1029" max="1029" width="16.28515625" style="16" bestFit="1" customWidth="1"/>
    <col min="1030" max="1279" width="9.140625" style="16"/>
    <col min="1280" max="1280" width="26.85546875" style="16" bestFit="1" customWidth="1"/>
    <col min="1281" max="1281" width="16.85546875" style="16" bestFit="1" customWidth="1"/>
    <col min="1282" max="1282" width="9.140625" style="16" customWidth="1"/>
    <col min="1283" max="1283" width="9.140625" style="16"/>
    <col min="1284" max="1284" width="23.5703125" style="16" bestFit="1" customWidth="1"/>
    <col min="1285" max="1285" width="16.28515625" style="16" bestFit="1" customWidth="1"/>
    <col min="1286" max="1535" width="9.140625" style="16"/>
    <col min="1536" max="1536" width="26.85546875" style="16" bestFit="1" customWidth="1"/>
    <col min="1537" max="1537" width="16.85546875" style="16" bestFit="1" customWidth="1"/>
    <col min="1538" max="1538" width="9.140625" style="16" customWidth="1"/>
    <col min="1539" max="1539" width="9.140625" style="16"/>
    <col min="1540" max="1540" width="23.5703125" style="16" bestFit="1" customWidth="1"/>
    <col min="1541" max="1541" width="16.28515625" style="16" bestFit="1" customWidth="1"/>
    <col min="1542" max="1791" width="9.140625" style="16"/>
    <col min="1792" max="1792" width="26.85546875" style="16" bestFit="1" customWidth="1"/>
    <col min="1793" max="1793" width="16.85546875" style="16" bestFit="1" customWidth="1"/>
    <col min="1794" max="1794" width="9.140625" style="16" customWidth="1"/>
    <col min="1795" max="1795" width="9.140625" style="16"/>
    <col min="1796" max="1796" width="23.5703125" style="16" bestFit="1" customWidth="1"/>
    <col min="1797" max="1797" width="16.28515625" style="16" bestFit="1" customWidth="1"/>
    <col min="1798" max="2047" width="9.140625" style="16"/>
    <col min="2048" max="2048" width="26.85546875" style="16" bestFit="1" customWidth="1"/>
    <col min="2049" max="2049" width="16.85546875" style="16" bestFit="1" customWidth="1"/>
    <col min="2050" max="2050" width="9.140625" style="16" customWidth="1"/>
    <col min="2051" max="2051" width="9.140625" style="16"/>
    <col min="2052" max="2052" width="23.5703125" style="16" bestFit="1" customWidth="1"/>
    <col min="2053" max="2053" width="16.28515625" style="16" bestFit="1" customWidth="1"/>
    <col min="2054" max="2303" width="9.140625" style="16"/>
    <col min="2304" max="2304" width="26.85546875" style="16" bestFit="1" customWidth="1"/>
    <col min="2305" max="2305" width="16.85546875" style="16" bestFit="1" customWidth="1"/>
    <col min="2306" max="2306" width="9.140625" style="16" customWidth="1"/>
    <col min="2307" max="2307" width="9.140625" style="16"/>
    <col min="2308" max="2308" width="23.5703125" style="16" bestFit="1" customWidth="1"/>
    <col min="2309" max="2309" width="16.28515625" style="16" bestFit="1" customWidth="1"/>
    <col min="2310" max="2559" width="9.140625" style="16"/>
    <col min="2560" max="2560" width="26.85546875" style="16" bestFit="1" customWidth="1"/>
    <col min="2561" max="2561" width="16.85546875" style="16" bestFit="1" customWidth="1"/>
    <col min="2562" max="2562" width="9.140625" style="16" customWidth="1"/>
    <col min="2563" max="2563" width="9.140625" style="16"/>
    <col min="2564" max="2564" width="23.5703125" style="16" bestFit="1" customWidth="1"/>
    <col min="2565" max="2565" width="16.28515625" style="16" bestFit="1" customWidth="1"/>
    <col min="2566" max="2815" width="9.140625" style="16"/>
    <col min="2816" max="2816" width="26.85546875" style="16" bestFit="1" customWidth="1"/>
    <col min="2817" max="2817" width="16.85546875" style="16" bestFit="1" customWidth="1"/>
    <col min="2818" max="2818" width="9.140625" style="16" customWidth="1"/>
    <col min="2819" max="2819" width="9.140625" style="16"/>
    <col min="2820" max="2820" width="23.5703125" style="16" bestFit="1" customWidth="1"/>
    <col min="2821" max="2821" width="16.28515625" style="16" bestFit="1" customWidth="1"/>
    <col min="2822" max="3071" width="9.140625" style="16"/>
    <col min="3072" max="3072" width="26.85546875" style="16" bestFit="1" customWidth="1"/>
    <col min="3073" max="3073" width="16.85546875" style="16" bestFit="1" customWidth="1"/>
    <col min="3074" max="3074" width="9.140625" style="16" customWidth="1"/>
    <col min="3075" max="3075" width="9.140625" style="16"/>
    <col min="3076" max="3076" width="23.5703125" style="16" bestFit="1" customWidth="1"/>
    <col min="3077" max="3077" width="16.28515625" style="16" bestFit="1" customWidth="1"/>
    <col min="3078" max="3327" width="9.140625" style="16"/>
    <col min="3328" max="3328" width="26.85546875" style="16" bestFit="1" customWidth="1"/>
    <col min="3329" max="3329" width="16.85546875" style="16" bestFit="1" customWidth="1"/>
    <col min="3330" max="3330" width="9.140625" style="16" customWidth="1"/>
    <col min="3331" max="3331" width="9.140625" style="16"/>
    <col min="3332" max="3332" width="23.5703125" style="16" bestFit="1" customWidth="1"/>
    <col min="3333" max="3333" width="16.28515625" style="16" bestFit="1" customWidth="1"/>
    <col min="3334" max="3583" width="9.140625" style="16"/>
    <col min="3584" max="3584" width="26.85546875" style="16" bestFit="1" customWidth="1"/>
    <col min="3585" max="3585" width="16.85546875" style="16" bestFit="1" customWidth="1"/>
    <col min="3586" max="3586" width="9.140625" style="16" customWidth="1"/>
    <col min="3587" max="3587" width="9.140625" style="16"/>
    <col min="3588" max="3588" width="23.5703125" style="16" bestFit="1" customWidth="1"/>
    <col min="3589" max="3589" width="16.28515625" style="16" bestFit="1" customWidth="1"/>
    <col min="3590" max="3839" width="9.140625" style="16"/>
    <col min="3840" max="3840" width="26.85546875" style="16" bestFit="1" customWidth="1"/>
    <col min="3841" max="3841" width="16.85546875" style="16" bestFit="1" customWidth="1"/>
    <col min="3842" max="3842" width="9.140625" style="16" customWidth="1"/>
    <col min="3843" max="3843" width="9.140625" style="16"/>
    <col min="3844" max="3844" width="23.5703125" style="16" bestFit="1" customWidth="1"/>
    <col min="3845" max="3845" width="16.28515625" style="16" bestFit="1" customWidth="1"/>
    <col min="3846" max="4095" width="9.140625" style="16"/>
    <col min="4096" max="4096" width="26.85546875" style="16" bestFit="1" customWidth="1"/>
    <col min="4097" max="4097" width="16.85546875" style="16" bestFit="1" customWidth="1"/>
    <col min="4098" max="4098" width="9.140625" style="16" customWidth="1"/>
    <col min="4099" max="4099" width="9.140625" style="16"/>
    <col min="4100" max="4100" width="23.5703125" style="16" bestFit="1" customWidth="1"/>
    <col min="4101" max="4101" width="16.28515625" style="16" bestFit="1" customWidth="1"/>
    <col min="4102" max="4351" width="9.140625" style="16"/>
    <col min="4352" max="4352" width="26.85546875" style="16" bestFit="1" customWidth="1"/>
    <col min="4353" max="4353" width="16.85546875" style="16" bestFit="1" customWidth="1"/>
    <col min="4354" max="4354" width="9.140625" style="16" customWidth="1"/>
    <col min="4355" max="4355" width="9.140625" style="16"/>
    <col min="4356" max="4356" width="23.5703125" style="16" bestFit="1" customWidth="1"/>
    <col min="4357" max="4357" width="16.28515625" style="16" bestFit="1" customWidth="1"/>
    <col min="4358" max="4607" width="9.140625" style="16"/>
    <col min="4608" max="4608" width="26.85546875" style="16" bestFit="1" customWidth="1"/>
    <col min="4609" max="4609" width="16.85546875" style="16" bestFit="1" customWidth="1"/>
    <col min="4610" max="4610" width="9.140625" style="16" customWidth="1"/>
    <col min="4611" max="4611" width="9.140625" style="16"/>
    <col min="4612" max="4612" width="23.5703125" style="16" bestFit="1" customWidth="1"/>
    <col min="4613" max="4613" width="16.28515625" style="16" bestFit="1" customWidth="1"/>
    <col min="4614" max="4863" width="9.140625" style="16"/>
    <col min="4864" max="4864" width="26.85546875" style="16" bestFit="1" customWidth="1"/>
    <col min="4865" max="4865" width="16.85546875" style="16" bestFit="1" customWidth="1"/>
    <col min="4866" max="4866" width="9.140625" style="16" customWidth="1"/>
    <col min="4867" max="4867" width="9.140625" style="16"/>
    <col min="4868" max="4868" width="23.5703125" style="16" bestFit="1" customWidth="1"/>
    <col min="4869" max="4869" width="16.28515625" style="16" bestFit="1" customWidth="1"/>
    <col min="4870" max="5119" width="9.140625" style="16"/>
    <col min="5120" max="5120" width="26.85546875" style="16" bestFit="1" customWidth="1"/>
    <col min="5121" max="5121" width="16.85546875" style="16" bestFit="1" customWidth="1"/>
    <col min="5122" max="5122" width="9.140625" style="16" customWidth="1"/>
    <col min="5123" max="5123" width="9.140625" style="16"/>
    <col min="5124" max="5124" width="23.5703125" style="16" bestFit="1" customWidth="1"/>
    <col min="5125" max="5125" width="16.28515625" style="16" bestFit="1" customWidth="1"/>
    <col min="5126" max="5375" width="9.140625" style="16"/>
    <col min="5376" max="5376" width="26.85546875" style="16" bestFit="1" customWidth="1"/>
    <col min="5377" max="5377" width="16.85546875" style="16" bestFit="1" customWidth="1"/>
    <col min="5378" max="5378" width="9.140625" style="16" customWidth="1"/>
    <col min="5379" max="5379" width="9.140625" style="16"/>
    <col min="5380" max="5380" width="23.5703125" style="16" bestFit="1" customWidth="1"/>
    <col min="5381" max="5381" width="16.28515625" style="16" bestFit="1" customWidth="1"/>
    <col min="5382" max="5631" width="9.140625" style="16"/>
    <col min="5632" max="5632" width="26.85546875" style="16" bestFit="1" customWidth="1"/>
    <col min="5633" max="5633" width="16.85546875" style="16" bestFit="1" customWidth="1"/>
    <col min="5634" max="5634" width="9.140625" style="16" customWidth="1"/>
    <col min="5635" max="5635" width="9.140625" style="16"/>
    <col min="5636" max="5636" width="23.5703125" style="16" bestFit="1" customWidth="1"/>
    <col min="5637" max="5637" width="16.28515625" style="16" bestFit="1" customWidth="1"/>
    <col min="5638" max="5887" width="9.140625" style="16"/>
    <col min="5888" max="5888" width="26.85546875" style="16" bestFit="1" customWidth="1"/>
    <col min="5889" max="5889" width="16.85546875" style="16" bestFit="1" customWidth="1"/>
    <col min="5890" max="5890" width="9.140625" style="16" customWidth="1"/>
    <col min="5891" max="5891" width="9.140625" style="16"/>
    <col min="5892" max="5892" width="23.5703125" style="16" bestFit="1" customWidth="1"/>
    <col min="5893" max="5893" width="16.28515625" style="16" bestFit="1" customWidth="1"/>
    <col min="5894" max="6143" width="9.140625" style="16"/>
    <col min="6144" max="6144" width="26.85546875" style="16" bestFit="1" customWidth="1"/>
    <col min="6145" max="6145" width="16.85546875" style="16" bestFit="1" customWidth="1"/>
    <col min="6146" max="6146" width="9.140625" style="16" customWidth="1"/>
    <col min="6147" max="6147" width="9.140625" style="16"/>
    <col min="6148" max="6148" width="23.5703125" style="16" bestFit="1" customWidth="1"/>
    <col min="6149" max="6149" width="16.28515625" style="16" bestFit="1" customWidth="1"/>
    <col min="6150" max="6399" width="9.140625" style="16"/>
    <col min="6400" max="6400" width="26.85546875" style="16" bestFit="1" customWidth="1"/>
    <col min="6401" max="6401" width="16.85546875" style="16" bestFit="1" customWidth="1"/>
    <col min="6402" max="6402" width="9.140625" style="16" customWidth="1"/>
    <col min="6403" max="6403" width="9.140625" style="16"/>
    <col min="6404" max="6404" width="23.5703125" style="16" bestFit="1" customWidth="1"/>
    <col min="6405" max="6405" width="16.28515625" style="16" bestFit="1" customWidth="1"/>
    <col min="6406" max="6655" width="9.140625" style="16"/>
    <col min="6656" max="6656" width="26.85546875" style="16" bestFit="1" customWidth="1"/>
    <col min="6657" max="6657" width="16.85546875" style="16" bestFit="1" customWidth="1"/>
    <col min="6658" max="6658" width="9.140625" style="16" customWidth="1"/>
    <col min="6659" max="6659" width="9.140625" style="16"/>
    <col min="6660" max="6660" width="23.5703125" style="16" bestFit="1" customWidth="1"/>
    <col min="6661" max="6661" width="16.28515625" style="16" bestFit="1" customWidth="1"/>
    <col min="6662" max="6911" width="9.140625" style="16"/>
    <col min="6912" max="6912" width="26.85546875" style="16" bestFit="1" customWidth="1"/>
    <col min="6913" max="6913" width="16.85546875" style="16" bestFit="1" customWidth="1"/>
    <col min="6914" max="6914" width="9.140625" style="16" customWidth="1"/>
    <col min="6915" max="6915" width="9.140625" style="16"/>
    <col min="6916" max="6916" width="23.5703125" style="16" bestFit="1" customWidth="1"/>
    <col min="6917" max="6917" width="16.28515625" style="16" bestFit="1" customWidth="1"/>
    <col min="6918" max="7167" width="9.140625" style="16"/>
    <col min="7168" max="7168" width="26.85546875" style="16" bestFit="1" customWidth="1"/>
    <col min="7169" max="7169" width="16.85546875" style="16" bestFit="1" customWidth="1"/>
    <col min="7170" max="7170" width="9.140625" style="16" customWidth="1"/>
    <col min="7171" max="7171" width="9.140625" style="16"/>
    <col min="7172" max="7172" width="23.5703125" style="16" bestFit="1" customWidth="1"/>
    <col min="7173" max="7173" width="16.28515625" style="16" bestFit="1" customWidth="1"/>
    <col min="7174" max="7423" width="9.140625" style="16"/>
    <col min="7424" max="7424" width="26.85546875" style="16" bestFit="1" customWidth="1"/>
    <col min="7425" max="7425" width="16.85546875" style="16" bestFit="1" customWidth="1"/>
    <col min="7426" max="7426" width="9.140625" style="16" customWidth="1"/>
    <col min="7427" max="7427" width="9.140625" style="16"/>
    <col min="7428" max="7428" width="23.5703125" style="16" bestFit="1" customWidth="1"/>
    <col min="7429" max="7429" width="16.28515625" style="16" bestFit="1" customWidth="1"/>
    <col min="7430" max="7679" width="9.140625" style="16"/>
    <col min="7680" max="7680" width="26.85546875" style="16" bestFit="1" customWidth="1"/>
    <col min="7681" max="7681" width="16.85546875" style="16" bestFit="1" customWidth="1"/>
    <col min="7682" max="7682" width="9.140625" style="16" customWidth="1"/>
    <col min="7683" max="7683" width="9.140625" style="16"/>
    <col min="7684" max="7684" width="23.5703125" style="16" bestFit="1" customWidth="1"/>
    <col min="7685" max="7685" width="16.28515625" style="16" bestFit="1" customWidth="1"/>
    <col min="7686" max="7935" width="9.140625" style="16"/>
    <col min="7936" max="7936" width="26.85546875" style="16" bestFit="1" customWidth="1"/>
    <col min="7937" max="7937" width="16.85546875" style="16" bestFit="1" customWidth="1"/>
    <col min="7938" max="7938" width="9.140625" style="16" customWidth="1"/>
    <col min="7939" max="7939" width="9.140625" style="16"/>
    <col min="7940" max="7940" width="23.5703125" style="16" bestFit="1" customWidth="1"/>
    <col min="7941" max="7941" width="16.28515625" style="16" bestFit="1" customWidth="1"/>
    <col min="7942" max="8191" width="9.140625" style="16"/>
    <col min="8192" max="8192" width="26.85546875" style="16" bestFit="1" customWidth="1"/>
    <col min="8193" max="8193" width="16.85546875" style="16" bestFit="1" customWidth="1"/>
    <col min="8194" max="8194" width="9.140625" style="16" customWidth="1"/>
    <col min="8195" max="8195" width="9.140625" style="16"/>
    <col min="8196" max="8196" width="23.5703125" style="16" bestFit="1" customWidth="1"/>
    <col min="8197" max="8197" width="16.28515625" style="16" bestFit="1" customWidth="1"/>
    <col min="8198" max="8447" width="9.140625" style="16"/>
    <col min="8448" max="8448" width="26.85546875" style="16" bestFit="1" customWidth="1"/>
    <col min="8449" max="8449" width="16.85546875" style="16" bestFit="1" customWidth="1"/>
    <col min="8450" max="8450" width="9.140625" style="16" customWidth="1"/>
    <col min="8451" max="8451" width="9.140625" style="16"/>
    <col min="8452" max="8452" width="23.5703125" style="16" bestFit="1" customWidth="1"/>
    <col min="8453" max="8453" width="16.28515625" style="16" bestFit="1" customWidth="1"/>
    <col min="8454" max="8703" width="9.140625" style="16"/>
    <col min="8704" max="8704" width="26.85546875" style="16" bestFit="1" customWidth="1"/>
    <col min="8705" max="8705" width="16.85546875" style="16" bestFit="1" customWidth="1"/>
    <col min="8706" max="8706" width="9.140625" style="16" customWidth="1"/>
    <col min="8707" max="8707" width="9.140625" style="16"/>
    <col min="8708" max="8708" width="23.5703125" style="16" bestFit="1" customWidth="1"/>
    <col min="8709" max="8709" width="16.28515625" style="16" bestFit="1" customWidth="1"/>
    <col min="8710" max="8959" width="9.140625" style="16"/>
    <col min="8960" max="8960" width="26.85546875" style="16" bestFit="1" customWidth="1"/>
    <col min="8961" max="8961" width="16.85546875" style="16" bestFit="1" customWidth="1"/>
    <col min="8962" max="8962" width="9.140625" style="16" customWidth="1"/>
    <col min="8963" max="8963" width="9.140625" style="16"/>
    <col min="8964" max="8964" width="23.5703125" style="16" bestFit="1" customWidth="1"/>
    <col min="8965" max="8965" width="16.28515625" style="16" bestFit="1" customWidth="1"/>
    <col min="8966" max="9215" width="9.140625" style="16"/>
    <col min="9216" max="9216" width="26.85546875" style="16" bestFit="1" customWidth="1"/>
    <col min="9217" max="9217" width="16.85546875" style="16" bestFit="1" customWidth="1"/>
    <col min="9218" max="9218" width="9.140625" style="16" customWidth="1"/>
    <col min="9219" max="9219" width="9.140625" style="16"/>
    <col min="9220" max="9220" width="23.5703125" style="16" bestFit="1" customWidth="1"/>
    <col min="9221" max="9221" width="16.28515625" style="16" bestFit="1" customWidth="1"/>
    <col min="9222" max="9471" width="9.140625" style="16"/>
    <col min="9472" max="9472" width="26.85546875" style="16" bestFit="1" customWidth="1"/>
    <col min="9473" max="9473" width="16.85546875" style="16" bestFit="1" customWidth="1"/>
    <col min="9474" max="9474" width="9.140625" style="16" customWidth="1"/>
    <col min="9475" max="9475" width="9.140625" style="16"/>
    <col min="9476" max="9476" width="23.5703125" style="16" bestFit="1" customWidth="1"/>
    <col min="9477" max="9477" width="16.28515625" style="16" bestFit="1" customWidth="1"/>
    <col min="9478" max="9727" width="9.140625" style="16"/>
    <col min="9728" max="9728" width="26.85546875" style="16" bestFit="1" customWidth="1"/>
    <col min="9729" max="9729" width="16.85546875" style="16" bestFit="1" customWidth="1"/>
    <col min="9730" max="9730" width="9.140625" style="16" customWidth="1"/>
    <col min="9731" max="9731" width="9.140625" style="16"/>
    <col min="9732" max="9732" width="23.5703125" style="16" bestFit="1" customWidth="1"/>
    <col min="9733" max="9733" width="16.28515625" style="16" bestFit="1" customWidth="1"/>
    <col min="9734" max="9983" width="9.140625" style="16"/>
    <col min="9984" max="9984" width="26.85546875" style="16" bestFit="1" customWidth="1"/>
    <col min="9985" max="9985" width="16.85546875" style="16" bestFit="1" customWidth="1"/>
    <col min="9986" max="9986" width="9.140625" style="16" customWidth="1"/>
    <col min="9987" max="9987" width="9.140625" style="16"/>
    <col min="9988" max="9988" width="23.5703125" style="16" bestFit="1" customWidth="1"/>
    <col min="9989" max="9989" width="16.28515625" style="16" bestFit="1" customWidth="1"/>
    <col min="9990" max="10239" width="9.140625" style="16"/>
    <col min="10240" max="10240" width="26.85546875" style="16" bestFit="1" customWidth="1"/>
    <col min="10241" max="10241" width="16.85546875" style="16" bestFit="1" customWidth="1"/>
    <col min="10242" max="10242" width="9.140625" style="16" customWidth="1"/>
    <col min="10243" max="10243" width="9.140625" style="16"/>
    <col min="10244" max="10244" width="23.5703125" style="16" bestFit="1" customWidth="1"/>
    <col min="10245" max="10245" width="16.28515625" style="16" bestFit="1" customWidth="1"/>
    <col min="10246" max="10495" width="9.140625" style="16"/>
    <col min="10496" max="10496" width="26.85546875" style="16" bestFit="1" customWidth="1"/>
    <col min="10497" max="10497" width="16.85546875" style="16" bestFit="1" customWidth="1"/>
    <col min="10498" max="10498" width="9.140625" style="16" customWidth="1"/>
    <col min="10499" max="10499" width="9.140625" style="16"/>
    <col min="10500" max="10500" width="23.5703125" style="16" bestFit="1" customWidth="1"/>
    <col min="10501" max="10501" width="16.28515625" style="16" bestFit="1" customWidth="1"/>
    <col min="10502" max="10751" width="9.140625" style="16"/>
    <col min="10752" max="10752" width="26.85546875" style="16" bestFit="1" customWidth="1"/>
    <col min="10753" max="10753" width="16.85546875" style="16" bestFit="1" customWidth="1"/>
    <col min="10754" max="10754" width="9.140625" style="16" customWidth="1"/>
    <col min="10755" max="10755" width="9.140625" style="16"/>
    <col min="10756" max="10756" width="23.5703125" style="16" bestFit="1" customWidth="1"/>
    <col min="10757" max="10757" width="16.28515625" style="16" bestFit="1" customWidth="1"/>
    <col min="10758" max="11007" width="9.140625" style="16"/>
    <col min="11008" max="11008" width="26.85546875" style="16" bestFit="1" customWidth="1"/>
    <col min="11009" max="11009" width="16.85546875" style="16" bestFit="1" customWidth="1"/>
    <col min="11010" max="11010" width="9.140625" style="16" customWidth="1"/>
    <col min="11011" max="11011" width="9.140625" style="16"/>
    <col min="11012" max="11012" width="23.5703125" style="16" bestFit="1" customWidth="1"/>
    <col min="11013" max="11013" width="16.28515625" style="16" bestFit="1" customWidth="1"/>
    <col min="11014" max="11263" width="9.140625" style="16"/>
    <col min="11264" max="11264" width="26.85546875" style="16" bestFit="1" customWidth="1"/>
    <col min="11265" max="11265" width="16.85546875" style="16" bestFit="1" customWidth="1"/>
    <col min="11266" max="11266" width="9.140625" style="16" customWidth="1"/>
    <col min="11267" max="11267" width="9.140625" style="16"/>
    <col min="11268" max="11268" width="23.5703125" style="16" bestFit="1" customWidth="1"/>
    <col min="11269" max="11269" width="16.28515625" style="16" bestFit="1" customWidth="1"/>
    <col min="11270" max="11519" width="9.140625" style="16"/>
    <col min="11520" max="11520" width="26.85546875" style="16" bestFit="1" customWidth="1"/>
    <col min="11521" max="11521" width="16.85546875" style="16" bestFit="1" customWidth="1"/>
    <col min="11522" max="11522" width="9.140625" style="16" customWidth="1"/>
    <col min="11523" max="11523" width="9.140625" style="16"/>
    <col min="11524" max="11524" width="23.5703125" style="16" bestFit="1" customWidth="1"/>
    <col min="11525" max="11525" width="16.28515625" style="16" bestFit="1" customWidth="1"/>
    <col min="11526" max="11775" width="9.140625" style="16"/>
    <col min="11776" max="11776" width="26.85546875" style="16" bestFit="1" customWidth="1"/>
    <col min="11777" max="11777" width="16.85546875" style="16" bestFit="1" customWidth="1"/>
    <col min="11778" max="11778" width="9.140625" style="16" customWidth="1"/>
    <col min="11779" max="11779" width="9.140625" style="16"/>
    <col min="11780" max="11780" width="23.5703125" style="16" bestFit="1" customWidth="1"/>
    <col min="11781" max="11781" width="16.28515625" style="16" bestFit="1" customWidth="1"/>
    <col min="11782" max="12031" width="9.140625" style="16"/>
    <col min="12032" max="12032" width="26.85546875" style="16" bestFit="1" customWidth="1"/>
    <col min="12033" max="12033" width="16.85546875" style="16" bestFit="1" customWidth="1"/>
    <col min="12034" max="12034" width="9.140625" style="16" customWidth="1"/>
    <col min="12035" max="12035" width="9.140625" style="16"/>
    <col min="12036" max="12036" width="23.5703125" style="16" bestFit="1" customWidth="1"/>
    <col min="12037" max="12037" width="16.28515625" style="16" bestFit="1" customWidth="1"/>
    <col min="12038" max="12287" width="9.140625" style="16"/>
    <col min="12288" max="12288" width="26.85546875" style="16" bestFit="1" customWidth="1"/>
    <col min="12289" max="12289" width="16.85546875" style="16" bestFit="1" customWidth="1"/>
    <col min="12290" max="12290" width="9.140625" style="16" customWidth="1"/>
    <col min="12291" max="12291" width="9.140625" style="16"/>
    <col min="12292" max="12292" width="23.5703125" style="16" bestFit="1" customWidth="1"/>
    <col min="12293" max="12293" width="16.28515625" style="16" bestFit="1" customWidth="1"/>
    <col min="12294" max="12543" width="9.140625" style="16"/>
    <col min="12544" max="12544" width="26.85546875" style="16" bestFit="1" customWidth="1"/>
    <col min="12545" max="12545" width="16.85546875" style="16" bestFit="1" customWidth="1"/>
    <col min="12546" max="12546" width="9.140625" style="16" customWidth="1"/>
    <col min="12547" max="12547" width="9.140625" style="16"/>
    <col min="12548" max="12548" width="23.5703125" style="16" bestFit="1" customWidth="1"/>
    <col min="12549" max="12549" width="16.28515625" style="16" bestFit="1" customWidth="1"/>
    <col min="12550" max="12799" width="9.140625" style="16"/>
    <col min="12800" max="12800" width="26.85546875" style="16" bestFit="1" customWidth="1"/>
    <col min="12801" max="12801" width="16.85546875" style="16" bestFit="1" customWidth="1"/>
    <col min="12802" max="12802" width="9.140625" style="16" customWidth="1"/>
    <col min="12803" max="12803" width="9.140625" style="16"/>
    <col min="12804" max="12804" width="23.5703125" style="16" bestFit="1" customWidth="1"/>
    <col min="12805" max="12805" width="16.28515625" style="16" bestFit="1" customWidth="1"/>
    <col min="12806" max="13055" width="9.140625" style="16"/>
    <col min="13056" max="13056" width="26.85546875" style="16" bestFit="1" customWidth="1"/>
    <col min="13057" max="13057" width="16.85546875" style="16" bestFit="1" customWidth="1"/>
    <col min="13058" max="13058" width="9.140625" style="16" customWidth="1"/>
    <col min="13059" max="13059" width="9.140625" style="16"/>
    <col min="13060" max="13060" width="23.5703125" style="16" bestFit="1" customWidth="1"/>
    <col min="13061" max="13061" width="16.28515625" style="16" bestFit="1" customWidth="1"/>
    <col min="13062" max="13311" width="9.140625" style="16"/>
    <col min="13312" max="13312" width="26.85546875" style="16" bestFit="1" customWidth="1"/>
    <col min="13313" max="13313" width="16.85546875" style="16" bestFit="1" customWidth="1"/>
    <col min="13314" max="13314" width="9.140625" style="16" customWidth="1"/>
    <col min="13315" max="13315" width="9.140625" style="16"/>
    <col min="13316" max="13316" width="23.5703125" style="16" bestFit="1" customWidth="1"/>
    <col min="13317" max="13317" width="16.28515625" style="16" bestFit="1" customWidth="1"/>
    <col min="13318" max="13567" width="9.140625" style="16"/>
    <col min="13568" max="13568" width="26.85546875" style="16" bestFit="1" customWidth="1"/>
    <col min="13569" max="13569" width="16.85546875" style="16" bestFit="1" customWidth="1"/>
    <col min="13570" max="13570" width="9.140625" style="16" customWidth="1"/>
    <col min="13571" max="13571" width="9.140625" style="16"/>
    <col min="13572" max="13572" width="23.5703125" style="16" bestFit="1" customWidth="1"/>
    <col min="13573" max="13573" width="16.28515625" style="16" bestFit="1" customWidth="1"/>
    <col min="13574" max="13823" width="9.140625" style="16"/>
    <col min="13824" max="13824" width="26.85546875" style="16" bestFit="1" customWidth="1"/>
    <col min="13825" max="13825" width="16.85546875" style="16" bestFit="1" customWidth="1"/>
    <col min="13826" max="13826" width="9.140625" style="16" customWidth="1"/>
    <col min="13827" max="13827" width="9.140625" style="16"/>
    <col min="13828" max="13828" width="23.5703125" style="16" bestFit="1" customWidth="1"/>
    <col min="13829" max="13829" width="16.28515625" style="16" bestFit="1" customWidth="1"/>
    <col min="13830" max="14079" width="9.140625" style="16"/>
    <col min="14080" max="14080" width="26.85546875" style="16" bestFit="1" customWidth="1"/>
    <col min="14081" max="14081" width="16.85546875" style="16" bestFit="1" customWidth="1"/>
    <col min="14082" max="14082" width="9.140625" style="16" customWidth="1"/>
    <col min="14083" max="14083" width="9.140625" style="16"/>
    <col min="14084" max="14084" width="23.5703125" style="16" bestFit="1" customWidth="1"/>
    <col min="14085" max="14085" width="16.28515625" style="16" bestFit="1" customWidth="1"/>
    <col min="14086" max="14335" width="9.140625" style="16"/>
    <col min="14336" max="14336" width="26.85546875" style="16" bestFit="1" customWidth="1"/>
    <col min="14337" max="14337" width="16.85546875" style="16" bestFit="1" customWidth="1"/>
    <col min="14338" max="14338" width="9.140625" style="16" customWidth="1"/>
    <col min="14339" max="14339" width="9.140625" style="16"/>
    <col min="14340" max="14340" width="23.5703125" style="16" bestFit="1" customWidth="1"/>
    <col min="14341" max="14341" width="16.28515625" style="16" bestFit="1" customWidth="1"/>
    <col min="14342" max="14591" width="9.140625" style="16"/>
    <col min="14592" max="14592" width="26.85546875" style="16" bestFit="1" customWidth="1"/>
    <col min="14593" max="14593" width="16.85546875" style="16" bestFit="1" customWidth="1"/>
    <col min="14594" max="14594" width="9.140625" style="16" customWidth="1"/>
    <col min="14595" max="14595" width="9.140625" style="16"/>
    <col min="14596" max="14596" width="23.5703125" style="16" bestFit="1" customWidth="1"/>
    <col min="14597" max="14597" width="16.28515625" style="16" bestFit="1" customWidth="1"/>
    <col min="14598" max="14847" width="9.140625" style="16"/>
    <col min="14848" max="14848" width="26.85546875" style="16" bestFit="1" customWidth="1"/>
    <col min="14849" max="14849" width="16.85546875" style="16" bestFit="1" customWidth="1"/>
    <col min="14850" max="14850" width="9.140625" style="16" customWidth="1"/>
    <col min="14851" max="14851" width="9.140625" style="16"/>
    <col min="14852" max="14852" width="23.5703125" style="16" bestFit="1" customWidth="1"/>
    <col min="14853" max="14853" width="16.28515625" style="16" bestFit="1" customWidth="1"/>
    <col min="14854" max="15103" width="9.140625" style="16"/>
    <col min="15104" max="15104" width="26.85546875" style="16" bestFit="1" customWidth="1"/>
    <col min="15105" max="15105" width="16.85546875" style="16" bestFit="1" customWidth="1"/>
    <col min="15106" max="15106" width="9.140625" style="16" customWidth="1"/>
    <col min="15107" max="15107" width="9.140625" style="16"/>
    <col min="15108" max="15108" width="23.5703125" style="16" bestFit="1" customWidth="1"/>
    <col min="15109" max="15109" width="16.28515625" style="16" bestFit="1" customWidth="1"/>
    <col min="15110" max="15359" width="9.140625" style="16"/>
    <col min="15360" max="15360" width="26.85546875" style="16" bestFit="1" customWidth="1"/>
    <col min="15361" max="15361" width="16.85546875" style="16" bestFit="1" customWidth="1"/>
    <col min="15362" max="15362" width="9.140625" style="16" customWidth="1"/>
    <col min="15363" max="15363" width="9.140625" style="16"/>
    <col min="15364" max="15364" width="23.5703125" style="16" bestFit="1" customWidth="1"/>
    <col min="15365" max="15365" width="16.28515625" style="16" bestFit="1" customWidth="1"/>
    <col min="15366" max="15615" width="9.140625" style="16"/>
    <col min="15616" max="15616" width="26.85546875" style="16" bestFit="1" customWidth="1"/>
    <col min="15617" max="15617" width="16.85546875" style="16" bestFit="1" customWidth="1"/>
    <col min="15618" max="15618" width="9.140625" style="16" customWidth="1"/>
    <col min="15619" max="15619" width="9.140625" style="16"/>
    <col min="15620" max="15620" width="23.5703125" style="16" bestFit="1" customWidth="1"/>
    <col min="15621" max="15621" width="16.28515625" style="16" bestFit="1" customWidth="1"/>
    <col min="15622" max="15871" width="9.140625" style="16"/>
    <col min="15872" max="15872" width="26.85546875" style="16" bestFit="1" customWidth="1"/>
    <col min="15873" max="15873" width="16.85546875" style="16" bestFit="1" customWidth="1"/>
    <col min="15874" max="15874" width="9.140625" style="16" customWidth="1"/>
    <col min="15875" max="15875" width="9.140625" style="16"/>
    <col min="15876" max="15876" width="23.5703125" style="16" bestFit="1" customWidth="1"/>
    <col min="15877" max="15877" width="16.28515625" style="16" bestFit="1" customWidth="1"/>
    <col min="15878" max="16127" width="9.140625" style="16"/>
    <col min="16128" max="16128" width="26.85546875" style="16" bestFit="1" customWidth="1"/>
    <col min="16129" max="16129" width="16.85546875" style="16" bestFit="1" customWidth="1"/>
    <col min="16130" max="16130" width="9.140625" style="16" customWidth="1"/>
    <col min="16131" max="16131" width="9.140625" style="16"/>
    <col min="16132" max="16132" width="23.5703125" style="16" bestFit="1" customWidth="1"/>
    <col min="16133" max="16133" width="16.28515625" style="16" bestFit="1" customWidth="1"/>
    <col min="16134" max="16384" width="9.140625" style="16"/>
  </cols>
  <sheetData>
    <row r="3" spans="2:7" x14ac:dyDescent="0.2">
      <c r="C3" s="90" t="s">
        <v>68</v>
      </c>
      <c r="D3" s="90"/>
      <c r="E3" s="90"/>
      <c r="F3" s="90"/>
      <c r="G3" s="90"/>
    </row>
    <row r="4" spans="2:7" x14ac:dyDescent="0.2">
      <c r="C4" s="90"/>
      <c r="D4" s="90"/>
      <c r="E4" s="90"/>
      <c r="F4" s="90"/>
      <c r="G4" s="90"/>
    </row>
    <row r="5" spans="2:7" x14ac:dyDescent="0.2">
      <c r="C5" s="90"/>
      <c r="D5" s="90"/>
      <c r="E5" s="90"/>
      <c r="F5" s="90"/>
      <c r="G5" s="90"/>
    </row>
    <row r="6" spans="2:7" ht="15.75" x14ac:dyDescent="0.2">
      <c r="C6" s="43"/>
      <c r="D6" s="43"/>
      <c r="E6" s="43"/>
      <c r="F6" s="43"/>
      <c r="G6" s="43"/>
    </row>
    <row r="8" spans="2:7" x14ac:dyDescent="0.2">
      <c r="B8" s="21"/>
      <c r="C8" s="78" t="s">
        <v>55</v>
      </c>
      <c r="D8" s="78"/>
      <c r="E8" s="78"/>
      <c r="F8" s="79" t="s">
        <v>57</v>
      </c>
      <c r="G8" s="80" t="s">
        <v>54</v>
      </c>
    </row>
    <row r="9" spans="2:7" x14ac:dyDescent="0.2">
      <c r="B9" s="22"/>
      <c r="C9" s="81" t="s">
        <v>49</v>
      </c>
      <c r="D9" s="82"/>
      <c r="E9" s="83"/>
      <c r="F9" s="82" t="s">
        <v>50</v>
      </c>
      <c r="G9" s="83" t="s">
        <v>46</v>
      </c>
    </row>
    <row r="10" spans="2:7" ht="12.75" customHeight="1" x14ac:dyDescent="0.2">
      <c r="B10" s="44"/>
      <c r="C10" s="59">
        <v>3516647</v>
      </c>
      <c r="D10" s="60"/>
      <c r="E10" s="61"/>
      <c r="F10" s="65">
        <f>C10*12</f>
        <v>42199764</v>
      </c>
      <c r="G10" s="66">
        <f>B10*12</f>
        <v>0</v>
      </c>
    </row>
    <row r="11" spans="2:7" ht="13.5" customHeight="1" x14ac:dyDescent="0.2">
      <c r="B11" s="44"/>
      <c r="C11" s="62"/>
      <c r="D11" s="63"/>
      <c r="E11" s="64"/>
      <c r="F11" s="67"/>
      <c r="G11" s="68"/>
    </row>
    <row r="13" spans="2:7" x14ac:dyDescent="0.2">
      <c r="F13" s="77"/>
      <c r="G13" s="77"/>
    </row>
    <row r="14" spans="2:7" x14ac:dyDescent="0.2">
      <c r="C14" s="78" t="s">
        <v>47</v>
      </c>
      <c r="D14" s="78"/>
      <c r="E14" s="78"/>
      <c r="F14" s="79" t="s">
        <v>56</v>
      </c>
      <c r="G14" s="80"/>
    </row>
    <row r="15" spans="2:7" x14ac:dyDescent="0.2">
      <c r="C15" s="81" t="s">
        <v>45</v>
      </c>
      <c r="D15" s="82"/>
      <c r="E15" s="83"/>
      <c r="F15" s="82" t="s">
        <v>51</v>
      </c>
      <c r="G15" s="83"/>
    </row>
    <row r="16" spans="2:7" ht="6" customHeight="1" x14ac:dyDescent="0.2">
      <c r="C16" s="84">
        <v>0.9</v>
      </c>
      <c r="D16" s="85"/>
      <c r="E16" s="86"/>
      <c r="F16" s="65">
        <f>F10/C16</f>
        <v>46888626.666666664</v>
      </c>
      <c r="G16" s="66"/>
    </row>
    <row r="17" spans="3:7" x14ac:dyDescent="0.2">
      <c r="C17" s="87"/>
      <c r="D17" s="88"/>
      <c r="E17" s="89"/>
      <c r="F17" s="67"/>
      <c r="G17" s="68"/>
    </row>
    <row r="18" spans="3:7" ht="4.5" customHeight="1" x14ac:dyDescent="0.2">
      <c r="C18" s="17"/>
      <c r="D18" s="17"/>
      <c r="E18" s="17"/>
      <c r="F18" s="18"/>
      <c r="G18" s="18"/>
    </row>
    <row r="20" spans="3:7" ht="6.75" customHeight="1" x14ac:dyDescent="0.2">
      <c r="D20" s="69" t="s">
        <v>20</v>
      </c>
      <c r="E20" s="70"/>
      <c r="F20" s="71"/>
    </row>
    <row r="21" spans="3:7" x14ac:dyDescent="0.2">
      <c r="D21" s="72"/>
      <c r="E21" s="73"/>
      <c r="F21" s="74"/>
    </row>
    <row r="22" spans="3:7" ht="8.25" customHeight="1" x14ac:dyDescent="0.2">
      <c r="D22" s="75">
        <f>F16</f>
        <v>46888626.666666664</v>
      </c>
      <c r="E22" s="76"/>
      <c r="F22" s="76"/>
    </row>
    <row r="23" spans="3:7" x14ac:dyDescent="0.2">
      <c r="D23" s="76"/>
      <c r="E23" s="76"/>
      <c r="F23" s="76"/>
    </row>
    <row r="24" spans="3:7" ht="4.5" customHeight="1" x14ac:dyDescent="0.2"/>
    <row r="25" spans="3:7" x14ac:dyDescent="0.2">
      <c r="C25" s="19"/>
    </row>
    <row r="26" spans="3:7" ht="6.75" customHeight="1" x14ac:dyDescent="0.2">
      <c r="C26" s="19"/>
    </row>
    <row r="27" spans="3:7" x14ac:dyDescent="0.2">
      <c r="C27" s="19"/>
    </row>
    <row r="28" spans="3:7" ht="6.75" customHeight="1" x14ac:dyDescent="0.2"/>
    <row r="29" spans="3:7" x14ac:dyDescent="0.2">
      <c r="F29" s="20"/>
    </row>
  </sheetData>
  <mergeCells count="16">
    <mergeCell ref="C3:G5"/>
    <mergeCell ref="C8:E8"/>
    <mergeCell ref="F8:G8"/>
    <mergeCell ref="C9:E9"/>
    <mergeCell ref="F9:G9"/>
    <mergeCell ref="C10:E11"/>
    <mergeCell ref="F10:G11"/>
    <mergeCell ref="D20:F21"/>
    <mergeCell ref="D22:F23"/>
    <mergeCell ref="F13:G13"/>
    <mergeCell ref="C14:E14"/>
    <mergeCell ref="F14:G14"/>
    <mergeCell ref="C15:E15"/>
    <mergeCell ref="F15:G15"/>
    <mergeCell ref="C16:E17"/>
    <mergeCell ref="F16:G17"/>
  </mergeCells>
  <printOptions horizontalCentered="1"/>
  <pageMargins left="0.7" right="0.7" top="1.25" bottom="0.75" header="0.75" footer="0.3"/>
  <pageSetup orientation="landscape" r:id="rId1"/>
  <headerFooter>
    <oddHeader>&amp;C&amp;"Times New Roman,Bold"&amp;14Kentucky Utilities Company&amp;12
Supplemental / Standby Charge Cost Support</oddHeader>
    <oddFooter>&amp;R&amp;"Times New Roman,Bold"&amp;12Attachment 1 to Response to KU PSC-3 Question No. 3
Revised Conroy Exhibit M3
Page 4 of 4
Conroy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 System - Unit Demand Cost</vt:lpstr>
      <vt:lpstr>Primary Dist. Unit Costs</vt:lpstr>
      <vt:lpstr>Secondary Dist. Unit Costs</vt:lpstr>
      <vt:lpstr>Demand Calc</vt:lpstr>
      <vt:lpstr>'Demand Calc'!Print_Area</vt:lpstr>
      <vt:lpstr>'Primary Dist. Unit Costs'!Print_Area</vt:lpstr>
      <vt:lpstr>'Secondary Dist. Unit Costs'!Print_Area</vt:lpstr>
      <vt:lpstr>'Total System - Unit Demand Cost'!Print_Area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Foxworthy, Carol</cp:lastModifiedBy>
  <cp:lastPrinted>2012-09-08T15:54:45Z</cp:lastPrinted>
  <dcterms:created xsi:type="dcterms:W3CDTF">2010-03-25T15:54:04Z</dcterms:created>
  <dcterms:modified xsi:type="dcterms:W3CDTF">2012-09-10T21:14:47Z</dcterms:modified>
</cp:coreProperties>
</file>