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035" windowHeight="8445" tabRatio="687"/>
  </bookViews>
  <sheets>
    <sheet name="Req Req TME0312-by plan" sheetId="6" r:id="rId1"/>
    <sheet name="SuppSch RB TME0312" sheetId="10" r:id="rId2"/>
    <sheet name="SuppSch TME 0312" sheetId="9" r:id="rId3"/>
    <sheet name="Not filed==&gt;" sheetId="8" r:id="rId4"/>
    <sheet name="SuppSch-by Plan TME0312" sheetId="7" r:id="rId5"/>
  </sheets>
  <definedNames>
    <definedName name="_xlnm.Print_Area" localSheetId="0">'Req Req TME0312-by plan'!$F$1:$AG$56</definedName>
    <definedName name="_xlnm.Print_Area" localSheetId="1">'SuppSch RB TME0312'!$A$1:$J$80</definedName>
    <definedName name="_xlnm.Print_Area" localSheetId="2">'SuppSch TME 0312'!$A$1:$AI$62</definedName>
    <definedName name="_xlnm.Print_Area" localSheetId="4">'SuppSch-by Plan TME0312'!$A$1:$AJ$61</definedName>
    <definedName name="_xlnm.Print_Titles" localSheetId="0">'Req Req TME0312-by plan'!$A:$E</definedName>
  </definedNames>
  <calcPr calcId="145621"/>
</workbook>
</file>

<file path=xl/calcChain.xml><?xml version="1.0" encoding="utf-8"?>
<calcChain xmlns="http://schemas.openxmlformats.org/spreadsheetml/2006/main">
  <c r="Z40" i="7" l="1"/>
  <c r="Y40" i="7"/>
  <c r="X40" i="7"/>
  <c r="AA39" i="7"/>
  <c r="AC39" i="7" s="1"/>
  <c r="Z39" i="7"/>
  <c r="Y39" i="7"/>
  <c r="X39" i="7"/>
  <c r="Z38" i="7"/>
  <c r="Y38" i="7"/>
  <c r="X38" i="7"/>
  <c r="Z37" i="7"/>
  <c r="Y37" i="7"/>
  <c r="X37" i="7"/>
  <c r="AA36" i="7"/>
  <c r="Z36" i="7"/>
  <c r="Y36" i="7"/>
  <c r="X36" i="7"/>
  <c r="AC36" i="7" s="1"/>
  <c r="Z35" i="7"/>
  <c r="Y35" i="7"/>
  <c r="X35" i="7"/>
  <c r="Z34" i="7"/>
  <c r="Y34" i="7"/>
  <c r="X34" i="7"/>
  <c r="Z33" i="7"/>
  <c r="Y33" i="7"/>
  <c r="X33" i="7"/>
  <c r="Z32" i="7"/>
  <c r="Y32" i="7"/>
  <c r="X32" i="7"/>
  <c r="Z31" i="7"/>
  <c r="Y31" i="7"/>
  <c r="X31" i="7"/>
  <c r="AA30" i="7"/>
  <c r="Z30" i="7"/>
  <c r="Y30" i="7"/>
  <c r="X30" i="7"/>
  <c r="AC30" i="7" s="1"/>
  <c r="Z29" i="7"/>
  <c r="Z41" i="7" s="1"/>
  <c r="Y29" i="7"/>
  <c r="Y41" i="7" s="1"/>
  <c r="X29" i="7"/>
  <c r="V29" i="7"/>
  <c r="V30" i="7"/>
  <c r="V31" i="7"/>
  <c r="V32" i="7"/>
  <c r="V33" i="7"/>
  <c r="V34" i="7"/>
  <c r="V35" i="7"/>
  <c r="V36" i="7"/>
  <c r="V37" i="7"/>
  <c r="V38" i="7"/>
  <c r="V39" i="7"/>
  <c r="V40" i="7"/>
  <c r="T41" i="7"/>
  <c r="U41" i="7"/>
  <c r="AC40" i="7" l="1"/>
  <c r="AC33" i="7"/>
  <c r="V41" i="7"/>
  <c r="X41" i="7"/>
  <c r="AG17" i="7"/>
  <c r="AA40" i="7" s="1"/>
  <c r="AG15" i="7"/>
  <c r="AA38" i="7" s="1"/>
  <c r="AC38" i="7" s="1"/>
  <c r="AG14" i="7"/>
  <c r="AA37" i="7" s="1"/>
  <c r="AC37" i="7" s="1"/>
  <c r="AG12" i="7"/>
  <c r="AA35" i="7" s="1"/>
  <c r="AC35" i="7" s="1"/>
  <c r="AG11" i="7"/>
  <c r="AA34" i="7" s="1"/>
  <c r="AC34" i="7" s="1"/>
  <c r="AG10" i="7"/>
  <c r="AA33" i="7" s="1"/>
  <c r="AG9" i="7"/>
  <c r="AA32" i="7" s="1"/>
  <c r="AC32" i="7" s="1"/>
  <c r="AG8" i="7"/>
  <c r="AA31" i="7" s="1"/>
  <c r="AC31" i="7" s="1"/>
  <c r="AG6" i="7"/>
  <c r="AA29" i="7" s="1"/>
  <c r="AX17" i="7"/>
  <c r="AX16" i="7"/>
  <c r="AX15" i="7"/>
  <c r="AX14" i="7"/>
  <c r="AX13" i="7"/>
  <c r="AX12" i="7"/>
  <c r="AX11" i="7"/>
  <c r="AX10" i="7"/>
  <c r="AX9" i="7"/>
  <c r="AX8" i="7"/>
  <c r="AX7" i="7"/>
  <c r="AX6" i="7"/>
  <c r="AR39" i="7"/>
  <c r="AR38" i="7"/>
  <c r="AR37" i="7"/>
  <c r="AR36" i="7"/>
  <c r="AR35" i="7"/>
  <c r="AR34" i="7"/>
  <c r="AR33" i="7"/>
  <c r="AR32" i="7"/>
  <c r="AR31" i="7"/>
  <c r="AR30" i="7"/>
  <c r="AR29" i="7"/>
  <c r="AR28" i="7"/>
  <c r="AA41" i="7" l="1"/>
  <c r="AA42" i="7"/>
  <c r="AC29" i="7"/>
  <c r="AC41" i="7" s="1"/>
  <c r="AR40" i="7"/>
  <c r="AX18" i="7"/>
  <c r="XFC18" i="7" l="1"/>
  <c r="AK21" i="9" l="1"/>
  <c r="AK22" i="9"/>
  <c r="AK21" i="10"/>
  <c r="AK22" i="10"/>
  <c r="M11" i="6" l="1"/>
  <c r="A41" i="10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5" i="10" s="1"/>
  <c r="A57" i="10" s="1"/>
  <c r="A58" i="10" s="1"/>
  <c r="A59" i="10" s="1"/>
  <c r="A61" i="10" s="1"/>
  <c r="A63" i="10" s="1"/>
  <c r="A65" i="10" s="1"/>
  <c r="A67" i="10" s="1"/>
  <c r="A69" i="10" s="1"/>
  <c r="A7" i="10" l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1" i="10" s="1"/>
  <c r="A23" i="10" s="1"/>
  <c r="A24" i="10" s="1"/>
  <c r="A25" i="10" s="1"/>
  <c r="A27" i="10" s="1"/>
  <c r="A29" i="10" l="1"/>
  <c r="A31" i="10" s="1"/>
  <c r="A33" i="10" s="1"/>
  <c r="A35" i="10" s="1"/>
  <c r="I53" i="10" l="1"/>
  <c r="H53" i="10"/>
  <c r="G53" i="10"/>
  <c r="F53" i="10"/>
  <c r="E53" i="10"/>
  <c r="D53" i="10"/>
  <c r="I19" i="10"/>
  <c r="H19" i="10"/>
  <c r="G19" i="10"/>
  <c r="F19" i="10"/>
  <c r="E19" i="10"/>
  <c r="I48" i="10"/>
  <c r="H48" i="10"/>
  <c r="G48" i="10"/>
  <c r="F48" i="10"/>
  <c r="F55" i="10" s="1"/>
  <c r="F57" i="10" s="1"/>
  <c r="E48" i="10"/>
  <c r="D48" i="10"/>
  <c r="I14" i="10"/>
  <c r="H14" i="10"/>
  <c r="G14" i="10"/>
  <c r="F14" i="10"/>
  <c r="E14" i="10"/>
  <c r="I42" i="10"/>
  <c r="H42" i="10"/>
  <c r="G42" i="10"/>
  <c r="F42" i="10"/>
  <c r="E42" i="10"/>
  <c r="D42" i="10"/>
  <c r="I8" i="10"/>
  <c r="H8" i="10"/>
  <c r="G8" i="10"/>
  <c r="F8" i="10"/>
  <c r="E8" i="10"/>
  <c r="D19" i="10"/>
  <c r="D14" i="10"/>
  <c r="D8" i="10"/>
  <c r="E21" i="10" l="1"/>
  <c r="E23" i="10" s="1"/>
  <c r="G21" i="10"/>
  <c r="G23" i="10" s="1"/>
  <c r="H21" i="10"/>
  <c r="H23" i="10" s="1"/>
  <c r="I21" i="10"/>
  <c r="I23" i="10" s="1"/>
  <c r="E55" i="10"/>
  <c r="E57" i="10" s="1"/>
  <c r="G55" i="10"/>
  <c r="G57" i="10" s="1"/>
  <c r="I55" i="10"/>
  <c r="I57" i="10" s="1"/>
  <c r="D21" i="10"/>
  <c r="D23" i="10" s="1"/>
  <c r="F21" i="10"/>
  <c r="F23" i="10" s="1"/>
  <c r="D55" i="10"/>
  <c r="D57" i="10" s="1"/>
  <c r="H55" i="10"/>
  <c r="H57" i="10" s="1"/>
  <c r="C59" i="9" l="1"/>
  <c r="B59" i="9"/>
  <c r="C58" i="9"/>
  <c r="B58" i="9"/>
  <c r="C57" i="9"/>
  <c r="B57" i="9"/>
  <c r="C56" i="9"/>
  <c r="B56" i="9"/>
  <c r="C55" i="9"/>
  <c r="B55" i="9"/>
  <c r="C54" i="9"/>
  <c r="B54" i="9"/>
  <c r="C53" i="9"/>
  <c r="B53" i="9"/>
  <c r="C52" i="9"/>
  <c r="B52" i="9"/>
  <c r="C51" i="9"/>
  <c r="B51" i="9"/>
  <c r="C50" i="9"/>
  <c r="B50" i="9"/>
  <c r="C49" i="9"/>
  <c r="B49" i="9"/>
  <c r="C48" i="9"/>
  <c r="B48" i="9"/>
  <c r="A61" i="9"/>
  <c r="C61" i="9" l="1"/>
  <c r="B61" i="9"/>
  <c r="AH38" i="9"/>
  <c r="AH58" i="9" s="1"/>
  <c r="AH37" i="9"/>
  <c r="AH57" i="9" s="1"/>
  <c r="AH36" i="9"/>
  <c r="AH56" i="9" s="1"/>
  <c r="AH35" i="9"/>
  <c r="AH55" i="9" s="1"/>
  <c r="AH34" i="9"/>
  <c r="AH54" i="9" s="1"/>
  <c r="AH33" i="9"/>
  <c r="AH53" i="9" s="1"/>
  <c r="AH32" i="9"/>
  <c r="AH52" i="9" s="1"/>
  <c r="AH31" i="9"/>
  <c r="AH51" i="9" s="1"/>
  <c r="AH30" i="9"/>
  <c r="AH50" i="9" s="1"/>
  <c r="AH29" i="9"/>
  <c r="AH49" i="9" s="1"/>
  <c r="AH28" i="9"/>
  <c r="AH48" i="9" s="1"/>
  <c r="AH27" i="9"/>
  <c r="AD38" i="9"/>
  <c r="AB38" i="9"/>
  <c r="AA38" i="9"/>
  <c r="Z38" i="9"/>
  <c r="AD37" i="9"/>
  <c r="AB37" i="9"/>
  <c r="AA37" i="9"/>
  <c r="Z37" i="9"/>
  <c r="AD36" i="9"/>
  <c r="AB36" i="9"/>
  <c r="AA36" i="9"/>
  <c r="Z36" i="9"/>
  <c r="AD35" i="9"/>
  <c r="AB35" i="9"/>
  <c r="AA35" i="9"/>
  <c r="Z35" i="9"/>
  <c r="AD34" i="9"/>
  <c r="AB34" i="9"/>
  <c r="AA34" i="9"/>
  <c r="Z34" i="9"/>
  <c r="AD33" i="9"/>
  <c r="AB33" i="9"/>
  <c r="AA33" i="9"/>
  <c r="Z33" i="9"/>
  <c r="AD32" i="9"/>
  <c r="AB32" i="9"/>
  <c r="AA32" i="9"/>
  <c r="Z32" i="9"/>
  <c r="AD31" i="9"/>
  <c r="AB31" i="9"/>
  <c r="AA31" i="9"/>
  <c r="Z31" i="9"/>
  <c r="AD30" i="9"/>
  <c r="AB30" i="9"/>
  <c r="AA30" i="9"/>
  <c r="Z30" i="9"/>
  <c r="AD29" i="9"/>
  <c r="AB29" i="9"/>
  <c r="AA29" i="9"/>
  <c r="Z29" i="9"/>
  <c r="AD28" i="9"/>
  <c r="AB28" i="9"/>
  <c r="AA28" i="9"/>
  <c r="Z28" i="9"/>
  <c r="AD27" i="9"/>
  <c r="AB27" i="9"/>
  <c r="AA27" i="9"/>
  <c r="Z27" i="9"/>
  <c r="AG17" i="9"/>
  <c r="AG16" i="9"/>
  <c r="AG57" i="9" s="1"/>
  <c r="AG15" i="9"/>
  <c r="AG56" i="9" s="1"/>
  <c r="AG14" i="9"/>
  <c r="AG55" i="9" s="1"/>
  <c r="AG13" i="9"/>
  <c r="AG54" i="9" s="1"/>
  <c r="AG12" i="9"/>
  <c r="AG53" i="9" s="1"/>
  <c r="AG11" i="9"/>
  <c r="AG52" i="9" s="1"/>
  <c r="AG10" i="9"/>
  <c r="AG51" i="9" s="1"/>
  <c r="AG9" i="9"/>
  <c r="AG50" i="9" s="1"/>
  <c r="AG8" i="9"/>
  <c r="AG7" i="9"/>
  <c r="AG48" i="9" s="1"/>
  <c r="AG6" i="9"/>
  <c r="AG47" i="9" s="1"/>
  <c r="AD17" i="9"/>
  <c r="AD58" i="9" s="1"/>
  <c r="AC17" i="9"/>
  <c r="AB17" i="9"/>
  <c r="AA17" i="9"/>
  <c r="Z17" i="9"/>
  <c r="AD16" i="9"/>
  <c r="AC16" i="9"/>
  <c r="AB16" i="9"/>
  <c r="AA16" i="9"/>
  <c r="Z16" i="9"/>
  <c r="AD15" i="9"/>
  <c r="AC15" i="9"/>
  <c r="AB15" i="9"/>
  <c r="AA15" i="9"/>
  <c r="Z15" i="9"/>
  <c r="AD14" i="9"/>
  <c r="AC14" i="9"/>
  <c r="AB14" i="9"/>
  <c r="AB55" i="9" s="1"/>
  <c r="AA14" i="9"/>
  <c r="AA55" i="9" s="1"/>
  <c r="Z14" i="9"/>
  <c r="Z55" i="9" s="1"/>
  <c r="AD13" i="9"/>
  <c r="AD54" i="9" s="1"/>
  <c r="AC13" i="9"/>
  <c r="AB13" i="9"/>
  <c r="AA13" i="9"/>
  <c r="Z13" i="9"/>
  <c r="AD12" i="9"/>
  <c r="AC12" i="9"/>
  <c r="AB12" i="9"/>
  <c r="AA12" i="9"/>
  <c r="Z12" i="9"/>
  <c r="AD11" i="9"/>
  <c r="AC11" i="9"/>
  <c r="AB11" i="9"/>
  <c r="AA11" i="9"/>
  <c r="Z11" i="9"/>
  <c r="AD10" i="9"/>
  <c r="AC10" i="9"/>
  <c r="AB10" i="9"/>
  <c r="AB51" i="9" s="1"/>
  <c r="AA10" i="9"/>
  <c r="AA51" i="9" s="1"/>
  <c r="Z10" i="9"/>
  <c r="Z51" i="9" s="1"/>
  <c r="AD9" i="9"/>
  <c r="AC9" i="9"/>
  <c r="AB9" i="9"/>
  <c r="AA9" i="9"/>
  <c r="Z9" i="9"/>
  <c r="AD8" i="9"/>
  <c r="AC8" i="9"/>
  <c r="AB8" i="9"/>
  <c r="AA8" i="9"/>
  <c r="Z8" i="9"/>
  <c r="AD7" i="9"/>
  <c r="AC7" i="9"/>
  <c r="AB7" i="9"/>
  <c r="AA7" i="9"/>
  <c r="Z7" i="9"/>
  <c r="AD6" i="9"/>
  <c r="AC6" i="9"/>
  <c r="AB6" i="9"/>
  <c r="AA6" i="9"/>
  <c r="Z6" i="9"/>
  <c r="R38" i="9"/>
  <c r="Q38" i="9"/>
  <c r="P38" i="9"/>
  <c r="O38" i="9"/>
  <c r="N38" i="9"/>
  <c r="R37" i="9"/>
  <c r="Q37" i="9"/>
  <c r="P37" i="9"/>
  <c r="O37" i="9"/>
  <c r="N37" i="9"/>
  <c r="R36" i="9"/>
  <c r="Q36" i="9"/>
  <c r="P36" i="9"/>
  <c r="O36" i="9"/>
  <c r="N36" i="9"/>
  <c r="R35" i="9"/>
  <c r="Q35" i="9"/>
  <c r="P35" i="9"/>
  <c r="O35" i="9"/>
  <c r="N35" i="9"/>
  <c r="R34" i="9"/>
  <c r="Q34" i="9"/>
  <c r="P34" i="9"/>
  <c r="O34" i="9"/>
  <c r="N34" i="9"/>
  <c r="R33" i="9"/>
  <c r="Q33" i="9"/>
  <c r="P33" i="9"/>
  <c r="O33" i="9"/>
  <c r="N33" i="9"/>
  <c r="R32" i="9"/>
  <c r="Q32" i="9"/>
  <c r="P32" i="9"/>
  <c r="O32" i="9"/>
  <c r="N32" i="9"/>
  <c r="R31" i="9"/>
  <c r="Q31" i="9"/>
  <c r="P31" i="9"/>
  <c r="O31" i="9"/>
  <c r="N31" i="9"/>
  <c r="R30" i="9"/>
  <c r="Q30" i="9"/>
  <c r="P30" i="9"/>
  <c r="O30" i="9"/>
  <c r="N30" i="9"/>
  <c r="R29" i="9"/>
  <c r="Q29" i="9"/>
  <c r="P29" i="9"/>
  <c r="O29" i="9"/>
  <c r="N29" i="9"/>
  <c r="R28" i="9"/>
  <c r="Q28" i="9"/>
  <c r="P28" i="9"/>
  <c r="O28" i="9"/>
  <c r="N28" i="9"/>
  <c r="R27" i="9"/>
  <c r="Q27" i="9"/>
  <c r="P27" i="9"/>
  <c r="O27" i="9"/>
  <c r="N27" i="9"/>
  <c r="S17" i="9"/>
  <c r="S58" i="9" s="1"/>
  <c r="R17" i="9"/>
  <c r="Q17" i="9"/>
  <c r="P17" i="9"/>
  <c r="O17" i="9"/>
  <c r="N17" i="9"/>
  <c r="S16" i="9"/>
  <c r="S57" i="9" s="1"/>
  <c r="R16" i="9"/>
  <c r="Q16" i="9"/>
  <c r="P16" i="9"/>
  <c r="O16" i="9"/>
  <c r="N16" i="9"/>
  <c r="S15" i="9"/>
  <c r="S56" i="9" s="1"/>
  <c r="R15" i="9"/>
  <c r="Q15" i="9"/>
  <c r="P15" i="9"/>
  <c r="O15" i="9"/>
  <c r="N15" i="9"/>
  <c r="S14" i="9"/>
  <c r="S55" i="9" s="1"/>
  <c r="R14" i="9"/>
  <c r="R55" i="9" s="1"/>
  <c r="Q14" i="9"/>
  <c r="Q55" i="9" s="1"/>
  <c r="P14" i="9"/>
  <c r="O14" i="9"/>
  <c r="O55" i="9" s="1"/>
  <c r="N14" i="9"/>
  <c r="S13" i="9"/>
  <c r="S54" i="9" s="1"/>
  <c r="R13" i="9"/>
  <c r="Q13" i="9"/>
  <c r="P13" i="9"/>
  <c r="O13" i="9"/>
  <c r="N13" i="9"/>
  <c r="S12" i="9"/>
  <c r="S53" i="9" s="1"/>
  <c r="R12" i="9"/>
  <c r="Q12" i="9"/>
  <c r="P12" i="9"/>
  <c r="O12" i="9"/>
  <c r="N12" i="9"/>
  <c r="S11" i="9"/>
  <c r="S52" i="9" s="1"/>
  <c r="R11" i="9"/>
  <c r="Q11" i="9"/>
  <c r="P11" i="9"/>
  <c r="O11" i="9"/>
  <c r="N11" i="9"/>
  <c r="S10" i="9"/>
  <c r="S51" i="9" s="1"/>
  <c r="R10" i="9"/>
  <c r="R51" i="9" s="1"/>
  <c r="Q10" i="9"/>
  <c r="Q51" i="9" s="1"/>
  <c r="P10" i="9"/>
  <c r="O10" i="9"/>
  <c r="N10" i="9"/>
  <c r="S9" i="9"/>
  <c r="S50" i="9" s="1"/>
  <c r="R9" i="9"/>
  <c r="Q9" i="9"/>
  <c r="P9" i="9"/>
  <c r="O9" i="9"/>
  <c r="N9" i="9"/>
  <c r="S8" i="9"/>
  <c r="S49" i="9" s="1"/>
  <c r="R8" i="9"/>
  <c r="Q8" i="9"/>
  <c r="P8" i="9"/>
  <c r="O8" i="9"/>
  <c r="N8" i="9"/>
  <c r="S7" i="9"/>
  <c r="S48" i="9" s="1"/>
  <c r="R7" i="9"/>
  <c r="Q7" i="9"/>
  <c r="P7" i="9"/>
  <c r="O7" i="9"/>
  <c r="N7" i="9"/>
  <c r="S6" i="9"/>
  <c r="S47" i="9" s="1"/>
  <c r="R6" i="9"/>
  <c r="Q6" i="9"/>
  <c r="P6" i="9"/>
  <c r="O6" i="9"/>
  <c r="N6" i="9"/>
  <c r="AG58" i="9"/>
  <c r="AE58" i="9"/>
  <c r="V58" i="9"/>
  <c r="U58" i="9"/>
  <c r="AE57" i="9"/>
  <c r="V57" i="9"/>
  <c r="U57" i="9"/>
  <c r="AE56" i="9"/>
  <c r="V56" i="9"/>
  <c r="U56" i="9"/>
  <c r="AE55" i="9"/>
  <c r="V55" i="9"/>
  <c r="U55" i="9"/>
  <c r="AE54" i="9"/>
  <c r="V54" i="9"/>
  <c r="U54" i="9"/>
  <c r="AE53" i="9"/>
  <c r="V53" i="9"/>
  <c r="U53" i="9"/>
  <c r="AE52" i="9"/>
  <c r="V52" i="9"/>
  <c r="U52" i="9"/>
  <c r="AE51" i="9"/>
  <c r="V51" i="9"/>
  <c r="U51" i="9"/>
  <c r="AE50" i="9"/>
  <c r="V50" i="9"/>
  <c r="U50" i="9"/>
  <c r="AE49" i="9"/>
  <c r="V49" i="9"/>
  <c r="U49" i="9"/>
  <c r="AE48" i="9"/>
  <c r="V48" i="9"/>
  <c r="U48" i="9"/>
  <c r="AE47" i="9"/>
  <c r="V47" i="9"/>
  <c r="U47" i="9"/>
  <c r="AG40" i="9"/>
  <c r="AE40" i="9"/>
  <c r="V40" i="9"/>
  <c r="U40" i="9"/>
  <c r="AF40" i="9"/>
  <c r="T40" i="9"/>
  <c r="S40" i="9"/>
  <c r="AH19" i="9"/>
  <c r="AE19" i="9"/>
  <c r="V19" i="9"/>
  <c r="U19" i="9"/>
  <c r="Y18" i="9"/>
  <c r="Y59" i="9" s="1"/>
  <c r="M18" i="9"/>
  <c r="T58" i="9"/>
  <c r="T57" i="9"/>
  <c r="T56" i="9"/>
  <c r="T55" i="9"/>
  <c r="T54" i="9"/>
  <c r="T53" i="9"/>
  <c r="T52" i="9"/>
  <c r="T51" i="9"/>
  <c r="T50" i="9"/>
  <c r="T49" i="9"/>
  <c r="T48" i="9"/>
  <c r="AB47" i="9"/>
  <c r="T47" i="9"/>
  <c r="B38" i="9"/>
  <c r="C37" i="9"/>
  <c r="H61" i="10" s="1"/>
  <c r="B37" i="9"/>
  <c r="C36" i="9"/>
  <c r="G61" i="10" s="1"/>
  <c r="B36" i="9"/>
  <c r="C35" i="9"/>
  <c r="F61" i="10" s="1"/>
  <c r="B35" i="9"/>
  <c r="C34" i="9"/>
  <c r="E61" i="10" s="1"/>
  <c r="B34" i="9"/>
  <c r="C33" i="9"/>
  <c r="D61" i="10" s="1"/>
  <c r="B33" i="9"/>
  <c r="C32" i="9"/>
  <c r="I27" i="10" s="1"/>
  <c r="B32" i="9"/>
  <c r="C31" i="9"/>
  <c r="H27" i="10" s="1"/>
  <c r="B31" i="9"/>
  <c r="C30" i="9"/>
  <c r="G27" i="10" s="1"/>
  <c r="B30" i="9"/>
  <c r="C29" i="9"/>
  <c r="F27" i="10" s="1"/>
  <c r="B29" i="9"/>
  <c r="C28" i="9"/>
  <c r="E27" i="10" s="1"/>
  <c r="B28" i="9"/>
  <c r="C27" i="9"/>
  <c r="D27" i="10" s="1"/>
  <c r="B27" i="9"/>
  <c r="A40" i="9"/>
  <c r="J17" i="9"/>
  <c r="I17" i="9"/>
  <c r="J16" i="9"/>
  <c r="I16" i="9"/>
  <c r="J15" i="9"/>
  <c r="I15" i="9"/>
  <c r="J14" i="9"/>
  <c r="I14" i="9"/>
  <c r="J13" i="9"/>
  <c r="I13" i="9"/>
  <c r="J12" i="9"/>
  <c r="I12" i="9"/>
  <c r="J11" i="9"/>
  <c r="I11" i="9"/>
  <c r="J10" i="9"/>
  <c r="I10" i="9"/>
  <c r="J9" i="9"/>
  <c r="I9" i="9"/>
  <c r="J8" i="9"/>
  <c r="I8" i="9"/>
  <c r="J7" i="9"/>
  <c r="I7" i="9"/>
  <c r="J6" i="9"/>
  <c r="I6" i="9"/>
  <c r="G17" i="9"/>
  <c r="G16" i="9"/>
  <c r="G15" i="9"/>
  <c r="G14" i="9"/>
  <c r="G13" i="9"/>
  <c r="G12" i="9"/>
  <c r="G11" i="9"/>
  <c r="G10" i="9"/>
  <c r="G9" i="9"/>
  <c r="G8" i="9"/>
  <c r="G7" i="9"/>
  <c r="G6" i="9"/>
  <c r="F17" i="9"/>
  <c r="D17" i="9"/>
  <c r="C17" i="9"/>
  <c r="B17" i="9"/>
  <c r="F16" i="9"/>
  <c r="D16" i="9"/>
  <c r="C16" i="9"/>
  <c r="B16" i="9"/>
  <c r="F15" i="9"/>
  <c r="D15" i="9"/>
  <c r="C15" i="9"/>
  <c r="B15" i="9"/>
  <c r="F14" i="9"/>
  <c r="D14" i="9"/>
  <c r="C14" i="9"/>
  <c r="B14" i="9"/>
  <c r="F13" i="9"/>
  <c r="D13" i="9"/>
  <c r="C13" i="9"/>
  <c r="B13" i="9"/>
  <c r="F12" i="9"/>
  <c r="D12" i="9"/>
  <c r="C12" i="9"/>
  <c r="B12" i="9"/>
  <c r="F11" i="9"/>
  <c r="D11" i="9"/>
  <c r="C11" i="9"/>
  <c r="B11" i="9"/>
  <c r="F10" i="9"/>
  <c r="D10" i="9"/>
  <c r="C10" i="9"/>
  <c r="B10" i="9"/>
  <c r="F9" i="9"/>
  <c r="D9" i="9"/>
  <c r="C9" i="9"/>
  <c r="B9" i="9"/>
  <c r="F8" i="9"/>
  <c r="D8" i="9"/>
  <c r="C8" i="9"/>
  <c r="B8" i="9"/>
  <c r="F7" i="9"/>
  <c r="D7" i="9"/>
  <c r="C7" i="9"/>
  <c r="B7" i="9"/>
  <c r="F6" i="9"/>
  <c r="D6" i="9"/>
  <c r="C6" i="9"/>
  <c r="B6" i="9"/>
  <c r="A19" i="9"/>
  <c r="M19" i="9" s="1"/>
  <c r="M60" i="9" s="1"/>
  <c r="A6" i="9"/>
  <c r="A27" i="9" s="1"/>
  <c r="AB48" i="9" l="1"/>
  <c r="AB52" i="9"/>
  <c r="AB56" i="9"/>
  <c r="P56" i="9"/>
  <c r="AB49" i="9"/>
  <c r="AD51" i="9"/>
  <c r="AB53" i="9"/>
  <c r="AD55" i="9"/>
  <c r="AB57" i="9"/>
  <c r="AB50" i="9"/>
  <c r="AB60" i="9" s="1"/>
  <c r="AB54" i="9"/>
  <c r="AB58" i="9"/>
  <c r="V60" i="9"/>
  <c r="AE60" i="9"/>
  <c r="O53" i="9"/>
  <c r="Z48" i="9"/>
  <c r="AD48" i="9"/>
  <c r="Z52" i="9"/>
  <c r="AD52" i="9"/>
  <c r="Z56" i="9"/>
  <c r="AD56" i="9"/>
  <c r="U60" i="9"/>
  <c r="AD53" i="9"/>
  <c r="AD57" i="9"/>
  <c r="Z54" i="9"/>
  <c r="Z58" i="9"/>
  <c r="Z57" i="9"/>
  <c r="AA50" i="9"/>
  <c r="AA54" i="9"/>
  <c r="AA58" i="9"/>
  <c r="AA49" i="9"/>
  <c r="AA53" i="9"/>
  <c r="AA57" i="9"/>
  <c r="AA48" i="9"/>
  <c r="AA52" i="9"/>
  <c r="AA56" i="9"/>
  <c r="Z40" i="9"/>
  <c r="Q19" i="9"/>
  <c r="W32" i="9"/>
  <c r="R48" i="9"/>
  <c r="R52" i="9"/>
  <c r="R56" i="9"/>
  <c r="Q52" i="9"/>
  <c r="P48" i="9"/>
  <c r="P52" i="9"/>
  <c r="R49" i="9"/>
  <c r="Q50" i="9"/>
  <c r="R53" i="9"/>
  <c r="Q54" i="9"/>
  <c r="R57" i="9"/>
  <c r="Q58" i="9"/>
  <c r="Q48" i="9"/>
  <c r="Q56" i="9"/>
  <c r="P50" i="9"/>
  <c r="P54" i="9"/>
  <c r="P58" i="9"/>
  <c r="W7" i="9"/>
  <c r="W8" i="9"/>
  <c r="R50" i="9"/>
  <c r="W11" i="9"/>
  <c r="W12" i="9"/>
  <c r="R54" i="9"/>
  <c r="W15" i="9"/>
  <c r="W16" i="9"/>
  <c r="R58" i="9"/>
  <c r="W29" i="9"/>
  <c r="Z19" i="9"/>
  <c r="AG19" i="9"/>
  <c r="AB40" i="9"/>
  <c r="AA40" i="9"/>
  <c r="O49" i="9"/>
  <c r="O57" i="9"/>
  <c r="Q49" i="9"/>
  <c r="Q53" i="9"/>
  <c r="W36" i="9"/>
  <c r="Q57" i="9"/>
  <c r="AD40" i="9"/>
  <c r="W9" i="9"/>
  <c r="W10" i="9"/>
  <c r="W13" i="9"/>
  <c r="W14" i="9"/>
  <c r="W17" i="9"/>
  <c r="O40" i="9"/>
  <c r="W33" i="9"/>
  <c r="W37" i="9"/>
  <c r="AD19" i="9"/>
  <c r="J19" i="9"/>
  <c r="B40" i="9"/>
  <c r="D29" i="9"/>
  <c r="D31" i="9"/>
  <c r="D33" i="9"/>
  <c r="D35" i="9"/>
  <c r="D37" i="9"/>
  <c r="P53" i="9"/>
  <c r="P51" i="9"/>
  <c r="P55" i="9"/>
  <c r="D19" i="9"/>
  <c r="Y6" i="9"/>
  <c r="Y47" i="9" s="1"/>
  <c r="W28" i="9"/>
  <c r="W34" i="9"/>
  <c r="N40" i="9"/>
  <c r="C19" i="9"/>
  <c r="D28" i="9"/>
  <c r="D30" i="9"/>
  <c r="D32" i="9"/>
  <c r="D34" i="9"/>
  <c r="D36" i="9"/>
  <c r="P49" i="9"/>
  <c r="P57" i="9"/>
  <c r="Y19" i="9"/>
  <c r="Y60" i="9" s="1"/>
  <c r="W30" i="9"/>
  <c r="W38" i="9"/>
  <c r="AG49" i="9"/>
  <c r="AG60" i="9" s="1"/>
  <c r="Q40" i="9"/>
  <c r="P47" i="9"/>
  <c r="M6" i="9"/>
  <c r="M47" i="9" s="1"/>
  <c r="O47" i="9"/>
  <c r="R40" i="9"/>
  <c r="W31" i="9"/>
  <c r="W35" i="9"/>
  <c r="B19" i="9"/>
  <c r="F19" i="9"/>
  <c r="P40" i="9"/>
  <c r="AD50" i="9"/>
  <c r="AH40" i="9"/>
  <c r="Z50" i="9"/>
  <c r="Z53" i="9"/>
  <c r="AA19" i="9"/>
  <c r="Z49" i="9"/>
  <c r="AD49" i="9"/>
  <c r="T60" i="9"/>
  <c r="O48" i="9"/>
  <c r="O50" i="9"/>
  <c r="O52" i="9"/>
  <c r="O54" i="9"/>
  <c r="O56" i="9"/>
  <c r="O58" i="9"/>
  <c r="O51" i="9"/>
  <c r="N19" i="9"/>
  <c r="R19" i="9"/>
  <c r="S60" i="9"/>
  <c r="P19" i="9"/>
  <c r="T19" i="9"/>
  <c r="AC19" i="9"/>
  <c r="Y39" i="9"/>
  <c r="N47" i="9"/>
  <c r="R47" i="9"/>
  <c r="AA47" i="9"/>
  <c r="N49" i="9"/>
  <c r="N51" i="9"/>
  <c r="N53" i="9"/>
  <c r="N55" i="9"/>
  <c r="N57" i="9"/>
  <c r="W6" i="9"/>
  <c r="O19" i="9"/>
  <c r="S19" i="9"/>
  <c r="AB19" i="9"/>
  <c r="W27" i="9"/>
  <c r="Q47" i="9"/>
  <c r="Z47" i="9"/>
  <c r="AD47" i="9"/>
  <c r="AH47" i="9"/>
  <c r="AH60" i="9" s="1"/>
  <c r="N48" i="9"/>
  <c r="N50" i="9"/>
  <c r="N52" i="9"/>
  <c r="N54" i="9"/>
  <c r="N56" i="9"/>
  <c r="N58" i="9"/>
  <c r="M40" i="9"/>
  <c r="G19" i="9"/>
  <c r="D27" i="9"/>
  <c r="I19" i="9"/>
  <c r="C38" i="7"/>
  <c r="C38" i="9" s="1"/>
  <c r="I61" i="10" s="1"/>
  <c r="AF38" i="6"/>
  <c r="AE38" i="6"/>
  <c r="Z38" i="6"/>
  <c r="Y38" i="6"/>
  <c r="P44" i="6"/>
  <c r="J44" i="6"/>
  <c r="Y14" i="7"/>
  <c r="Y13" i="7"/>
  <c r="Y12" i="7"/>
  <c r="Y11" i="7"/>
  <c r="Y10" i="7"/>
  <c r="Y9" i="7"/>
  <c r="Y8" i="7"/>
  <c r="Y7" i="7"/>
  <c r="Y6" i="7"/>
  <c r="AA60" i="9" l="1"/>
  <c r="C40" i="9"/>
  <c r="H10" i="9"/>
  <c r="AF10" i="9"/>
  <c r="AF14" i="9"/>
  <c r="H14" i="9"/>
  <c r="H13" i="9"/>
  <c r="AF13" i="9"/>
  <c r="AF8" i="9"/>
  <c r="H8" i="9"/>
  <c r="AF12" i="9"/>
  <c r="H12" i="9"/>
  <c r="AF7" i="9"/>
  <c r="H7" i="9"/>
  <c r="H11" i="9"/>
  <c r="AF11" i="9"/>
  <c r="D38" i="9"/>
  <c r="D40" i="9" s="1"/>
  <c r="H6" i="9"/>
  <c r="AF6" i="9"/>
  <c r="H9" i="9"/>
  <c r="AF9" i="9"/>
  <c r="I63" i="10"/>
  <c r="I69" i="10"/>
  <c r="Q60" i="9"/>
  <c r="W53" i="9"/>
  <c r="D59" i="10" s="1"/>
  <c r="R60" i="9"/>
  <c r="W19" i="9"/>
  <c r="W56" i="9"/>
  <c r="G59" i="10" s="1"/>
  <c r="W48" i="9"/>
  <c r="E25" i="10" s="1"/>
  <c r="W40" i="9"/>
  <c r="W57" i="9"/>
  <c r="H59" i="10" s="1"/>
  <c r="W49" i="9"/>
  <c r="F25" i="10" s="1"/>
  <c r="W55" i="9"/>
  <c r="F59" i="10" s="1"/>
  <c r="W51" i="9"/>
  <c r="H25" i="10" s="1"/>
  <c r="O60" i="9"/>
  <c r="M27" i="9"/>
  <c r="Y40" i="9"/>
  <c r="Y27" i="9"/>
  <c r="P60" i="9"/>
  <c r="AD60" i="9"/>
  <c r="W58" i="9"/>
  <c r="I59" i="10" s="1"/>
  <c r="W50" i="9"/>
  <c r="G25" i="10" s="1"/>
  <c r="W52" i="9"/>
  <c r="I25" i="10" s="1"/>
  <c r="W54" i="9"/>
  <c r="E59" i="10" s="1"/>
  <c r="Z60" i="9"/>
  <c r="W47" i="9"/>
  <c r="D25" i="10" s="1"/>
  <c r="N60" i="9"/>
  <c r="AF32" i="6"/>
  <c r="AE32" i="6"/>
  <c r="Z32" i="6"/>
  <c r="Y32" i="6"/>
  <c r="W32" i="6"/>
  <c r="V32" i="6"/>
  <c r="AF31" i="6"/>
  <c r="AE31" i="6"/>
  <c r="W31" i="6"/>
  <c r="V31" i="6"/>
  <c r="AC37" i="6"/>
  <c r="AE23" i="6"/>
  <c r="AB23" i="6"/>
  <c r="AC23" i="6" s="1"/>
  <c r="Y23" i="6"/>
  <c r="W37" i="6"/>
  <c r="V37" i="6"/>
  <c r="V18" i="6"/>
  <c r="V17" i="6"/>
  <c r="V16" i="6"/>
  <c r="V11" i="6"/>
  <c r="V10" i="6"/>
  <c r="V6" i="6"/>
  <c r="V5" i="6"/>
  <c r="AI19" i="7"/>
  <c r="P19" i="7"/>
  <c r="G10" i="6"/>
  <c r="B61" i="7"/>
  <c r="S50" i="6" s="1"/>
  <c r="C61" i="7"/>
  <c r="I29" i="10" l="1"/>
  <c r="I35" i="10"/>
  <c r="H63" i="10"/>
  <c r="H69" i="10"/>
  <c r="V7" i="6"/>
  <c r="S23" i="6"/>
  <c r="T23" i="6" s="1"/>
  <c r="Z23" i="6"/>
  <c r="Y50" i="6"/>
  <c r="D29" i="10"/>
  <c r="D35" i="10"/>
  <c r="G29" i="10"/>
  <c r="G35" i="10"/>
  <c r="H35" i="10"/>
  <c r="H29" i="10"/>
  <c r="F63" i="10"/>
  <c r="F69" i="10"/>
  <c r="E29" i="10"/>
  <c r="E35" i="10"/>
  <c r="D63" i="10"/>
  <c r="D69" i="10"/>
  <c r="K69" i="10" s="1"/>
  <c r="V23" i="6"/>
  <c r="W23" i="6" s="1"/>
  <c r="AF23" i="6"/>
  <c r="E63" i="10"/>
  <c r="E69" i="10"/>
  <c r="F29" i="10"/>
  <c r="F35" i="10"/>
  <c r="G63" i="10"/>
  <c r="G69" i="10"/>
  <c r="M50" i="6"/>
  <c r="AF50" i="9"/>
  <c r="AI9" i="9"/>
  <c r="AF51" i="9"/>
  <c r="AI10" i="9"/>
  <c r="AF49" i="9"/>
  <c r="AI8" i="9"/>
  <c r="AF55" i="9"/>
  <c r="AI14" i="9"/>
  <c r="AF53" i="9"/>
  <c r="AI12" i="9"/>
  <c r="G50" i="6"/>
  <c r="AE50" i="6"/>
  <c r="P50" i="6"/>
  <c r="AB50" i="6"/>
  <c r="AF54" i="9"/>
  <c r="AI13" i="9"/>
  <c r="AF52" i="9"/>
  <c r="AI11" i="9"/>
  <c r="AF47" i="9"/>
  <c r="AI6" i="9"/>
  <c r="AF48" i="9"/>
  <c r="AI7" i="9"/>
  <c r="J50" i="6"/>
  <c r="V50" i="6"/>
  <c r="W60" i="9"/>
  <c r="W64" i="9" s="1"/>
  <c r="V19" i="6"/>
  <c r="K35" i="10" l="1"/>
  <c r="L69" i="10" s="1"/>
  <c r="AM17" i="7"/>
  <c r="Y17" i="7" s="1"/>
  <c r="AC38" i="9" l="1"/>
  <c r="E17" i="9"/>
  <c r="H17" i="9"/>
  <c r="AF17" i="9"/>
  <c r="S18" i="6"/>
  <c r="S17" i="6"/>
  <c r="S16" i="6"/>
  <c r="S11" i="6"/>
  <c r="S10" i="6"/>
  <c r="S6" i="6"/>
  <c r="S5" i="6"/>
  <c r="AM15" i="7"/>
  <c r="Y15" i="7" s="1"/>
  <c r="AM16" i="7"/>
  <c r="Y16" i="7" s="1"/>
  <c r="AJ18" i="7"/>
  <c r="AJ17" i="7"/>
  <c r="AP39" i="7" s="1"/>
  <c r="AJ14" i="7"/>
  <c r="AP36" i="7" s="1"/>
  <c r="AJ8" i="7"/>
  <c r="AP30" i="7" s="1"/>
  <c r="K17" i="9" l="1"/>
  <c r="AJ11" i="7"/>
  <c r="AP33" i="7" s="1"/>
  <c r="AJ15" i="7"/>
  <c r="AP37" i="7" s="1"/>
  <c r="AJ10" i="7"/>
  <c r="AP32" i="7" s="1"/>
  <c r="E14" i="9"/>
  <c r="K14" i="9" s="1"/>
  <c r="AC35" i="9"/>
  <c r="AJ12" i="7"/>
  <c r="AP34" i="7" s="1"/>
  <c r="AC33" i="9"/>
  <c r="E12" i="9"/>
  <c r="K12" i="9" s="1"/>
  <c r="E8" i="9"/>
  <c r="K8" i="9" s="1"/>
  <c r="AC29" i="9"/>
  <c r="E15" i="9"/>
  <c r="AC36" i="9"/>
  <c r="AF15" i="9"/>
  <c r="H15" i="9"/>
  <c r="Y19" i="7"/>
  <c r="E10" i="9"/>
  <c r="K10" i="9" s="1"/>
  <c r="AC31" i="9"/>
  <c r="AJ6" i="7"/>
  <c r="AP28" i="7" s="1"/>
  <c r="E6" i="9"/>
  <c r="AC27" i="9"/>
  <c r="AI38" i="9"/>
  <c r="AC58" i="9"/>
  <c r="AF16" i="9"/>
  <c r="H16" i="9"/>
  <c r="E11" i="9"/>
  <c r="K11" i="9" s="1"/>
  <c r="AC32" i="9"/>
  <c r="E7" i="9"/>
  <c r="K7" i="9" s="1"/>
  <c r="AC28" i="9"/>
  <c r="AJ13" i="7"/>
  <c r="AP35" i="7" s="1"/>
  <c r="AC34" i="9"/>
  <c r="E13" i="9"/>
  <c r="K13" i="9" s="1"/>
  <c r="AJ9" i="7"/>
  <c r="AP31" i="7" s="1"/>
  <c r="AC30" i="9"/>
  <c r="E9" i="9"/>
  <c r="K9" i="9" s="1"/>
  <c r="AF58" i="9"/>
  <c r="AI17" i="9"/>
  <c r="AJ7" i="7"/>
  <c r="AP29" i="7" s="1"/>
  <c r="AC6" i="7"/>
  <c r="AU6" i="7" s="1"/>
  <c r="AL28" i="7" s="1"/>
  <c r="S6" i="7"/>
  <c r="J6" i="7"/>
  <c r="Y10" i="6"/>
  <c r="AF37" i="6"/>
  <c r="AE37" i="6"/>
  <c r="AE18" i="6"/>
  <c r="AB18" i="6"/>
  <c r="Y18" i="6"/>
  <c r="AE17" i="6"/>
  <c r="AB17" i="6"/>
  <c r="Y17" i="6"/>
  <c r="AE16" i="6"/>
  <c r="AB16" i="6"/>
  <c r="Y16" i="6"/>
  <c r="AE11" i="6"/>
  <c r="AB11" i="6"/>
  <c r="Y11" i="6"/>
  <c r="AE10" i="6"/>
  <c r="AB10" i="6"/>
  <c r="AE6" i="6"/>
  <c r="AB6" i="6"/>
  <c r="Y6" i="6"/>
  <c r="AE5" i="6"/>
  <c r="AB5" i="6"/>
  <c r="Y5" i="6"/>
  <c r="AI58" i="9" l="1"/>
  <c r="H19" i="9"/>
  <c r="AI30" i="9"/>
  <c r="AC50" i="9"/>
  <c r="AI50" i="9" s="1"/>
  <c r="AI31" i="9"/>
  <c r="AC51" i="9"/>
  <c r="AI51" i="9" s="1"/>
  <c r="AF56" i="9"/>
  <c r="AI15" i="9"/>
  <c r="AF19" i="9"/>
  <c r="AC55" i="9"/>
  <c r="AI55" i="9" s="1"/>
  <c r="AI35" i="9"/>
  <c r="AJ16" i="7"/>
  <c r="AP38" i="7" s="1"/>
  <c r="AP40" i="7" s="1"/>
  <c r="AC37" i="9"/>
  <c r="AC40" i="9" s="1"/>
  <c r="E16" i="9"/>
  <c r="K16" i="9" s="1"/>
  <c r="AC54" i="9"/>
  <c r="AI54" i="9" s="1"/>
  <c r="AI34" i="9"/>
  <c r="AI29" i="9"/>
  <c r="AC49" i="9"/>
  <c r="AI49" i="9" s="1"/>
  <c r="K6" i="9"/>
  <c r="AC48" i="9"/>
  <c r="AI48" i="9" s="1"/>
  <c r="AI28" i="9"/>
  <c r="AC47" i="9"/>
  <c r="AI27" i="9"/>
  <c r="AI36" i="9"/>
  <c r="AC56" i="9"/>
  <c r="AC52" i="9"/>
  <c r="AI52" i="9" s="1"/>
  <c r="AI32" i="9"/>
  <c r="AF57" i="9"/>
  <c r="AI16" i="9"/>
  <c r="M31" i="6"/>
  <c r="AI33" i="9"/>
  <c r="AC53" i="9"/>
  <c r="AI53" i="9" s="1"/>
  <c r="K15" i="9"/>
  <c r="W19" i="7"/>
  <c r="M7" i="6"/>
  <c r="AB7" i="6" s="1"/>
  <c r="T19" i="7"/>
  <c r="U19" i="7"/>
  <c r="AN6" i="7"/>
  <c r="AO6" i="7" s="1"/>
  <c r="AN7" i="7"/>
  <c r="AO7" i="7" s="1"/>
  <c r="AN8" i="7"/>
  <c r="AN9" i="7"/>
  <c r="AN10" i="7"/>
  <c r="AO10" i="7" s="1"/>
  <c r="AN11" i="7"/>
  <c r="AO11" i="7" s="1"/>
  <c r="AN12" i="7"/>
  <c r="AO12" i="7" s="1"/>
  <c r="AN13" i="7"/>
  <c r="AN14" i="7"/>
  <c r="AO14" i="7" s="1"/>
  <c r="AN15" i="7"/>
  <c r="AO15" i="7" s="1"/>
  <c r="AN16" i="7"/>
  <c r="AO16" i="7" s="1"/>
  <c r="AN17" i="7"/>
  <c r="D27" i="7"/>
  <c r="D28" i="7"/>
  <c r="D29" i="7"/>
  <c r="D30" i="7"/>
  <c r="D31" i="7"/>
  <c r="D32" i="7"/>
  <c r="D33" i="7"/>
  <c r="D34" i="7"/>
  <c r="D35" i="7"/>
  <c r="D36" i="7"/>
  <c r="D37" i="7"/>
  <c r="D38" i="7"/>
  <c r="D19" i="7"/>
  <c r="L29" i="7" s="1"/>
  <c r="E19" i="7"/>
  <c r="F19" i="7"/>
  <c r="B19" i="7"/>
  <c r="C19" i="7"/>
  <c r="M19" i="7"/>
  <c r="M29" i="7" s="1"/>
  <c r="N19" i="7"/>
  <c r="O19" i="7"/>
  <c r="K19" i="7"/>
  <c r="L19" i="7"/>
  <c r="AF19" i="7"/>
  <c r="AG19" i="7"/>
  <c r="AH19" i="7"/>
  <c r="P7" i="6"/>
  <c r="AE7" i="6" s="1"/>
  <c r="AD19" i="7"/>
  <c r="AE19" i="7"/>
  <c r="Q44" i="6"/>
  <c r="S7" i="6"/>
  <c r="G7" i="6"/>
  <c r="G19" i="6"/>
  <c r="J7" i="6"/>
  <c r="J19" i="6"/>
  <c r="M19" i="6"/>
  <c r="AB19" i="6" s="1"/>
  <c r="P19" i="6"/>
  <c r="AE19" i="6" s="1"/>
  <c r="AO9" i="7"/>
  <c r="AO8" i="7"/>
  <c r="H9" i="7"/>
  <c r="AM31" i="7" s="1"/>
  <c r="Q9" i="7"/>
  <c r="AA9" i="7"/>
  <c r="AO31" i="7" s="1"/>
  <c r="AC7" i="7"/>
  <c r="S7" i="7"/>
  <c r="S8" i="7" s="1"/>
  <c r="S9" i="7" s="1"/>
  <c r="S10" i="7" s="1"/>
  <c r="S11" i="7" s="1"/>
  <c r="S12" i="7" s="1"/>
  <c r="S13" i="7" s="1"/>
  <c r="S14" i="7" s="1"/>
  <c r="S15" i="7" s="1"/>
  <c r="S16" i="7" s="1"/>
  <c r="S17" i="7" s="1"/>
  <c r="J7" i="7"/>
  <c r="J8" i="7" s="1"/>
  <c r="J9" i="7" s="1"/>
  <c r="J10" i="7" s="1"/>
  <c r="J11" i="7" s="1"/>
  <c r="J12" i="7" s="1"/>
  <c r="J13" i="7" s="1"/>
  <c r="J14" i="7" s="1"/>
  <c r="J15" i="7" s="1"/>
  <c r="J16" i="7" s="1"/>
  <c r="J17" i="7" s="1"/>
  <c r="H8" i="7"/>
  <c r="AM30" i="7" s="1"/>
  <c r="Q8" i="7"/>
  <c r="AA8" i="7"/>
  <c r="AO30" i="7" s="1"/>
  <c r="H7" i="7"/>
  <c r="AM29" i="7" s="1"/>
  <c r="Q7" i="7"/>
  <c r="AA7" i="7"/>
  <c r="AO29" i="7" s="1"/>
  <c r="H6" i="7"/>
  <c r="AM28" i="7" s="1"/>
  <c r="Q6" i="7"/>
  <c r="AA6" i="7"/>
  <c r="AO28" i="7" s="1"/>
  <c r="A7" i="7"/>
  <c r="H10" i="7"/>
  <c r="AM32" i="7" s="1"/>
  <c r="Q10" i="7"/>
  <c r="AA10" i="7"/>
  <c r="AO32" i="7" s="1"/>
  <c r="H11" i="7"/>
  <c r="AM33" i="7" s="1"/>
  <c r="Q11" i="7"/>
  <c r="AA11" i="7"/>
  <c r="AO33" i="7" s="1"/>
  <c r="H12" i="7"/>
  <c r="AM34" i="7" s="1"/>
  <c r="Q12" i="7"/>
  <c r="AA12" i="7"/>
  <c r="AO34" i="7" s="1"/>
  <c r="H13" i="7"/>
  <c r="AM35" i="7" s="1"/>
  <c r="Q13" i="7"/>
  <c r="AA13" i="7"/>
  <c r="AO35" i="7" s="1"/>
  <c r="AO13" i="7"/>
  <c r="H14" i="7"/>
  <c r="AM36" i="7" s="1"/>
  <c r="Q14" i="7"/>
  <c r="AA14" i="7"/>
  <c r="AO36" i="7" s="1"/>
  <c r="H15" i="7"/>
  <c r="AM37" i="7" s="1"/>
  <c r="Q15" i="7"/>
  <c r="AA15" i="7"/>
  <c r="AO37" i="7" s="1"/>
  <c r="H16" i="7"/>
  <c r="AM38" i="7" s="1"/>
  <c r="Q16" i="7"/>
  <c r="AA16" i="7"/>
  <c r="AO38" i="7" s="1"/>
  <c r="H17" i="7"/>
  <c r="AM39" i="7" s="1"/>
  <c r="Q17" i="7"/>
  <c r="AN39" i="7" s="1"/>
  <c r="AO17" i="7"/>
  <c r="AM19" i="7"/>
  <c r="A27" i="7"/>
  <c r="A48" i="7" s="1"/>
  <c r="A48" i="9" s="1"/>
  <c r="B40" i="7"/>
  <c r="M38" i="6" s="1"/>
  <c r="C40" i="7"/>
  <c r="G37" i="6" s="1"/>
  <c r="G44" i="6" s="1"/>
  <c r="D48" i="7"/>
  <c r="D48" i="9" s="1"/>
  <c r="D31" i="10" s="1"/>
  <c r="D33" i="10" s="1"/>
  <c r="D49" i="7"/>
  <c r="D49" i="9" s="1"/>
  <c r="E31" i="10" s="1"/>
  <c r="E33" i="10" s="1"/>
  <c r="D50" i="7"/>
  <c r="D50" i="9" s="1"/>
  <c r="F31" i="10" s="1"/>
  <c r="F33" i="10" s="1"/>
  <c r="D51" i="7"/>
  <c r="D51" i="9" s="1"/>
  <c r="G31" i="10" s="1"/>
  <c r="G33" i="10" s="1"/>
  <c r="D52" i="7"/>
  <c r="D52" i="9" s="1"/>
  <c r="H31" i="10" s="1"/>
  <c r="H33" i="10" s="1"/>
  <c r="D53" i="7"/>
  <c r="D53" i="9" s="1"/>
  <c r="I31" i="10" s="1"/>
  <c r="I33" i="10" s="1"/>
  <c r="D54" i="7"/>
  <c r="D54" i="9" s="1"/>
  <c r="D65" i="10" s="1"/>
  <c r="D67" i="10" s="1"/>
  <c r="D55" i="7"/>
  <c r="D55" i="9" s="1"/>
  <c r="E65" i="10" s="1"/>
  <c r="E67" i="10" s="1"/>
  <c r="D56" i="7"/>
  <c r="D56" i="9" s="1"/>
  <c r="F65" i="10" s="1"/>
  <c r="F67" i="10" s="1"/>
  <c r="D57" i="7"/>
  <c r="D57" i="9" s="1"/>
  <c r="G65" i="10" s="1"/>
  <c r="G67" i="10" s="1"/>
  <c r="D58" i="7"/>
  <c r="D58" i="9" s="1"/>
  <c r="H65" i="10" s="1"/>
  <c r="H67" i="10" s="1"/>
  <c r="D59" i="7"/>
  <c r="D59" i="9" s="1"/>
  <c r="I65" i="10" s="1"/>
  <c r="I67" i="10" s="1"/>
  <c r="AA17" i="7"/>
  <c r="AO39" i="7" s="1"/>
  <c r="V19" i="7"/>
  <c r="N29" i="7" s="1"/>
  <c r="Z19" i="7"/>
  <c r="AA18" i="7"/>
  <c r="X19" i="7"/>
  <c r="O29" i="7" l="1"/>
  <c r="O35" i="7" s="1"/>
  <c r="AI56" i="9"/>
  <c r="AQ37" i="7"/>
  <c r="AS37" i="7" s="1"/>
  <c r="AM40" i="7"/>
  <c r="AQ39" i="7"/>
  <c r="AS39" i="7" s="1"/>
  <c r="AO40" i="7"/>
  <c r="E19" i="9"/>
  <c r="AI19" i="9"/>
  <c r="AR9" i="7"/>
  <c r="AC57" i="9"/>
  <c r="AI57" i="9" s="1"/>
  <c r="AI37" i="9"/>
  <c r="AI40" i="9" s="1"/>
  <c r="AS10" i="7"/>
  <c r="AN32" i="7"/>
  <c r="AQ32" i="7" s="1"/>
  <c r="AS32" i="7" s="1"/>
  <c r="AS6" i="7"/>
  <c r="AN28" i="7"/>
  <c r="AQ28" i="7" s="1"/>
  <c r="AR7" i="7"/>
  <c r="AR17" i="7"/>
  <c r="AR16" i="7"/>
  <c r="AR15" i="7"/>
  <c r="AS7" i="7"/>
  <c r="AN29" i="7"/>
  <c r="AQ29" i="7" s="1"/>
  <c r="AS29" i="7" s="1"/>
  <c r="AR8" i="7"/>
  <c r="AI47" i="9"/>
  <c r="K33" i="10"/>
  <c r="AN19" i="7"/>
  <c r="G19" i="7" s="1"/>
  <c r="G31" i="6" s="1"/>
  <c r="Y31" i="6" s="1"/>
  <c r="K19" i="9"/>
  <c r="AF60" i="9"/>
  <c r="A28" i="7"/>
  <c r="A49" i="7" s="1"/>
  <c r="A49" i="9" s="1"/>
  <c r="A7" i="9"/>
  <c r="AS8" i="7"/>
  <c r="AN30" i="7"/>
  <c r="AQ30" i="7" s="1"/>
  <c r="AS30" i="7" s="1"/>
  <c r="AC8" i="7"/>
  <c r="AU7" i="7"/>
  <c r="AL29" i="7" s="1"/>
  <c r="J27" i="9"/>
  <c r="AB31" i="6"/>
  <c r="AS14" i="7"/>
  <c r="AN36" i="7"/>
  <c r="AQ36" i="7" s="1"/>
  <c r="AS36" i="7" s="1"/>
  <c r="AS13" i="7"/>
  <c r="AN35" i="7"/>
  <c r="AQ35" i="7" s="1"/>
  <c r="AS35" i="7" s="1"/>
  <c r="AS12" i="7"/>
  <c r="AN34" i="7"/>
  <c r="AQ34" i="7" s="1"/>
  <c r="AS34" i="7" s="1"/>
  <c r="AS11" i="7"/>
  <c r="AN33" i="7"/>
  <c r="AQ33" i="7" s="1"/>
  <c r="AS33" i="7" s="1"/>
  <c r="AR10" i="7"/>
  <c r="AR6" i="7"/>
  <c r="K67" i="10"/>
  <c r="AS17" i="7"/>
  <c r="AS16" i="7"/>
  <c r="AN38" i="7"/>
  <c r="AQ38" i="7" s="1"/>
  <c r="AS38" i="7" s="1"/>
  <c r="AS15" i="7"/>
  <c r="AN37" i="7"/>
  <c r="AR14" i="7"/>
  <c r="AR13" i="7"/>
  <c r="AR12" i="7"/>
  <c r="AR11" i="7"/>
  <c r="AS9" i="7"/>
  <c r="AN31" i="7"/>
  <c r="AQ31" i="7" s="1"/>
  <c r="AS31" i="7" s="1"/>
  <c r="AB38" i="6"/>
  <c r="S38" i="6"/>
  <c r="M44" i="6"/>
  <c r="S44" i="6" s="1"/>
  <c r="S31" i="6"/>
  <c r="M32" i="6"/>
  <c r="I27" i="9"/>
  <c r="Y7" i="6"/>
  <c r="V44" i="6"/>
  <c r="AE44" i="6"/>
  <c r="W44" i="6"/>
  <c r="AF44" i="6"/>
  <c r="Y19" i="6"/>
  <c r="H18" i="7"/>
  <c r="P29" i="6"/>
  <c r="A8" i="7"/>
  <c r="A9" i="7" s="1"/>
  <c r="A9" i="9" s="1"/>
  <c r="M28" i="6"/>
  <c r="AB33" i="6"/>
  <c r="P28" i="6"/>
  <c r="J29" i="6"/>
  <c r="M29" i="6"/>
  <c r="P33" i="6"/>
  <c r="J28" i="6"/>
  <c r="G29" i="6"/>
  <c r="G28" i="6"/>
  <c r="AJ19" i="7"/>
  <c r="G30" i="6"/>
  <c r="D40" i="7"/>
  <c r="AO19" i="7"/>
  <c r="J30" i="6"/>
  <c r="P30" i="6"/>
  <c r="V30" i="6" s="1"/>
  <c r="M30" i="6"/>
  <c r="AA19" i="7"/>
  <c r="S19" i="6"/>
  <c r="K44" i="6"/>
  <c r="L67" i="10" l="1"/>
  <c r="AC60" i="9"/>
  <c r="AS28" i="7"/>
  <c r="AS40" i="7" s="1"/>
  <c r="AQ40" i="7"/>
  <c r="AN40" i="7"/>
  <c r="AR19" i="7"/>
  <c r="AC9" i="7"/>
  <c r="AU8" i="7"/>
  <c r="AL30" i="7" s="1"/>
  <c r="A28" i="9"/>
  <c r="M7" i="9"/>
  <c r="Y7" i="9"/>
  <c r="H19" i="7"/>
  <c r="AI60" i="9"/>
  <c r="M9" i="9"/>
  <c r="Y9" i="9"/>
  <c r="A30" i="9"/>
  <c r="A29" i="7"/>
  <c r="A50" i="7" s="1"/>
  <c r="A50" i="9" s="1"/>
  <c r="A8" i="9"/>
  <c r="AS19" i="7"/>
  <c r="M35" i="7"/>
  <c r="H27" i="9"/>
  <c r="L35" i="7"/>
  <c r="G27" i="9"/>
  <c r="AB32" i="6"/>
  <c r="S32" i="6"/>
  <c r="S29" i="6"/>
  <c r="AE33" i="6"/>
  <c r="V33" i="6"/>
  <c r="AE28" i="6"/>
  <c r="V28" i="6"/>
  <c r="AE29" i="6"/>
  <c r="V29" i="6"/>
  <c r="Y28" i="6"/>
  <c r="AB30" i="6"/>
  <c r="AB29" i="6"/>
  <c r="AB28" i="6"/>
  <c r="P35" i="6"/>
  <c r="S28" i="6"/>
  <c r="G35" i="6"/>
  <c r="S30" i="6"/>
  <c r="Y29" i="6"/>
  <c r="Y30" i="6"/>
  <c r="AB37" i="6"/>
  <c r="AE30" i="6"/>
  <c r="M35" i="6"/>
  <c r="AB35" i="6" s="1"/>
  <c r="Q18" i="7"/>
  <c r="A10" i="7"/>
  <c r="A10" i="9" s="1"/>
  <c r="A30" i="7"/>
  <c r="A51" i="7" s="1"/>
  <c r="A51" i="9" s="1"/>
  <c r="N35" i="7"/>
  <c r="P29" i="7"/>
  <c r="V42" i="7" l="1"/>
  <c r="V43" i="7" s="1"/>
  <c r="P35" i="7"/>
  <c r="AI67" i="9"/>
  <c r="AI68" i="9" s="1"/>
  <c r="AI64" i="9"/>
  <c r="Y8" i="9"/>
  <c r="M8" i="9"/>
  <c r="A29" i="9"/>
  <c r="M50" i="9"/>
  <c r="M30" i="9"/>
  <c r="Y28" i="9"/>
  <c r="Y48" i="9"/>
  <c r="A31" i="9"/>
  <c r="M10" i="9"/>
  <c r="Y10" i="9"/>
  <c r="M12" i="6"/>
  <c r="M13" i="6" s="1"/>
  <c r="AB13" i="6" s="1"/>
  <c r="I33" i="9"/>
  <c r="P12" i="6"/>
  <c r="J33" i="9"/>
  <c r="M48" i="9"/>
  <c r="M28" i="9"/>
  <c r="K27" i="9"/>
  <c r="AC10" i="7"/>
  <c r="AU9" i="7"/>
  <c r="AL31" i="7" s="1"/>
  <c r="Y30" i="9"/>
  <c r="Y50" i="9"/>
  <c r="J12" i="6"/>
  <c r="H33" i="9"/>
  <c r="G12" i="6"/>
  <c r="G33" i="9"/>
  <c r="AE35" i="6"/>
  <c r="V35" i="6"/>
  <c r="K33" i="9"/>
  <c r="P43" i="6"/>
  <c r="G43" i="6"/>
  <c r="AB44" i="6"/>
  <c r="M43" i="6"/>
  <c r="J33" i="6"/>
  <c r="S33" i="6" s="1"/>
  <c r="Q19" i="7"/>
  <c r="A11" i="7"/>
  <c r="A11" i="9" s="1"/>
  <c r="A31" i="7"/>
  <c r="A52" i="7" s="1"/>
  <c r="A52" i="9" s="1"/>
  <c r="AB12" i="6" l="1"/>
  <c r="AC11" i="7"/>
  <c r="AU10" i="7"/>
  <c r="AL32" i="7" s="1"/>
  <c r="Y51" i="9"/>
  <c r="Y31" i="9"/>
  <c r="M49" i="9"/>
  <c r="M29" i="9"/>
  <c r="A32" i="9"/>
  <c r="Y11" i="9"/>
  <c r="M11" i="9"/>
  <c r="V12" i="6"/>
  <c r="V13" i="6" s="1"/>
  <c r="AE12" i="6"/>
  <c r="P13" i="6"/>
  <c r="M51" i="9"/>
  <c r="M31" i="9"/>
  <c r="Y49" i="9"/>
  <c r="Y29" i="9"/>
  <c r="J13" i="6"/>
  <c r="J21" i="6" s="1"/>
  <c r="S12" i="6"/>
  <c r="S13" i="6" s="1"/>
  <c r="G13" i="6"/>
  <c r="Y12" i="6"/>
  <c r="AE43" i="6"/>
  <c r="V43" i="6"/>
  <c r="AB43" i="6"/>
  <c r="S37" i="6"/>
  <c r="Y37" i="6"/>
  <c r="Y33" i="6"/>
  <c r="J35" i="6"/>
  <c r="S35" i="6" s="1"/>
  <c r="A32" i="7"/>
  <c r="A53" i="7" s="1"/>
  <c r="A53" i="9" s="1"/>
  <c r="A12" i="7"/>
  <c r="A12" i="9" s="1"/>
  <c r="M21" i="6"/>
  <c r="Y12" i="9" l="1"/>
  <c r="M12" i="9"/>
  <c r="A33" i="9"/>
  <c r="AE13" i="6"/>
  <c r="P21" i="6"/>
  <c r="M52" i="9"/>
  <c r="M32" i="9"/>
  <c r="AC12" i="7"/>
  <c r="AU11" i="7"/>
  <c r="AL33" i="7" s="1"/>
  <c r="Y32" i="9"/>
  <c r="Y52" i="9"/>
  <c r="J25" i="6"/>
  <c r="G21" i="6"/>
  <c r="Y13" i="6"/>
  <c r="AB21" i="6"/>
  <c r="Y44" i="6"/>
  <c r="J43" i="6"/>
  <c r="S43" i="6" s="1"/>
  <c r="Y35" i="6"/>
  <c r="A33" i="7"/>
  <c r="A54" i="7" s="1"/>
  <c r="A54" i="9" s="1"/>
  <c r="A13" i="7"/>
  <c r="A13" i="9" s="1"/>
  <c r="M25" i="6"/>
  <c r="M53" i="9" l="1"/>
  <c r="M33" i="9"/>
  <c r="Y13" i="9"/>
  <c r="A34" i="9"/>
  <c r="M13" i="9"/>
  <c r="V21" i="6"/>
  <c r="P25" i="6"/>
  <c r="AE21" i="6"/>
  <c r="Y53" i="9"/>
  <c r="Y33" i="9"/>
  <c r="AC13" i="7"/>
  <c r="AU12" i="7"/>
  <c r="AL34" i="7" s="1"/>
  <c r="J42" i="6"/>
  <c r="J46" i="6" s="1"/>
  <c r="Y21" i="6"/>
  <c r="G25" i="6"/>
  <c r="S25" i="6" s="1"/>
  <c r="S21" i="6"/>
  <c r="AB25" i="6"/>
  <c r="Y43" i="6"/>
  <c r="A34" i="7"/>
  <c r="A55" i="7" s="1"/>
  <c r="A55" i="9" s="1"/>
  <c r="A14" i="7"/>
  <c r="A14" i="9" s="1"/>
  <c r="M42" i="6"/>
  <c r="V25" i="6" l="1"/>
  <c r="AE25" i="6"/>
  <c r="P42" i="6"/>
  <c r="Y34" i="9"/>
  <c r="Y54" i="9"/>
  <c r="AC14" i="7"/>
  <c r="AU13" i="7"/>
  <c r="AL35" i="7" s="1"/>
  <c r="M54" i="9"/>
  <c r="M34" i="9"/>
  <c r="A35" i="9"/>
  <c r="Y14" i="9"/>
  <c r="M14" i="9"/>
  <c r="Y25" i="6"/>
  <c r="G42" i="6"/>
  <c r="S42" i="6" s="1"/>
  <c r="J52" i="6"/>
  <c r="A15" i="7"/>
  <c r="A15" i="9" s="1"/>
  <c r="A35" i="7"/>
  <c r="A56" i="7" s="1"/>
  <c r="A56" i="9" s="1"/>
  <c r="AB42" i="6"/>
  <c r="M46" i="6"/>
  <c r="A36" i="9" l="1"/>
  <c r="M15" i="9"/>
  <c r="Y15" i="9"/>
  <c r="Y55" i="9"/>
  <c r="Y35" i="9"/>
  <c r="V42" i="6"/>
  <c r="P46" i="6"/>
  <c r="AE42" i="6"/>
  <c r="M55" i="9"/>
  <c r="M35" i="9"/>
  <c r="AC15" i="7"/>
  <c r="AU14" i="7"/>
  <c r="AL36" i="7" s="1"/>
  <c r="G46" i="6"/>
  <c r="S46" i="6" s="1"/>
  <c r="Y42" i="6"/>
  <c r="AB46" i="6"/>
  <c r="A36" i="7"/>
  <c r="A57" i="7" s="1"/>
  <c r="A57" i="9" s="1"/>
  <c r="A16" i="7"/>
  <c r="A16" i="9" s="1"/>
  <c r="M52" i="6"/>
  <c r="Y16" i="9" l="1"/>
  <c r="M16" i="9"/>
  <c r="A37" i="9"/>
  <c r="M56" i="9"/>
  <c r="M36" i="9"/>
  <c r="AC16" i="7"/>
  <c r="AU15" i="7"/>
  <c r="AL37" i="7" s="1"/>
  <c r="V46" i="6"/>
  <c r="AE46" i="6"/>
  <c r="P52" i="6"/>
  <c r="Y36" i="9"/>
  <c r="Y56" i="9"/>
  <c r="G52" i="6"/>
  <c r="Y46" i="6"/>
  <c r="A17" i="7"/>
  <c r="A58" i="7"/>
  <c r="A58" i="9" s="1"/>
  <c r="AB52" i="6"/>
  <c r="A59" i="7" l="1"/>
  <c r="A59" i="9" s="1"/>
  <c r="A17" i="9"/>
  <c r="AC17" i="7"/>
  <c r="AU17" i="7" s="1"/>
  <c r="AL39" i="7" s="1"/>
  <c r="AU16" i="7"/>
  <c r="AL38" i="7" s="1"/>
  <c r="M57" i="9"/>
  <c r="M37" i="9"/>
  <c r="AE52" i="6"/>
  <c r="V52" i="6"/>
  <c r="Y57" i="9"/>
  <c r="Y37" i="9"/>
  <c r="J58" i="6"/>
  <c r="Y52" i="6"/>
  <c r="S52" i="6"/>
  <c r="M17" i="9" l="1"/>
  <c r="A38" i="9"/>
  <c r="Y17" i="9"/>
  <c r="D61" i="7"/>
  <c r="M58" i="9" l="1"/>
  <c r="M38" i="9"/>
  <c r="D61" i="9"/>
  <c r="M48" i="6"/>
  <c r="M54" i="6" s="1"/>
  <c r="M56" i="6" s="1"/>
  <c r="AB48" i="6"/>
  <c r="AB54" i="6" s="1"/>
  <c r="AB56" i="6" s="1"/>
  <c r="P48" i="6"/>
  <c r="P54" i="6" s="1"/>
  <c r="P56" i="6" s="1"/>
  <c r="V56" i="6" s="1"/>
  <c r="AE48" i="6"/>
  <c r="AE54" i="6" s="1"/>
  <c r="AE56" i="6" s="1"/>
  <c r="S48" i="6"/>
  <c r="S54" i="6" s="1"/>
  <c r="G48" i="6"/>
  <c r="V48" i="6"/>
  <c r="V54" i="6" s="1"/>
  <c r="J48" i="6"/>
  <c r="J54" i="6" s="1"/>
  <c r="J56" i="6" s="1"/>
  <c r="Y48" i="6"/>
  <c r="Y54" i="6" s="1"/>
  <c r="Y56" i="6" s="1"/>
  <c r="Y38" i="9"/>
  <c r="Y58" i="9"/>
  <c r="AI21" i="7" l="1"/>
  <c r="P21" i="7"/>
  <c r="Y21" i="7"/>
  <c r="H11" i="6"/>
  <c r="N38" i="6"/>
  <c r="G21" i="7"/>
  <c r="Q11" i="6"/>
  <c r="AF21" i="7"/>
  <c r="D21" i="7"/>
  <c r="F21" i="7"/>
  <c r="T21" i="7"/>
  <c r="H33" i="6"/>
  <c r="M21" i="7"/>
  <c r="M23" i="7" s="1"/>
  <c r="W21" i="7"/>
  <c r="N31" i="6"/>
  <c r="AC31" i="6" s="1"/>
  <c r="N21" i="7"/>
  <c r="Z21" i="7"/>
  <c r="AD21" i="7"/>
  <c r="U21" i="7"/>
  <c r="C21" i="7"/>
  <c r="K16" i="6"/>
  <c r="Q18" i="6"/>
  <c r="K17" i="6"/>
  <c r="H16" i="6"/>
  <c r="H17" i="6"/>
  <c r="K18" i="6"/>
  <c r="N10" i="6"/>
  <c r="AG21" i="7"/>
  <c r="X21" i="7"/>
  <c r="AH21" i="7"/>
  <c r="N16" i="6"/>
  <c r="K6" i="6"/>
  <c r="N5" i="6"/>
  <c r="N33" i="6"/>
  <c r="AC33" i="6" s="1"/>
  <c r="Q17" i="6"/>
  <c r="H10" i="6"/>
  <c r="N17" i="6"/>
  <c r="AC17" i="6" s="1"/>
  <c r="V21" i="7"/>
  <c r="B21" i="7"/>
  <c r="AE21" i="7"/>
  <c r="L21" i="7"/>
  <c r="K21" i="7"/>
  <c r="N18" i="6"/>
  <c r="AC18" i="6" s="1"/>
  <c r="K11" i="6"/>
  <c r="H18" i="6"/>
  <c r="Q16" i="6"/>
  <c r="H5" i="6"/>
  <c r="Q10" i="6"/>
  <c r="E21" i="7"/>
  <c r="O21" i="7"/>
  <c r="O23" i="7" s="1"/>
  <c r="K10" i="6"/>
  <c r="N11" i="6"/>
  <c r="AC11" i="6" s="1"/>
  <c r="H6" i="6"/>
  <c r="Q5" i="6"/>
  <c r="Q6" i="6"/>
  <c r="N6" i="6"/>
  <c r="AC6" i="6" s="1"/>
  <c r="G54" i="6"/>
  <c r="G56" i="6" s="1"/>
  <c r="S56" i="6" s="1"/>
  <c r="K5" i="6"/>
  <c r="H28" i="6"/>
  <c r="N28" i="6"/>
  <c r="N32" i="6"/>
  <c r="K28" i="6"/>
  <c r="Q30" i="6"/>
  <c r="H31" i="6"/>
  <c r="N30" i="6"/>
  <c r="AC30" i="6" s="1"/>
  <c r="Q33" i="6"/>
  <c r="K29" i="6"/>
  <c r="Q29" i="6"/>
  <c r="H29" i="6"/>
  <c r="H30" i="6"/>
  <c r="K30" i="6"/>
  <c r="N29" i="6"/>
  <c r="AC29" i="6" s="1"/>
  <c r="Q28" i="6"/>
  <c r="H37" i="6"/>
  <c r="N12" i="6"/>
  <c r="AC12" i="6" s="1"/>
  <c r="Q12" i="6"/>
  <c r="H12" i="6"/>
  <c r="K33" i="6"/>
  <c r="K12" i="6"/>
  <c r="K21" i="6"/>
  <c r="N21" i="6"/>
  <c r="AC21" i="6" s="1"/>
  <c r="H21" i="6"/>
  <c r="Q21" i="6"/>
  <c r="N25" i="6"/>
  <c r="K25" i="6"/>
  <c r="K42" i="6" s="1"/>
  <c r="H25" i="6"/>
  <c r="Q25" i="6"/>
  <c r="K46" i="6"/>
  <c r="N46" i="6"/>
  <c r="AC46" i="6" s="1"/>
  <c r="Q46" i="6"/>
  <c r="H46" i="6"/>
  <c r="K23" i="7" l="1"/>
  <c r="K19" i="6"/>
  <c r="P23" i="7"/>
  <c r="N23" i="7"/>
  <c r="Z33" i="6"/>
  <c r="AC25" i="6"/>
  <c r="N42" i="6"/>
  <c r="AC42" i="6" s="1"/>
  <c r="W12" i="6"/>
  <c r="AF12" i="6"/>
  <c r="W29" i="6"/>
  <c r="AF29" i="6"/>
  <c r="Z31" i="6"/>
  <c r="T31" i="6"/>
  <c r="AC28" i="6"/>
  <c r="N35" i="6"/>
  <c r="W10" i="6"/>
  <c r="AF10" i="6"/>
  <c r="Q13" i="6"/>
  <c r="AF13" i="6" s="1"/>
  <c r="Z10" i="6"/>
  <c r="T10" i="6"/>
  <c r="H13" i="6"/>
  <c r="H19" i="6"/>
  <c r="Z19" i="6" s="1"/>
  <c r="T16" i="6"/>
  <c r="Z16" i="6"/>
  <c r="T11" i="6"/>
  <c r="Z11" i="6"/>
  <c r="Z12" i="6"/>
  <c r="T12" i="6"/>
  <c r="W28" i="6"/>
  <c r="AF28" i="6"/>
  <c r="Q35" i="6"/>
  <c r="Z29" i="6"/>
  <c r="T29" i="6"/>
  <c r="AC32" i="6"/>
  <c r="T32" i="6"/>
  <c r="T6" i="6"/>
  <c r="Z6" i="6"/>
  <c r="T18" i="6"/>
  <c r="Z18" i="6"/>
  <c r="AC5" i="6"/>
  <c r="N7" i="6"/>
  <c r="AC7" i="6" s="1"/>
  <c r="Z17" i="6"/>
  <c r="T17" i="6"/>
  <c r="AC38" i="6"/>
  <c r="T38" i="6"/>
  <c r="N44" i="6"/>
  <c r="AC44" i="6" s="1"/>
  <c r="W46" i="6"/>
  <c r="AF46" i="6"/>
  <c r="T25" i="6"/>
  <c r="H42" i="6"/>
  <c r="Z25" i="6"/>
  <c r="Z21" i="6"/>
  <c r="T21" i="6"/>
  <c r="Z37" i="6"/>
  <c r="T37" i="6"/>
  <c r="H44" i="6"/>
  <c r="T30" i="6"/>
  <c r="Z30" i="6"/>
  <c r="W33" i="6"/>
  <c r="AF33" i="6"/>
  <c r="Q7" i="6"/>
  <c r="AF7" i="6" s="1"/>
  <c r="W5" i="6"/>
  <c r="AF5" i="6"/>
  <c r="Q19" i="6"/>
  <c r="AF19" i="6" s="1"/>
  <c r="AF16" i="6"/>
  <c r="W16" i="6"/>
  <c r="W18" i="6"/>
  <c r="AF18" i="6"/>
  <c r="Z46" i="6"/>
  <c r="T46" i="6"/>
  <c r="W25" i="6"/>
  <c r="Q42" i="6"/>
  <c r="AF25" i="6"/>
  <c r="W21" i="6"/>
  <c r="AF21" i="6"/>
  <c r="W30" i="6"/>
  <c r="AF30" i="6"/>
  <c r="T28" i="6"/>
  <c r="Z28" i="6"/>
  <c r="H35" i="6"/>
  <c r="W6" i="6"/>
  <c r="AF6" i="6"/>
  <c r="H7" i="6"/>
  <c r="T5" i="6"/>
  <c r="T7" i="6" s="1"/>
  <c r="Z5" i="6"/>
  <c r="W17" i="6"/>
  <c r="AF17" i="6"/>
  <c r="AC16" i="6"/>
  <c r="N19" i="6"/>
  <c r="AC19" i="6" s="1"/>
  <c r="AC10" i="6"/>
  <c r="N13" i="6"/>
  <c r="AC13" i="6" s="1"/>
  <c r="AF11" i="6"/>
  <c r="W11" i="6"/>
  <c r="L23" i="7"/>
  <c r="T33" i="6"/>
  <c r="K35" i="6"/>
  <c r="K7" i="6"/>
  <c r="K13" i="6"/>
  <c r="Y23" i="7"/>
  <c r="Z13" i="6" l="1"/>
  <c r="Z42" i="6"/>
  <c r="T42" i="6"/>
  <c r="W35" i="6"/>
  <c r="Q43" i="6"/>
  <c r="AF35" i="6"/>
  <c r="AC35" i="6"/>
  <c r="N43" i="6"/>
  <c r="AC43" i="6" s="1"/>
  <c r="T35" i="6"/>
  <c r="K43" i="6"/>
  <c r="H43" i="6"/>
  <c r="Z35" i="6"/>
  <c r="W42" i="6"/>
  <c r="AF42" i="6"/>
  <c r="T44" i="6"/>
  <c r="Z44" i="6"/>
  <c r="W19" i="6"/>
  <c r="W7" i="6"/>
  <c r="Z7" i="6"/>
  <c r="T19" i="6"/>
  <c r="T13" i="6"/>
  <c r="W13" i="6"/>
  <c r="Z43" i="6" l="1"/>
  <c r="T43" i="6"/>
  <c r="AF43" i="6"/>
  <c r="W43" i="6"/>
</calcChain>
</file>

<file path=xl/sharedStrings.xml><?xml version="1.0" encoding="utf-8"?>
<sst xmlns="http://schemas.openxmlformats.org/spreadsheetml/2006/main" count="445" uniqueCount="152">
  <si>
    <t>Environmental Compliance Plans</t>
  </si>
  <si>
    <t>Jurisdictional</t>
  </si>
  <si>
    <t>Basis</t>
  </si>
  <si>
    <t>Environmental Compliance Rate Base</t>
  </si>
  <si>
    <t>Pollution Control Plant in Service</t>
  </si>
  <si>
    <t>Pollution Control CWIP Excluding AFUDC</t>
  </si>
  <si>
    <t>Subtotal</t>
  </si>
  <si>
    <t>Additions:</t>
  </si>
  <si>
    <t>Limestone, net of amount in base rates</t>
  </si>
  <si>
    <t>Emission Allowances, net of amount in base rates</t>
  </si>
  <si>
    <t>Cash Working Capital Allowance</t>
  </si>
  <si>
    <t>Deductions:</t>
  </si>
  <si>
    <t>Accumulated Depreciation on Pollution Control Plant</t>
  </si>
  <si>
    <t>Pollution Control Deferred Income Taxes</t>
  </si>
  <si>
    <t>Pollution Control Deferred Investment Tax Credit</t>
  </si>
  <si>
    <t>Rate of Return -- Environmental Compliance Rate Base</t>
  </si>
  <si>
    <t>Return on Environmental Compliance Rate Base</t>
  </si>
  <si>
    <t>Pollution Control Operating Expenses</t>
  </si>
  <si>
    <t>12 Month Depreciation and Amortization Expense</t>
  </si>
  <si>
    <t>See Support Schedule A</t>
  </si>
  <si>
    <t>12 Month Taxes Other than Income Taxes</t>
  </si>
  <si>
    <t>12 Month Operating and Maintenance Expense</t>
  </si>
  <si>
    <t>12 Month Emission Allowance Expense, net of amounts in base rates</t>
  </si>
  <si>
    <t>Total Pollution Control Operating Expenses</t>
  </si>
  <si>
    <t>See Support Schedule B</t>
  </si>
  <si>
    <t>Less Gross Proceeds from By-Product &amp; Allowance Sales</t>
  </si>
  <si>
    <t>See Support Schedule C</t>
  </si>
  <si>
    <t>Support Schedule A</t>
  </si>
  <si>
    <t xml:space="preserve">  12 Month Balances for Selected Operating Expense Accounts</t>
  </si>
  <si>
    <t>Depreciation &amp; Amortization</t>
  </si>
  <si>
    <t>Taxes Other than Income Taxes</t>
  </si>
  <si>
    <t>Operating and Maintenance Expense</t>
  </si>
  <si>
    <t>Emission Allowance Expense</t>
  </si>
  <si>
    <t>DO NOT PRINT THIS SECTION               Emission Allowance Expense - FERC 509</t>
  </si>
  <si>
    <t>Steam Plant</t>
  </si>
  <si>
    <t>FERC 502</t>
  </si>
  <si>
    <t>FERC 506</t>
  </si>
  <si>
    <t>FERC 512</t>
  </si>
  <si>
    <t>FERC 509</t>
  </si>
  <si>
    <t>Total</t>
  </si>
  <si>
    <t>Total Inventory</t>
  </si>
  <si>
    <t>Baseline</t>
  </si>
  <si>
    <t>Net Inventory</t>
  </si>
  <si>
    <t>less Base Rate amount</t>
  </si>
  <si>
    <t>Totals</t>
  </si>
  <si>
    <t>Jurisdictional Totals</t>
  </si>
  <si>
    <t>Support Schedule B</t>
  </si>
  <si>
    <t xml:space="preserve">  12 Month Balances for Allowance Sales and By-Product Sales</t>
  </si>
  <si>
    <t>2005 Plan</t>
  </si>
  <si>
    <t>Total Proceeds from Allowance Sales</t>
  </si>
  <si>
    <t>Proceeds from By-Product Sales</t>
  </si>
  <si>
    <t>Total All Sale Proceeds</t>
  </si>
  <si>
    <t>ES Form 2.00</t>
  </si>
  <si>
    <t>Support Schedule C</t>
  </si>
  <si>
    <t xml:space="preserve">  12 Month Balances for Jurisdictional Revenues and Allocation Ratio</t>
  </si>
  <si>
    <t>KY Retail Revenues, Excl. Envir. Surch. Revenues</t>
  </si>
  <si>
    <t>Total Company Revenues, Excluding Envir. Surch. Revenues</t>
  </si>
  <si>
    <t>KY Retail Allocation Ratio</t>
  </si>
  <si>
    <t>KY Retail/ Total Company</t>
  </si>
  <si>
    <t>2006 Plan</t>
  </si>
  <si>
    <t>TOTAL</t>
  </si>
  <si>
    <t>Determination of Cash Working Capital Allowance - by Plan</t>
  </si>
  <si>
    <t>12 Months O&amp;M</t>
  </si>
  <si>
    <t>(1/8) of 12 mo</t>
  </si>
  <si>
    <t xml:space="preserve">   O&amp;M Expenses</t>
  </si>
  <si>
    <t>1/8</t>
  </si>
  <si>
    <t>Cash Working Capital</t>
  </si>
  <si>
    <t xml:space="preserve">   Allowance</t>
  </si>
  <si>
    <t xml:space="preserve">Jurisdictional Environmental Surcharge Gross Revenue Requirement </t>
  </si>
  <si>
    <t xml:space="preserve">Jurisdictional Allocation Ratio </t>
  </si>
  <si>
    <t xml:space="preserve">Total Company Environmental Surcharge Gross Revenue Requirement </t>
  </si>
  <si>
    <t>Jurisdictional Revenues for 12 Months</t>
  </si>
  <si>
    <t>Jurisdictional Allocation Ratio</t>
  </si>
  <si>
    <t>Total Company Environmental Surcharge Gross Revenue Requirement</t>
  </si>
  <si>
    <t xml:space="preserve">Calculation of Revenue Requirement </t>
  </si>
  <si>
    <t>2009 Plan</t>
  </si>
  <si>
    <t>2011 Plan</t>
  </si>
  <si>
    <t>at March 31, 2012</t>
  </si>
  <si>
    <t>Pre-2011 Environmental Compliance Plans</t>
  </si>
  <si>
    <t>2011 Environmental Compliance Plan</t>
  </si>
  <si>
    <t>Eliminated Plans (2005 &amp; 2006)</t>
  </si>
  <si>
    <t>Post Rate Case ECR Plan (2009)</t>
  </si>
  <si>
    <t>Post Rate Case ECR Plan (2011)</t>
  </si>
  <si>
    <t>ES Form 2.00, March 2012</t>
  </si>
  <si>
    <t>ES Form 1.10, March 2012</t>
  </si>
  <si>
    <t>ES Form 3.10</t>
  </si>
  <si>
    <t>KPSC Consultant</t>
  </si>
  <si>
    <t>FERC 501</t>
  </si>
  <si>
    <t>Beneficial Reuse Expense</t>
  </si>
  <si>
    <t>12 Month Beneficial Reuse Expense, net of amounts in base rates</t>
  </si>
  <si>
    <t>12 Month KPSC Consultant Expense</t>
  </si>
  <si>
    <t>Base Rate Component</t>
  </si>
  <si>
    <t>Proceeds from Allowance Sales</t>
  </si>
  <si>
    <t>Gross Proceeds from Allowance Sales (less Base Rate amount)</t>
  </si>
  <si>
    <t>Emission Allowance Expense (Base Rate Amount)</t>
  </si>
  <si>
    <t>Gross Proceeds from By-Product Sales and Allowance Sales-Base Rate amount only</t>
  </si>
  <si>
    <t>All Plans</t>
  </si>
  <si>
    <t>Emission Allowance Expense (net of Base Rate Amount)</t>
  </si>
  <si>
    <t>Balances for Selected Operating Expense Accounts for 12-months ended March 31, 2012</t>
  </si>
  <si>
    <t>Proceeds from Allowance Sales Net of Base Rate Amount</t>
  </si>
  <si>
    <t>Proceeds from By-Product Sales &amp; Base Rate Amount of Allowance Sales</t>
  </si>
  <si>
    <t>Post Rate Case ECR Plans (2009 &amp; 2011)</t>
  </si>
  <si>
    <t>2005 &amp; 2006 Plans</t>
  </si>
  <si>
    <t>2009 &amp; 2011 Plans</t>
  </si>
  <si>
    <t>Kentucky Utilities Company</t>
  </si>
  <si>
    <t xml:space="preserve">  Eligible Pollution Control Plant</t>
  </si>
  <si>
    <t xml:space="preserve">  Eligible Pollution CWIP Excluding AFUDC</t>
  </si>
  <si>
    <t xml:space="preserve">     Subtotal</t>
  </si>
  <si>
    <t xml:space="preserve">  Additions:</t>
  </si>
  <si>
    <t xml:space="preserve">  Inventory - Limestone</t>
  </si>
  <si>
    <t xml:space="preserve">  Cash Working Capital Allowance</t>
  </si>
  <si>
    <t xml:space="preserve">  Deductions:</t>
  </si>
  <si>
    <t xml:space="preserve">  Pollution Control Deferred Income Taxes</t>
  </si>
  <si>
    <t xml:space="preserve">  Pollution Control Deferred Investment Tax Credit</t>
  </si>
  <si>
    <t xml:space="preserve">  Accum Depreciation on Eligible Pollution Control Plant</t>
  </si>
  <si>
    <t xml:space="preserve">  Rate of Return on Environmental Compliance Rate Base</t>
  </si>
  <si>
    <t xml:space="preserve">  Pollution Control Operating Expenses</t>
  </si>
  <si>
    <t xml:space="preserve">  Total Proceeds from By-Product Sales and</t>
  </si>
  <si>
    <t xml:space="preserve">       Allowance Sales (base rate amount only)</t>
  </si>
  <si>
    <t xml:space="preserve">  Jurisdictional Allocation Ratio for Expense Month </t>
  </si>
  <si>
    <t xml:space="preserve">  Jurisdictional Revenue Requirement</t>
  </si>
  <si>
    <t xml:space="preserve">  Environmental Compliance Rate Base [Lines (3)+(9)-(14)]</t>
  </si>
  <si>
    <t xml:space="preserve">  Monthly Environmental Compliance Rate Base [Line (15)/12]</t>
  </si>
  <si>
    <t xml:space="preserve">  Total Revenue Requirement [Lines (16)x(17)+(18)-(19)]</t>
  </si>
  <si>
    <t>Line</t>
  </si>
  <si>
    <t>Note</t>
  </si>
  <si>
    <t>(a)</t>
  </si>
  <si>
    <t>(b)</t>
  </si>
  <si>
    <t>(c)</t>
  </si>
  <si>
    <t>(d)</t>
  </si>
  <si>
    <t>(e)</t>
  </si>
  <si>
    <t>(f)</t>
  </si>
  <si>
    <t>ES Form 2.10 - Net Total 2005 &amp; 2006 Plans</t>
  </si>
  <si>
    <t>ES Form 2.01 - Limestone Inventory</t>
  </si>
  <si>
    <t xml:space="preserve">    Less: Limestone Inventory in base rates</t>
  </si>
  <si>
    <t xml:space="preserve">    Less: Allowance Inventory Baseline</t>
  </si>
  <si>
    <t>ES Form 2.00 - Allowance Inventory Baseline</t>
  </si>
  <si>
    <t>ES Form 2.40 - Recalculation based on 2005 &amp; 2006 Plans only</t>
  </si>
  <si>
    <t>ES Form 1.10, line 3</t>
  </si>
  <si>
    <t>ES Form 2.50 - Total 2005 &amp; 2006 Plan O&amp;M Expenses</t>
  </si>
  <si>
    <t>Calculation of 2005 &amp; 2006 Plans Monthly Jurisdictional Revenue Requirements</t>
  </si>
  <si>
    <t>(g)</t>
  </si>
  <si>
    <t>ES Form 1.10, line 8 for Apr-Nov, line 9 for Dec-Mar expense months</t>
  </si>
  <si>
    <t>(h)</t>
  </si>
  <si>
    <t>ES Form 2.00 - Proceeds from By-Product and Allowance Sales</t>
  </si>
  <si>
    <t xml:space="preserve">   for 12-months ended March 31, 2012</t>
  </si>
  <si>
    <t xml:space="preserve">Balances for Allowance Sales and By-Product Sales </t>
  </si>
  <si>
    <t xml:space="preserve">  2005-2006 Plans Jurisdictional Revenue Requirement</t>
  </si>
  <si>
    <t xml:space="preserve">  2005-2006 Plans Expenses [Lines (18) - (19)]</t>
  </si>
  <si>
    <t>From monthly filings</t>
  </si>
  <si>
    <t>Pre-2011</t>
  </si>
  <si>
    <t>From Mo Filings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</si>
</sst>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&quot;$&quot;* #,##0_);_(&quot;$&quot;* \(#,##0\);_(&quot;$&quot;* &quot;-&quot;??_);_(@_)"/>
    <numFmt numFmtId="167" formatCode="0_);\(0\)"/>
    <numFmt numFmtId="168" formatCode="_(* #,##0.000_);_(* \(#,##0.0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9"/>
      <name val="Arial"/>
      <family val="2"/>
    </font>
    <font>
      <u val="singleAccounting"/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8"/>
      <color indexed="53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u val="singleAccounting"/>
      <sz val="8"/>
      <name val="Times New Roman"/>
      <family val="1"/>
    </font>
    <font>
      <u val="singleAccounting"/>
      <sz val="10"/>
      <name val="Times New Roman"/>
      <family val="1"/>
    </font>
    <font>
      <u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1" fillId="0" borderId="0" applyFont="0" applyFill="0" applyBorder="0" applyAlignment="0" applyProtection="0"/>
    <xf numFmtId="0" fontId="2" fillId="0" borderId="0"/>
    <xf numFmtId="37" fontId="10" fillId="0" borderId="0"/>
  </cellStyleXfs>
  <cellXfs count="172">
    <xf numFmtId="0" fontId="0" fillId="0" borderId="0" xfId="0"/>
    <xf numFmtId="0" fontId="2" fillId="0" borderId="0" xfId="4" applyFill="1"/>
    <xf numFmtId="17" fontId="2" fillId="0" borderId="0" xfId="4" applyNumberFormat="1" applyFill="1"/>
    <xf numFmtId="0" fontId="2" fillId="0" borderId="0" xfId="4" quotePrefix="1" applyFill="1" applyAlignment="1">
      <alignment horizontal="center" wrapText="1"/>
    </xf>
    <xf numFmtId="164" fontId="2" fillId="0" borderId="0" xfId="1" applyNumberFormat="1" applyFont="1" applyFill="1"/>
    <xf numFmtId="164" fontId="5" fillId="0" borderId="0" xfId="1" applyNumberFormat="1" applyFont="1" applyFill="1" applyBorder="1"/>
    <xf numFmtId="164" fontId="2" fillId="0" borderId="0" xfId="1" applyNumberFormat="1" applyFont="1" applyFill="1" applyBorder="1"/>
    <xf numFmtId="0" fontId="6" fillId="0" borderId="0" xfId="4" applyFont="1" applyFill="1"/>
    <xf numFmtId="164" fontId="2" fillId="0" borderId="0" xfId="4" applyNumberFormat="1" applyFill="1"/>
    <xf numFmtId="164" fontId="5" fillId="0" borderId="0" xfId="1" applyNumberFormat="1" applyFont="1" applyFill="1"/>
    <xf numFmtId="165" fontId="2" fillId="0" borderId="2" xfId="5" applyNumberFormat="1" applyFont="1" applyFill="1" applyBorder="1"/>
    <xf numFmtId="164" fontId="2" fillId="0" borderId="2" xfId="1" applyNumberFormat="1" applyFont="1" applyFill="1" applyBorder="1"/>
    <xf numFmtId="166" fontId="2" fillId="0" borderId="0" xfId="2" applyNumberFormat="1" applyFont="1" applyFill="1"/>
    <xf numFmtId="0" fontId="2" fillId="0" borderId="0" xfId="4" quotePrefix="1" applyFill="1" applyAlignment="1">
      <alignment horizontal="right"/>
    </xf>
    <xf numFmtId="165" fontId="2" fillId="0" borderId="0" xfId="5" applyNumberFormat="1" applyFont="1" applyFill="1" applyBorder="1"/>
    <xf numFmtId="0" fontId="4" fillId="0" borderId="0" xfId="4" applyFont="1" applyFill="1"/>
    <xf numFmtId="0" fontId="2" fillId="0" borderId="0" xfId="4" applyFill="1" applyBorder="1"/>
    <xf numFmtId="17" fontId="2" fillId="0" borderId="0" xfId="4" applyNumberFormat="1" applyFill="1" applyAlignment="1">
      <alignment horizontal="left"/>
    </xf>
    <xf numFmtId="164" fontId="2" fillId="0" borderId="3" xfId="1" applyNumberFormat="1" applyFont="1" applyFill="1" applyBorder="1"/>
    <xf numFmtId="164" fontId="2" fillId="0" borderId="4" xfId="1" applyNumberFormat="1" applyFont="1" applyFill="1" applyBorder="1"/>
    <xf numFmtId="164" fontId="5" fillId="0" borderId="3" xfId="1" applyNumberFormat="1" applyFont="1" applyFill="1" applyBorder="1"/>
    <xf numFmtId="164" fontId="5" fillId="0" borderId="4" xfId="1" applyNumberFormat="1" applyFont="1" applyFill="1" applyBorder="1"/>
    <xf numFmtId="0" fontId="2" fillId="0" borderId="3" xfId="4" applyFill="1" applyBorder="1"/>
    <xf numFmtId="0" fontId="2" fillId="0" borderId="4" xfId="4" applyFill="1" applyBorder="1"/>
    <xf numFmtId="17" fontId="2" fillId="0" borderId="0" xfId="4" quotePrefix="1" applyNumberFormat="1" applyFill="1" applyAlignment="1">
      <alignment horizontal="right"/>
    </xf>
    <xf numFmtId="164" fontId="2" fillId="0" borderId="5" xfId="1" applyNumberFormat="1" applyFont="1" applyFill="1" applyBorder="1"/>
    <xf numFmtId="164" fontId="2" fillId="0" borderId="6" xfId="1" applyNumberFormat="1" applyFont="1" applyFill="1" applyBorder="1"/>
    <xf numFmtId="0" fontId="4" fillId="0" borderId="0" xfId="4" quotePrefix="1" applyFont="1" applyFill="1" applyAlignment="1">
      <alignment horizontal="left"/>
    </xf>
    <xf numFmtId="164" fontId="2" fillId="0" borderId="0" xfId="1" quotePrefix="1" applyNumberFormat="1" applyFont="1" applyFill="1" applyBorder="1" applyAlignment="1">
      <alignment horizontal="left"/>
    </xf>
    <xf numFmtId="0" fontId="2" fillId="0" borderId="0" xfId="4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wrapText="1"/>
    </xf>
    <xf numFmtId="0" fontId="2" fillId="0" borderId="0" xfId="4" applyFill="1" applyBorder="1" applyAlignment="1">
      <alignment horizontal="center"/>
    </xf>
    <xf numFmtId="164" fontId="2" fillId="0" borderId="0" xfId="5" applyNumberFormat="1" applyFont="1" applyFill="1" applyBorder="1"/>
    <xf numFmtId="10" fontId="2" fillId="0" borderId="0" xfId="5" applyNumberFormat="1" applyFont="1" applyFill="1" applyBorder="1"/>
    <xf numFmtId="0" fontId="4" fillId="0" borderId="0" xfId="4" applyFont="1" applyFill="1" applyBorder="1"/>
    <xf numFmtId="164" fontId="2" fillId="0" borderId="0" xfId="1" quotePrefix="1" applyNumberFormat="1" applyFont="1" applyFill="1" applyBorder="1" applyAlignment="1">
      <alignment horizontal="center" wrapText="1"/>
    </xf>
    <xf numFmtId="166" fontId="2" fillId="0" borderId="0" xfId="2" applyNumberFormat="1" applyFont="1" applyFill="1" applyBorder="1"/>
    <xf numFmtId="164" fontId="5" fillId="0" borderId="0" xfId="4" applyNumberFormat="1" applyFont="1" applyFill="1"/>
    <xf numFmtId="166" fontId="2" fillId="0" borderId="2" xfId="2" applyNumberFormat="1" applyFont="1" applyFill="1" applyBorder="1"/>
    <xf numFmtId="164" fontId="8" fillId="0" borderId="0" xfId="1" applyNumberFormat="1" applyFont="1" applyFill="1"/>
    <xf numFmtId="17" fontId="9" fillId="0" borderId="0" xfId="4" applyNumberFormat="1" applyFont="1" applyFill="1" applyBorder="1" applyProtection="1">
      <protection locked="0"/>
    </xf>
    <xf numFmtId="17" fontId="9" fillId="0" borderId="0" xfId="4" applyNumberFormat="1" applyFont="1" applyFill="1" applyBorder="1" applyProtection="1"/>
    <xf numFmtId="0" fontId="2" fillId="0" borderId="3" xfId="4" applyFill="1" applyBorder="1" applyAlignment="1">
      <alignment horizontal="center" wrapText="1"/>
    </xf>
    <xf numFmtId="0" fontId="2" fillId="0" borderId="4" xfId="4" applyFill="1" applyBorder="1" applyAlignment="1">
      <alignment horizontal="center"/>
    </xf>
    <xf numFmtId="0" fontId="2" fillId="0" borderId="0" xfId="4" applyFont="1" applyFill="1" applyBorder="1"/>
    <xf numFmtId="17" fontId="2" fillId="0" borderId="0" xfId="4" applyNumberFormat="1" applyFont="1" applyFill="1" applyBorder="1" applyAlignment="1">
      <alignment horizontal="left"/>
    </xf>
    <xf numFmtId="0" fontId="2" fillId="0" borderId="7" xfId="4" applyFill="1" applyBorder="1"/>
    <xf numFmtId="0" fontId="2" fillId="0" borderId="1" xfId="4" applyFill="1" applyBorder="1"/>
    <xf numFmtId="0" fontId="2" fillId="0" borderId="8" xfId="4" applyFill="1" applyBorder="1"/>
    <xf numFmtId="0" fontId="6" fillId="0" borderId="0" xfId="4" applyFont="1" applyFill="1" applyAlignment="1">
      <alignment horizontal="center"/>
    </xf>
    <xf numFmtId="0" fontId="7" fillId="0" borderId="0" xfId="4" quotePrefix="1" applyFont="1" applyFill="1" applyBorder="1" applyAlignment="1" applyProtection="1">
      <alignment horizontal="left"/>
    </xf>
    <xf numFmtId="0" fontId="2" fillId="0" borderId="0" xfId="4" quotePrefix="1" applyFill="1"/>
    <xf numFmtId="0" fontId="2" fillId="0" borderId="1" xfId="4" quotePrefix="1" applyFont="1" applyFill="1" applyBorder="1" applyAlignment="1">
      <alignment horizontal="right"/>
    </xf>
    <xf numFmtId="164" fontId="2" fillId="0" borderId="2" xfId="4" applyNumberFormat="1" applyFill="1" applyBorder="1"/>
    <xf numFmtId="164" fontId="2" fillId="0" borderId="0" xfId="4" applyNumberFormat="1" applyFont="1" applyFill="1"/>
    <xf numFmtId="0" fontId="2" fillId="0" borderId="0" xfId="4" applyFill="1" applyBorder="1" applyAlignment="1">
      <alignment horizontal="right"/>
    </xf>
    <xf numFmtId="17" fontId="2" fillId="0" borderId="0" xfId="4" applyNumberFormat="1" applyFill="1" applyBorder="1" applyAlignment="1">
      <alignment horizontal="left"/>
    </xf>
    <xf numFmtId="164" fontId="2" fillId="0" borderId="0" xfId="4" applyNumberFormat="1" applyFill="1" applyBorder="1"/>
    <xf numFmtId="164" fontId="8" fillId="0" borderId="0" xfId="1" applyNumberFormat="1" applyFont="1" applyFill="1" applyBorder="1"/>
    <xf numFmtId="164" fontId="2" fillId="0" borderId="1" xfId="1" applyNumberFormat="1" applyFont="1" applyFill="1" applyBorder="1"/>
    <xf numFmtId="166" fontId="2" fillId="0" borderId="0" xfId="4" applyNumberFormat="1" applyFill="1"/>
    <xf numFmtId="0" fontId="2" fillId="0" borderId="9" xfId="4" applyFill="1" applyBorder="1"/>
    <xf numFmtId="0" fontId="2" fillId="0" borderId="11" xfId="4" applyFill="1" applyBorder="1"/>
    <xf numFmtId="164" fontId="2" fillId="0" borderId="3" xfId="4" applyNumberFormat="1" applyFill="1" applyBorder="1"/>
    <xf numFmtId="164" fontId="2" fillId="0" borderId="4" xfId="4" applyNumberFormat="1" applyFill="1" applyBorder="1"/>
    <xf numFmtId="164" fontId="2" fillId="0" borderId="12" xfId="1" applyNumberFormat="1" applyFont="1" applyFill="1" applyBorder="1"/>
    <xf numFmtId="0" fontId="2" fillId="0" borderId="3" xfId="4" applyFill="1" applyBorder="1" applyAlignment="1">
      <alignment horizontal="right"/>
    </xf>
    <xf numFmtId="0" fontId="2" fillId="0" borderId="4" xfId="4" applyFill="1" applyBorder="1" applyAlignment="1">
      <alignment horizontal="right"/>
    </xf>
    <xf numFmtId="0" fontId="2" fillId="0" borderId="0" xfId="6"/>
    <xf numFmtId="0" fontId="2" fillId="0" borderId="13" xfId="4" applyFill="1" applyBorder="1" applyAlignment="1">
      <alignment horizontal="center"/>
    </xf>
    <xf numFmtId="164" fontId="2" fillId="0" borderId="1" xfId="4" applyNumberFormat="1" applyFill="1" applyBorder="1"/>
    <xf numFmtId="0" fontId="2" fillId="0" borderId="0" xfId="4" applyFont="1" applyFill="1" applyAlignment="1">
      <alignment horizontal="center"/>
    </xf>
    <xf numFmtId="0" fontId="2" fillId="0" borderId="0" xfId="4" quotePrefix="1" applyFont="1" applyFill="1" applyBorder="1" applyAlignment="1" applyProtection="1">
      <alignment horizontal="center"/>
    </xf>
    <xf numFmtId="43" fontId="2" fillId="0" borderId="0" xfId="4" applyNumberFormat="1" applyFill="1"/>
    <xf numFmtId="168" fontId="2" fillId="0" borderId="0" xfId="4" applyNumberFormat="1" applyFill="1"/>
    <xf numFmtId="168" fontId="2" fillId="0" borderId="1" xfId="4" applyNumberFormat="1" applyFill="1" applyBorder="1"/>
    <xf numFmtId="44" fontId="2" fillId="0" borderId="0" xfId="4" applyNumberFormat="1" applyFill="1"/>
    <xf numFmtId="0" fontId="11" fillId="0" borderId="0" xfId="4" applyFont="1" applyFill="1"/>
    <xf numFmtId="17" fontId="11" fillId="0" borderId="0" xfId="4" applyNumberFormat="1" applyFont="1" applyFill="1"/>
    <xf numFmtId="17" fontId="13" fillId="0" borderId="0" xfId="4" applyNumberFormat="1" applyFont="1" applyFill="1"/>
    <xf numFmtId="0" fontId="11" fillId="0" borderId="0" xfId="0" applyFont="1" applyFill="1" applyAlignment="1">
      <alignment horizontal="center" wrapText="1"/>
    </xf>
    <xf numFmtId="0" fontId="11" fillId="0" borderId="0" xfId="0" quotePrefix="1" applyFont="1" applyAlignment="1">
      <alignment horizontal="center" wrapText="1"/>
    </xf>
    <xf numFmtId="0" fontId="7" fillId="0" borderId="0" xfId="0" applyFont="1" applyFill="1"/>
    <xf numFmtId="164" fontId="11" fillId="0" borderId="0" xfId="1" quotePrefix="1" applyNumberFormat="1" applyFont="1" applyFill="1" applyAlignment="1">
      <alignment horizontal="left"/>
    </xf>
    <xf numFmtId="164" fontId="11" fillId="0" borderId="0" xfId="1" applyNumberFormat="1" applyFont="1" applyFill="1"/>
    <xf numFmtId="17" fontId="11" fillId="0" borderId="0" xfId="4" quotePrefix="1" applyNumberFormat="1" applyFont="1" applyFill="1" applyAlignment="1">
      <alignment horizontal="left"/>
    </xf>
    <xf numFmtId="164" fontId="14" fillId="0" borderId="0" xfId="1" applyNumberFormat="1" applyFont="1" applyFill="1" applyBorder="1"/>
    <xf numFmtId="164" fontId="11" fillId="0" borderId="0" xfId="1" applyNumberFormat="1" applyFont="1" applyFill="1" applyBorder="1"/>
    <xf numFmtId="164" fontId="11" fillId="0" borderId="0" xfId="1" applyNumberFormat="1" applyFont="1" applyBorder="1"/>
    <xf numFmtId="17" fontId="11" fillId="0" borderId="0" xfId="4" applyNumberFormat="1" applyFont="1" applyFill="1" applyAlignment="1">
      <alignment horizontal="left" indent="1"/>
    </xf>
    <xf numFmtId="17" fontId="11" fillId="0" borderId="0" xfId="4" quotePrefix="1" applyNumberFormat="1" applyFont="1" applyFill="1" applyAlignment="1">
      <alignment horizontal="left" indent="1"/>
    </xf>
    <xf numFmtId="164" fontId="14" fillId="0" borderId="0" xfId="1" applyNumberFormat="1" applyFont="1" applyFill="1"/>
    <xf numFmtId="166" fontId="14" fillId="0" borderId="0" xfId="2" applyNumberFormat="1" applyFont="1" applyFill="1" applyBorder="1"/>
    <xf numFmtId="164" fontId="11" fillId="0" borderId="0" xfId="1" quotePrefix="1" applyNumberFormat="1" applyFont="1" applyFill="1" applyAlignment="1">
      <alignment horizontal="left" wrapText="1"/>
    </xf>
    <xf numFmtId="10" fontId="11" fillId="0" borderId="0" xfId="5" applyNumberFormat="1" applyFont="1" applyFill="1"/>
    <xf numFmtId="10" fontId="11" fillId="0" borderId="0" xfId="4" applyNumberFormat="1" applyFont="1" applyFill="1"/>
    <xf numFmtId="0" fontId="12" fillId="0" borderId="0" xfId="4" applyFont="1" applyFill="1"/>
    <xf numFmtId="164" fontId="11" fillId="0" borderId="0" xfId="4" applyNumberFormat="1" applyFont="1" applyFill="1"/>
    <xf numFmtId="0" fontId="11" fillId="0" borderId="0" xfId="4" applyFont="1" applyFill="1" applyAlignment="1">
      <alignment horizontal="center"/>
    </xf>
    <xf numFmtId="0" fontId="11" fillId="0" borderId="0" xfId="4" quotePrefix="1" applyFont="1" applyFill="1" applyAlignment="1">
      <alignment horizontal="left"/>
    </xf>
    <xf numFmtId="0" fontId="12" fillId="0" borderId="0" xfId="4" applyFont="1" applyFill="1" applyAlignment="1"/>
    <xf numFmtId="0" fontId="12" fillId="0" borderId="0" xfId="4" quotePrefix="1" applyFont="1" applyFill="1" applyAlignment="1">
      <alignment horizontal="left"/>
    </xf>
    <xf numFmtId="165" fontId="11" fillId="0" borderId="2" xfId="5" applyNumberFormat="1" applyFont="1" applyFill="1" applyBorder="1"/>
    <xf numFmtId="166" fontId="11" fillId="0" borderId="0" xfId="2" applyNumberFormat="1" applyFont="1" applyFill="1" applyBorder="1"/>
    <xf numFmtId="166" fontId="11" fillId="0" borderId="0" xfId="2" applyNumberFormat="1" applyFont="1" applyFill="1"/>
    <xf numFmtId="165" fontId="16" fillId="0" borderId="0" xfId="5" applyNumberFormat="1" applyFont="1" applyFill="1" applyBorder="1"/>
    <xf numFmtId="166" fontId="11" fillId="0" borderId="2" xfId="2" applyNumberFormat="1" applyFont="1" applyFill="1" applyBorder="1"/>
    <xf numFmtId="166" fontId="11" fillId="0" borderId="0" xfId="4" applyNumberFormat="1" applyFont="1" applyFill="1"/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center" wrapText="1"/>
    </xf>
    <xf numFmtId="0" fontId="11" fillId="0" borderId="0" xfId="4" applyFont="1" applyFill="1" applyAlignment="1">
      <alignment horizontal="center" wrapText="1"/>
    </xf>
    <xf numFmtId="0" fontId="11" fillId="0" borderId="0" xfId="4" quotePrefix="1" applyFont="1" applyFill="1" applyAlignment="1">
      <alignment horizontal="center" wrapText="1"/>
    </xf>
    <xf numFmtId="17" fontId="11" fillId="0" borderId="0" xfId="0" applyNumberFormat="1" applyFont="1" applyAlignment="1">
      <alignment horizontal="left"/>
    </xf>
    <xf numFmtId="164" fontId="11" fillId="0" borderId="2" xfId="1" applyNumberFormat="1" applyFont="1" applyFill="1" applyBorder="1"/>
    <xf numFmtId="17" fontId="11" fillId="0" borderId="0" xfId="0" applyNumberFormat="1" applyFont="1" applyAlignment="1">
      <alignment horizontal="right"/>
    </xf>
    <xf numFmtId="17" fontId="11" fillId="0" borderId="0" xfId="0" applyNumberFormat="1" applyFont="1"/>
    <xf numFmtId="0" fontId="11" fillId="0" borderId="0" xfId="0" applyFont="1" applyBorder="1"/>
    <xf numFmtId="0" fontId="11" fillId="0" borderId="0" xfId="0" applyFont="1" applyBorder="1" applyAlignment="1">
      <alignment horizontal="center" wrapText="1"/>
    </xf>
    <xf numFmtId="164" fontId="11" fillId="0" borderId="0" xfId="1" applyNumberFormat="1" applyFont="1" applyBorder="1" applyAlignment="1">
      <alignment horizontal="center" wrapText="1"/>
    </xf>
    <xf numFmtId="0" fontId="12" fillId="0" borderId="0" xfId="4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/>
    <xf numFmtId="0" fontId="11" fillId="0" borderId="0" xfId="4" applyFont="1" applyFill="1" applyAlignment="1">
      <alignment horizontal="right"/>
    </xf>
    <xf numFmtId="0" fontId="11" fillId="0" borderId="0" xfId="4" quotePrefix="1" applyFont="1" applyFill="1" applyAlignment="1">
      <alignment horizontal="right"/>
    </xf>
    <xf numFmtId="0" fontId="11" fillId="0" borderId="1" xfId="4" quotePrefix="1" applyFont="1" applyFill="1" applyBorder="1" applyAlignment="1">
      <alignment horizontal="right"/>
    </xf>
    <xf numFmtId="164" fontId="11" fillId="0" borderId="2" xfId="4" applyNumberFormat="1" applyFont="1" applyFill="1" applyBorder="1"/>
    <xf numFmtId="164" fontId="11" fillId="0" borderId="1" xfId="1" applyNumberFormat="1" applyFont="1" applyBorder="1"/>
    <xf numFmtId="164" fontId="11" fillId="0" borderId="1" xfId="0" applyNumberFormat="1" applyFont="1" applyBorder="1"/>
    <xf numFmtId="0" fontId="12" fillId="0" borderId="0" xfId="4" applyFont="1" applyFill="1" applyBorder="1"/>
    <xf numFmtId="0" fontId="11" fillId="0" borderId="0" xfId="4" applyFont="1" applyFill="1" applyBorder="1"/>
    <xf numFmtId="164" fontId="11" fillId="0" borderId="0" xfId="1" quotePrefix="1" applyNumberFormat="1" applyFont="1" applyFill="1" applyBorder="1" applyAlignment="1">
      <alignment horizontal="left"/>
    </xf>
    <xf numFmtId="0" fontId="11" fillId="0" borderId="0" xfId="4" applyFont="1" applyFill="1" applyBorder="1" applyAlignment="1">
      <alignment horizontal="center" wrapText="1"/>
    </xf>
    <xf numFmtId="164" fontId="11" fillId="0" borderId="0" xfId="1" quotePrefix="1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0" xfId="4" applyFont="1" applyFill="1" applyBorder="1" applyAlignment="1">
      <alignment horizontal="center"/>
    </xf>
    <xf numFmtId="165" fontId="11" fillId="0" borderId="0" xfId="5" applyNumberFormat="1" applyFont="1" applyFill="1" applyBorder="1"/>
    <xf numFmtId="166" fontId="11" fillId="0" borderId="2" xfId="0" applyNumberFormat="1" applyFont="1" applyBorder="1"/>
    <xf numFmtId="164" fontId="11" fillId="2" borderId="0" xfId="0" applyNumberFormat="1" applyFont="1" applyFill="1"/>
    <xf numFmtId="0" fontId="11" fillId="0" borderId="0" xfId="0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0" applyFont="1" applyBorder="1" applyProtection="1"/>
    <xf numFmtId="42" fontId="11" fillId="0" borderId="0" xfId="2" applyNumberFormat="1" applyFont="1"/>
    <xf numFmtId="41" fontId="11" fillId="0" borderId="1" xfId="0" applyNumberFormat="1" applyFont="1" applyBorder="1"/>
    <xf numFmtId="0" fontId="11" fillId="0" borderId="0" xfId="0" applyFont="1" applyFill="1" applyBorder="1" applyAlignment="1" applyProtection="1">
      <alignment horizontal="left"/>
    </xf>
    <xf numFmtId="41" fontId="11" fillId="0" borderId="0" xfId="0" applyNumberFormat="1" applyFont="1"/>
    <xf numFmtId="0" fontId="11" fillId="0" borderId="0" xfId="0" quotePrefix="1" applyFont="1" applyBorder="1" applyAlignment="1" applyProtection="1">
      <alignment horizontal="left"/>
    </xf>
    <xf numFmtId="42" fontId="11" fillId="0" borderId="0" xfId="0" quotePrefix="1" applyNumberFormat="1" applyFont="1"/>
    <xf numFmtId="42" fontId="11" fillId="0" borderId="0" xfId="0" applyNumberFormat="1" applyFont="1"/>
    <xf numFmtId="10" fontId="11" fillId="0" borderId="0" xfId="0" applyNumberFormat="1" applyFont="1"/>
    <xf numFmtId="0" fontId="11" fillId="0" borderId="0" xfId="0" applyFont="1" applyBorder="1" applyAlignment="1" applyProtection="1"/>
    <xf numFmtId="0" fontId="11" fillId="0" borderId="0" xfId="0" applyFont="1" applyFill="1" applyBorder="1" applyAlignment="1" applyProtection="1"/>
    <xf numFmtId="166" fontId="11" fillId="0" borderId="0" xfId="2" applyNumberFormat="1" applyFont="1" applyFill="1" applyBorder="1" applyProtection="1"/>
    <xf numFmtId="10" fontId="11" fillId="0" borderId="1" xfId="5" applyNumberFormat="1" applyFont="1" applyFill="1" applyBorder="1"/>
    <xf numFmtId="166" fontId="11" fillId="0" borderId="2" xfId="2" applyNumberFormat="1" applyFont="1" applyFill="1" applyBorder="1" applyProtection="1"/>
    <xf numFmtId="166" fontId="11" fillId="0" borderId="0" xfId="0" applyNumberFormat="1" applyFont="1"/>
    <xf numFmtId="41" fontId="11" fillId="0" borderId="0" xfId="0" applyNumberFormat="1" applyFont="1" applyBorder="1"/>
    <xf numFmtId="0" fontId="2" fillId="0" borderId="0" xfId="4" applyFill="1" applyAlignment="1">
      <alignment horizontal="center" wrapText="1"/>
    </xf>
    <xf numFmtId="0" fontId="12" fillId="0" borderId="1" xfId="4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2" fillId="0" borderId="1" xfId="4" applyFill="1" applyBorder="1" applyAlignment="1">
      <alignment horizontal="center"/>
    </xf>
    <xf numFmtId="0" fontId="2" fillId="0" borderId="9" xfId="4" applyFill="1" applyBorder="1" applyAlignment="1">
      <alignment horizontal="center" wrapText="1"/>
    </xf>
    <xf numFmtId="0" fontId="2" fillId="0" borderId="10" xfId="4" applyFill="1" applyBorder="1" applyAlignment="1">
      <alignment horizontal="center" wrapText="1"/>
    </xf>
    <xf numFmtId="0" fontId="2" fillId="0" borderId="11" xfId="4" applyFill="1" applyBorder="1" applyAlignment="1">
      <alignment horizontal="center" wrapText="1"/>
    </xf>
    <xf numFmtId="0" fontId="2" fillId="0" borderId="0" xfId="4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7" fontId="0" fillId="0" borderId="0" xfId="0" applyNumberFormat="1" applyFill="1" applyAlignment="1">
      <alignment horizontal="left"/>
    </xf>
    <xf numFmtId="0" fontId="7" fillId="0" borderId="0" xfId="0" quotePrefix="1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1" fillId="0" borderId="0" xfId="0" quotePrefix="1" applyFont="1" applyFill="1" applyAlignment="1">
      <alignment horizontal="center" wrapText="1"/>
    </xf>
    <xf numFmtId="0" fontId="11" fillId="0" borderId="1" xfId="3" quotePrefix="1" applyFont="1" applyFill="1" applyBorder="1" applyAlignment="1" applyProtection="1">
      <alignment horizontal="center"/>
    </xf>
    <xf numFmtId="0" fontId="15" fillId="0" borderId="0" xfId="0" applyFont="1" applyFill="1"/>
  </cellXfs>
  <cellStyles count="8">
    <cellStyle name="Comma" xfId="1" builtinId="3"/>
    <cellStyle name="Currency" xfId="2" builtinId="4"/>
    <cellStyle name="Hyperlink" xfId="3" builtinId="8"/>
    <cellStyle name="Normal" xfId="0" builtinId="0"/>
    <cellStyle name="Normal 2" xfId="6"/>
    <cellStyle name="Normal 4" xfId="7"/>
    <cellStyle name="Normal_KU ECR Plan 01-03 Elimination and Roll-in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8"/>
  <sheetViews>
    <sheetView tabSelected="1" zoomScaleNormal="100" zoomScaleSheetLayoutView="80" workbookViewId="0">
      <selection activeCell="F15" sqref="F15"/>
    </sheetView>
  </sheetViews>
  <sheetFormatPr defaultColWidth="8" defaultRowHeight="11.25" x14ac:dyDescent="0.2"/>
  <cols>
    <col min="1" max="1" width="2.7109375" style="77" customWidth="1"/>
    <col min="2" max="2" width="3.42578125" style="77" customWidth="1"/>
    <col min="3" max="3" width="10.140625" style="77" customWidth="1"/>
    <col min="4" max="4" width="29.140625" style="77" customWidth="1"/>
    <col min="5" max="5" width="6" style="77" customWidth="1"/>
    <col min="6" max="6" width="22.28515625" style="77" customWidth="1"/>
    <col min="7" max="7" width="14.28515625" style="77" customWidth="1"/>
    <col min="8" max="8" width="13.140625" style="77" customWidth="1"/>
    <col min="9" max="9" width="1.7109375" style="77" customWidth="1"/>
    <col min="10" max="10" width="14.28515625" style="77" customWidth="1"/>
    <col min="11" max="11" width="13.140625" style="77" customWidth="1"/>
    <col min="12" max="12" width="1.7109375" style="77" customWidth="1"/>
    <col min="13" max="13" width="13.42578125" style="77" customWidth="1"/>
    <col min="14" max="14" width="13.140625" style="77" customWidth="1"/>
    <col min="15" max="15" width="1.7109375" style="77" customWidth="1"/>
    <col min="16" max="16" width="14.28515625" style="77" customWidth="1"/>
    <col min="17" max="17" width="13.140625" style="77" customWidth="1"/>
    <col min="18" max="18" width="2" style="77" customWidth="1"/>
    <col min="19" max="19" width="14.85546875" style="77" customWidth="1"/>
    <col min="20" max="20" width="13" style="77" bestFit="1" customWidth="1"/>
    <col min="21" max="21" width="2" style="77" customWidth="1"/>
    <col min="22" max="22" width="14.28515625" style="77" bestFit="1" customWidth="1"/>
    <col min="23" max="23" width="12.28515625" style="77" bestFit="1" customWidth="1"/>
    <col min="24" max="24" width="1.5703125" style="77" customWidth="1"/>
    <col min="25" max="25" width="16.42578125" style="77" customWidth="1"/>
    <col min="26" max="26" width="12.28515625" style="77" bestFit="1" customWidth="1"/>
    <col min="27" max="27" width="2.140625" style="77" customWidth="1"/>
    <col min="28" max="28" width="16.5703125" style="77" customWidth="1"/>
    <col min="29" max="29" width="12.28515625" style="77" bestFit="1" customWidth="1"/>
    <col min="30" max="30" width="2.140625" style="77" customWidth="1"/>
    <col min="31" max="31" width="15.28515625" style="77" bestFit="1" customWidth="1"/>
    <col min="32" max="32" width="12.28515625" style="77" bestFit="1" customWidth="1"/>
    <col min="33" max="33" width="1.85546875" style="77" customWidth="1"/>
    <col min="34" max="16384" width="8" style="77"/>
  </cols>
  <sheetData>
    <row r="1" spans="1:33" ht="12.75" x14ac:dyDescent="0.2">
      <c r="D1" s="78"/>
      <c r="F1" s="82"/>
      <c r="G1" s="158" t="s">
        <v>48</v>
      </c>
      <c r="H1" s="158"/>
      <c r="I1" s="82"/>
      <c r="J1" s="158" t="s">
        <v>59</v>
      </c>
      <c r="K1" s="158"/>
      <c r="L1" s="82"/>
      <c r="M1" s="158" t="s">
        <v>75</v>
      </c>
      <c r="N1" s="158"/>
      <c r="O1" s="82"/>
      <c r="P1" s="158" t="s">
        <v>76</v>
      </c>
      <c r="Q1" s="158"/>
      <c r="S1" s="158" t="s">
        <v>60</v>
      </c>
      <c r="T1" s="158"/>
      <c r="U1" s="158"/>
      <c r="V1" s="158"/>
      <c r="W1" s="158"/>
      <c r="Y1" s="158" t="s">
        <v>80</v>
      </c>
      <c r="Z1" s="158"/>
      <c r="AB1" s="158" t="s">
        <v>81</v>
      </c>
      <c r="AC1" s="158"/>
      <c r="AE1" s="158" t="s">
        <v>82</v>
      </c>
      <c r="AF1" s="158"/>
      <c r="AG1" s="82"/>
    </row>
    <row r="2" spans="1:33" ht="45" customHeight="1" x14ac:dyDescent="0.2">
      <c r="A2" s="79" t="s">
        <v>74</v>
      </c>
      <c r="B2" s="78"/>
      <c r="F2" s="80"/>
      <c r="G2" s="167" t="s">
        <v>0</v>
      </c>
      <c r="H2" s="168" t="s">
        <v>1</v>
      </c>
      <c r="I2" s="82"/>
      <c r="J2" s="167" t="s">
        <v>0</v>
      </c>
      <c r="K2" s="168" t="s">
        <v>1</v>
      </c>
      <c r="L2" s="82"/>
      <c r="M2" s="167" t="s">
        <v>0</v>
      </c>
      <c r="N2" s="168" t="s">
        <v>1</v>
      </c>
      <c r="O2" s="82"/>
      <c r="P2" s="167" t="s">
        <v>0</v>
      </c>
      <c r="Q2" s="168" t="s">
        <v>1</v>
      </c>
      <c r="S2" s="169" t="s">
        <v>78</v>
      </c>
      <c r="T2" s="168" t="s">
        <v>1</v>
      </c>
      <c r="U2" s="82"/>
      <c r="V2" s="169" t="s">
        <v>79</v>
      </c>
      <c r="W2" s="168" t="s">
        <v>1</v>
      </c>
      <c r="Y2" s="169" t="s">
        <v>78</v>
      </c>
      <c r="Z2" s="168" t="s">
        <v>1</v>
      </c>
      <c r="AA2" s="82"/>
      <c r="AB2" s="169" t="s">
        <v>78</v>
      </c>
      <c r="AC2" s="168" t="s">
        <v>1</v>
      </c>
      <c r="AD2" s="82"/>
      <c r="AE2" s="169" t="s">
        <v>79</v>
      </c>
      <c r="AF2" s="168" t="s">
        <v>1</v>
      </c>
      <c r="AG2" s="82"/>
    </row>
    <row r="3" spans="1:33" ht="12.75" x14ac:dyDescent="0.2">
      <c r="A3" s="78"/>
      <c r="B3" s="78"/>
      <c r="F3" s="82"/>
      <c r="G3" s="170" t="s">
        <v>77</v>
      </c>
      <c r="H3" s="168" t="s">
        <v>2</v>
      </c>
      <c r="I3" s="82"/>
      <c r="J3" s="170" t="s">
        <v>77</v>
      </c>
      <c r="K3" s="168" t="s">
        <v>2</v>
      </c>
      <c r="L3" s="82"/>
      <c r="M3" s="170" t="s">
        <v>77</v>
      </c>
      <c r="N3" s="168" t="s">
        <v>2</v>
      </c>
      <c r="O3" s="82"/>
      <c r="P3" s="170" t="s">
        <v>77</v>
      </c>
      <c r="Q3" s="168" t="s">
        <v>2</v>
      </c>
      <c r="S3" s="170" t="s">
        <v>77</v>
      </c>
      <c r="T3" s="168" t="s">
        <v>2</v>
      </c>
      <c r="U3" s="82"/>
      <c r="V3" s="170" t="s">
        <v>77</v>
      </c>
      <c r="W3" s="168" t="s">
        <v>2</v>
      </c>
      <c r="Y3" s="170" t="s">
        <v>77</v>
      </c>
      <c r="Z3" s="168" t="s">
        <v>2</v>
      </c>
      <c r="AA3" s="82"/>
      <c r="AB3" s="170" t="s">
        <v>77</v>
      </c>
      <c r="AC3" s="168" t="s">
        <v>2</v>
      </c>
      <c r="AD3" s="82"/>
      <c r="AE3" s="170" t="s">
        <v>77</v>
      </c>
      <c r="AF3" s="168" t="s">
        <v>2</v>
      </c>
      <c r="AG3" s="82"/>
    </row>
    <row r="4" spans="1:33" ht="12.75" x14ac:dyDescent="0.2">
      <c r="A4" s="78" t="s">
        <v>3</v>
      </c>
      <c r="B4" s="78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S4" s="82"/>
      <c r="T4" s="82"/>
      <c r="U4" s="82"/>
      <c r="V4" s="82"/>
      <c r="W4" s="82"/>
      <c r="Y4" s="82"/>
      <c r="Z4" s="82"/>
      <c r="AA4" s="82"/>
      <c r="AB4" s="82"/>
      <c r="AC4" s="82"/>
      <c r="AD4" s="82"/>
      <c r="AE4" s="82"/>
      <c r="AF4" s="82"/>
      <c r="AG4" s="82"/>
    </row>
    <row r="5" spans="1:33" ht="12.75" x14ac:dyDescent="0.2">
      <c r="B5" s="78" t="s">
        <v>4</v>
      </c>
      <c r="C5" s="78"/>
      <c r="F5" s="83" t="s">
        <v>83</v>
      </c>
      <c r="G5" s="84">
        <v>1100947319</v>
      </c>
      <c r="H5" s="84">
        <f>G5*$G$48</f>
        <v>946665897.95579469</v>
      </c>
      <c r="J5" s="84">
        <v>203305432</v>
      </c>
      <c r="K5" s="84">
        <f>J5*$G$48</f>
        <v>174815194.17149401</v>
      </c>
      <c r="M5" s="84">
        <v>9102469</v>
      </c>
      <c r="N5" s="84">
        <f>M5*$G$48</f>
        <v>7826893.1135839252</v>
      </c>
      <c r="P5" s="84">
        <v>0</v>
      </c>
      <c r="Q5" s="84">
        <f>P5*$G$48</f>
        <v>0</v>
      </c>
      <c r="S5" s="84">
        <f>ROUND(+G5+J5+M5,0)</f>
        <v>1313355220</v>
      </c>
      <c r="T5" s="84">
        <f>ROUND(+H5+K5+N5,0)</f>
        <v>1129307985</v>
      </c>
      <c r="V5" s="84">
        <f>ROUND(P5,0)</f>
        <v>0</v>
      </c>
      <c r="W5" s="84">
        <f>ROUND(Q5,0)</f>
        <v>0</v>
      </c>
      <c r="Y5" s="84">
        <f t="shared" ref="Y5:Z7" si="0">+G5+J5</f>
        <v>1304252751</v>
      </c>
      <c r="Z5" s="84">
        <f t="shared" si="0"/>
        <v>1121481092.1272888</v>
      </c>
      <c r="AA5" s="82"/>
      <c r="AB5" s="84">
        <f t="shared" ref="AB5:AC7" si="1">+M5</f>
        <v>9102469</v>
      </c>
      <c r="AC5" s="84">
        <f t="shared" si="1"/>
        <v>7826893.1135839252</v>
      </c>
      <c r="AD5" s="82"/>
      <c r="AE5" s="84">
        <f t="shared" ref="AE5:AF7" si="2">+P5</f>
        <v>0</v>
      </c>
      <c r="AF5" s="84">
        <f t="shared" si="2"/>
        <v>0</v>
      </c>
    </row>
    <row r="6" spans="1:33" ht="15" x14ac:dyDescent="0.35">
      <c r="B6" s="85" t="s">
        <v>5</v>
      </c>
      <c r="C6" s="85"/>
      <c r="F6" s="83" t="s">
        <v>83</v>
      </c>
      <c r="G6" s="86">
        <v>1370221</v>
      </c>
      <c r="H6" s="86">
        <f>G6*$G$48</f>
        <v>1178204.8704574637</v>
      </c>
      <c r="J6" s="86">
        <v>0</v>
      </c>
      <c r="K6" s="86">
        <f>J6*$G$48</f>
        <v>0</v>
      </c>
      <c r="M6" s="86">
        <v>179124579</v>
      </c>
      <c r="N6" s="86">
        <f>M6*$G$48</f>
        <v>154022928.70744407</v>
      </c>
      <c r="P6" s="86">
        <v>22514782</v>
      </c>
      <c r="Q6" s="86">
        <f>P6*$G$48</f>
        <v>19359669.578621287</v>
      </c>
      <c r="S6" s="86">
        <f>ROUND(+G6+J6+M6,0)</f>
        <v>180494800</v>
      </c>
      <c r="T6" s="86">
        <f>ROUND(+H6+K6+N6,0)</f>
        <v>155201134</v>
      </c>
      <c r="V6" s="86">
        <f>ROUND(P6,0)</f>
        <v>22514782</v>
      </c>
      <c r="W6" s="86">
        <f>ROUND(Q6,0)</f>
        <v>19359670</v>
      </c>
      <c r="Y6" s="86">
        <f t="shared" si="0"/>
        <v>1370221</v>
      </c>
      <c r="Z6" s="86">
        <f t="shared" si="0"/>
        <v>1178204.8704574637</v>
      </c>
      <c r="AA6" s="82"/>
      <c r="AB6" s="86">
        <f t="shared" si="1"/>
        <v>179124579</v>
      </c>
      <c r="AC6" s="86">
        <f t="shared" si="1"/>
        <v>154022928.70744407</v>
      </c>
      <c r="AD6" s="82"/>
      <c r="AE6" s="86">
        <f t="shared" si="2"/>
        <v>22514782</v>
      </c>
      <c r="AF6" s="86">
        <f t="shared" si="2"/>
        <v>19359669.578621287</v>
      </c>
    </row>
    <row r="7" spans="1:33" ht="12.75" x14ac:dyDescent="0.2">
      <c r="B7" s="78"/>
      <c r="C7" s="78"/>
      <c r="E7" s="77" t="s">
        <v>6</v>
      </c>
      <c r="G7" s="87">
        <f>SUM(G5:G6)</f>
        <v>1102317540</v>
      </c>
      <c r="H7" s="87">
        <f>SUM(H5:H6)</f>
        <v>947844102.8262521</v>
      </c>
      <c r="J7" s="87">
        <f>SUM(J5:J6)</f>
        <v>203305432</v>
      </c>
      <c r="K7" s="87">
        <f>SUM(K5:K6)</f>
        <v>174815194.17149401</v>
      </c>
      <c r="M7" s="87">
        <f>SUM(M5:M6)</f>
        <v>188227048</v>
      </c>
      <c r="N7" s="87">
        <f>SUM(N5:N6)</f>
        <v>161849821.82102799</v>
      </c>
      <c r="P7" s="87">
        <f>SUM(P5:P6)</f>
        <v>22514782</v>
      </c>
      <c r="Q7" s="87">
        <f>SUM(Q5:Q6)</f>
        <v>19359669.578621287</v>
      </c>
      <c r="S7" s="87">
        <f>SUM(S5:S6)</f>
        <v>1493850020</v>
      </c>
      <c r="T7" s="87">
        <f>SUM(T5:T6)</f>
        <v>1284509119</v>
      </c>
      <c r="V7" s="87">
        <f>SUM(V5:V6)</f>
        <v>22514782</v>
      </c>
      <c r="W7" s="87">
        <f>SUM(W5:W6)</f>
        <v>19359670</v>
      </c>
      <c r="Y7" s="87">
        <f t="shared" si="0"/>
        <v>1305622972</v>
      </c>
      <c r="Z7" s="87">
        <f t="shared" si="0"/>
        <v>1122659296.997746</v>
      </c>
      <c r="AA7" s="82"/>
      <c r="AB7" s="87">
        <f t="shared" si="1"/>
        <v>188227048</v>
      </c>
      <c r="AC7" s="87">
        <f t="shared" si="1"/>
        <v>161849821.82102799</v>
      </c>
      <c r="AD7" s="82"/>
      <c r="AE7" s="87">
        <f t="shared" si="2"/>
        <v>22514782</v>
      </c>
      <c r="AF7" s="87">
        <f t="shared" si="2"/>
        <v>19359669.578621287</v>
      </c>
    </row>
    <row r="8" spans="1:33" ht="12.75" x14ac:dyDescent="0.2">
      <c r="B8" s="78"/>
      <c r="C8" s="78"/>
      <c r="Y8" s="82"/>
      <c r="Z8" s="82"/>
      <c r="AA8" s="82"/>
      <c r="AB8" s="82"/>
      <c r="AC8" s="82"/>
      <c r="AD8" s="82"/>
      <c r="AE8" s="82"/>
      <c r="AF8" s="82"/>
    </row>
    <row r="9" spans="1:33" ht="12.75" x14ac:dyDescent="0.2">
      <c r="B9" s="78" t="s">
        <v>7</v>
      </c>
      <c r="C9" s="78"/>
      <c r="Y9" s="82"/>
      <c r="Z9" s="82"/>
      <c r="AA9" s="82"/>
      <c r="AB9" s="82"/>
      <c r="AC9" s="82"/>
      <c r="AD9" s="82"/>
      <c r="AE9" s="82"/>
      <c r="AF9" s="82"/>
    </row>
    <row r="10" spans="1:33" ht="12.75" x14ac:dyDescent="0.2">
      <c r="C10" s="89" t="s">
        <v>8</v>
      </c>
      <c r="F10" s="83" t="s">
        <v>83</v>
      </c>
      <c r="G10" s="84">
        <f>1032932-76473</f>
        <v>956459</v>
      </c>
      <c r="H10" s="84">
        <f>G10*$G$48</f>
        <v>822425.47165229206</v>
      </c>
      <c r="J10" s="84">
        <v>0</v>
      </c>
      <c r="K10" s="84">
        <f>J10*$G$48</f>
        <v>0</v>
      </c>
      <c r="M10" s="84">
        <v>0</v>
      </c>
      <c r="N10" s="84">
        <f>M10*$G$48</f>
        <v>0</v>
      </c>
      <c r="P10" s="84">
        <v>0</v>
      </c>
      <c r="Q10" s="84">
        <f>P10*$G$48</f>
        <v>0</v>
      </c>
      <c r="S10" s="84">
        <f t="shared" ref="S10:T12" si="3">ROUND(+G10+J10+M10,0)</f>
        <v>956459</v>
      </c>
      <c r="T10" s="84">
        <f t="shared" si="3"/>
        <v>822425</v>
      </c>
      <c r="V10" s="84">
        <f t="shared" ref="V10:W12" si="4">ROUND(P10,0)</f>
        <v>0</v>
      </c>
      <c r="W10" s="84">
        <f t="shared" si="4"/>
        <v>0</v>
      </c>
      <c r="Y10" s="84">
        <f t="shared" ref="Y10:Z10" si="5">+G10+J10</f>
        <v>956459</v>
      </c>
      <c r="Z10" s="84">
        <f t="shared" si="5"/>
        <v>822425.47165229206</v>
      </c>
      <c r="AA10" s="82"/>
      <c r="AB10" s="84">
        <f t="shared" ref="AB10:AC10" si="6">+M10</f>
        <v>0</v>
      </c>
      <c r="AC10" s="84">
        <f t="shared" si="6"/>
        <v>0</v>
      </c>
      <c r="AD10" s="82"/>
      <c r="AE10" s="84">
        <f t="shared" ref="AE10:AF10" si="7">+P10</f>
        <v>0</v>
      </c>
      <c r="AF10" s="84">
        <f t="shared" si="7"/>
        <v>0</v>
      </c>
    </row>
    <row r="11" spans="1:33" ht="12.75" x14ac:dyDescent="0.2">
      <c r="C11" s="90" t="s">
        <v>9</v>
      </c>
      <c r="F11" s="83" t="s">
        <v>83</v>
      </c>
      <c r="G11" s="84">
        <v>-69415</v>
      </c>
      <c r="H11" s="84">
        <f>G11*$G$48</f>
        <v>-59687.518351276798</v>
      </c>
      <c r="J11" s="84">
        <v>0</v>
      </c>
      <c r="K11" s="84">
        <f>J11*$G$48</f>
        <v>0</v>
      </c>
      <c r="M11" s="84">
        <f>415257</f>
        <v>415257</v>
      </c>
      <c r="N11" s="84">
        <f>M11*$G$48</f>
        <v>357064.89675136714</v>
      </c>
      <c r="P11" s="84">
        <v>0</v>
      </c>
      <c r="Q11" s="84">
        <f>P11*$G$48</f>
        <v>0</v>
      </c>
      <c r="S11" s="84">
        <f t="shared" si="3"/>
        <v>345842</v>
      </c>
      <c r="T11" s="84">
        <f t="shared" si="3"/>
        <v>297377</v>
      </c>
      <c r="V11" s="84">
        <f t="shared" si="4"/>
        <v>0</v>
      </c>
      <c r="W11" s="84">
        <f t="shared" si="4"/>
        <v>0</v>
      </c>
      <c r="Y11" s="84">
        <f t="shared" ref="Y11:Y12" si="8">+G11+J11</f>
        <v>-69415</v>
      </c>
      <c r="Z11" s="84">
        <f t="shared" ref="Z11:Z12" si="9">+H11+K11</f>
        <v>-59687.518351276798</v>
      </c>
      <c r="AA11" s="82"/>
      <c r="AB11" s="84">
        <f t="shared" ref="AB11:AB12" si="10">+M11</f>
        <v>415257</v>
      </c>
      <c r="AC11" s="84">
        <f t="shared" ref="AC11:AC12" si="11">+N11</f>
        <v>357064.89675136714</v>
      </c>
      <c r="AD11" s="82"/>
      <c r="AE11" s="84">
        <f t="shared" ref="AE11:AE12" si="12">+P11</f>
        <v>0</v>
      </c>
      <c r="AF11" s="84">
        <f t="shared" ref="AF11:AF12" si="13">+Q11</f>
        <v>0</v>
      </c>
    </row>
    <row r="12" spans="1:33" ht="15" x14ac:dyDescent="0.35">
      <c r="C12" s="90" t="s">
        <v>10</v>
      </c>
      <c r="F12" s="83" t="s">
        <v>83</v>
      </c>
      <c r="G12" s="86">
        <f>+'SuppSch-by Plan TME0312'!L35</f>
        <v>1032514</v>
      </c>
      <c r="H12" s="86">
        <f>G12*$G$48</f>
        <v>887822.49258734006</v>
      </c>
      <c r="J12" s="86">
        <f>+'SuppSch-by Plan TME0312'!M35</f>
        <v>529374</v>
      </c>
      <c r="K12" s="86">
        <f>J12*$G$48</f>
        <v>455190.09349115903</v>
      </c>
      <c r="M12" s="86">
        <f>+'SuppSch-by Plan TME0312'!N35</f>
        <v>691</v>
      </c>
      <c r="N12" s="86">
        <f>M12*$G$48</f>
        <v>594.1666092448645</v>
      </c>
      <c r="P12" s="86">
        <f>+'SuppSch-by Plan TME0312'!O35</f>
        <v>1290572</v>
      </c>
      <c r="Q12" s="86">
        <f>P12*$G$48</f>
        <v>1109717.495262465</v>
      </c>
      <c r="S12" s="91">
        <f t="shared" si="3"/>
        <v>1562579</v>
      </c>
      <c r="T12" s="91">
        <f t="shared" si="3"/>
        <v>1343607</v>
      </c>
      <c r="V12" s="91">
        <f t="shared" si="4"/>
        <v>1290572</v>
      </c>
      <c r="W12" s="91">
        <f t="shared" si="4"/>
        <v>1109717</v>
      </c>
      <c r="Y12" s="91">
        <f t="shared" si="8"/>
        <v>1561888</v>
      </c>
      <c r="Z12" s="91">
        <f t="shared" si="9"/>
        <v>1343012.586078499</v>
      </c>
      <c r="AA12" s="171"/>
      <c r="AB12" s="91">
        <f t="shared" si="10"/>
        <v>691</v>
      </c>
      <c r="AC12" s="91">
        <f t="shared" si="11"/>
        <v>594.1666092448645</v>
      </c>
      <c r="AD12" s="171"/>
      <c r="AE12" s="91">
        <f t="shared" si="12"/>
        <v>1290572</v>
      </c>
      <c r="AF12" s="91">
        <f t="shared" si="13"/>
        <v>1109717.495262465</v>
      </c>
    </row>
    <row r="13" spans="1:33" x14ac:dyDescent="0.2">
      <c r="D13" s="78"/>
      <c r="E13" s="77" t="s">
        <v>6</v>
      </c>
      <c r="G13" s="87">
        <f>SUM(G10:G12)</f>
        <v>1919558</v>
      </c>
      <c r="H13" s="87">
        <f>SUM(H10:H12)</f>
        <v>1650560.4458883554</v>
      </c>
      <c r="J13" s="87">
        <f>SUM(J10:J12)</f>
        <v>529374</v>
      </c>
      <c r="K13" s="87">
        <f>SUM(K10:K12)</f>
        <v>455190.09349115903</v>
      </c>
      <c r="M13" s="87">
        <f>SUM(M10:M12)</f>
        <v>415948</v>
      </c>
      <c r="N13" s="87">
        <f>SUM(N10:N12)</f>
        <v>357659.06336061202</v>
      </c>
      <c r="P13" s="87">
        <f>SUM(P10:P12)</f>
        <v>1290572</v>
      </c>
      <c r="Q13" s="87">
        <f>SUM(Q10:Q12)</f>
        <v>1109717.495262465</v>
      </c>
      <c r="S13" s="87">
        <f>SUM(S10:S12)</f>
        <v>2864880</v>
      </c>
      <c r="T13" s="87">
        <f>SUM(T10:T12)</f>
        <v>2463409</v>
      </c>
      <c r="V13" s="87">
        <f>SUM(V10:V12)</f>
        <v>1290572</v>
      </c>
      <c r="W13" s="87">
        <f>SUM(W10:W12)</f>
        <v>1109717</v>
      </c>
      <c r="Y13" s="87">
        <f t="shared" ref="Y13:Y52" si="14">+G13+J13</f>
        <v>2448932</v>
      </c>
      <c r="Z13" s="87">
        <f t="shared" ref="Z13:Z21" si="15">+H13+K13</f>
        <v>2105750.5393795143</v>
      </c>
      <c r="AB13" s="87">
        <f>+M13</f>
        <v>415948</v>
      </c>
      <c r="AC13" s="87">
        <f>+N13</f>
        <v>357659.06336061202</v>
      </c>
      <c r="AE13" s="84">
        <f t="shared" ref="AE13" si="16">+P13</f>
        <v>1290572</v>
      </c>
      <c r="AF13" s="84">
        <f t="shared" ref="AF13" si="17">+Q13</f>
        <v>1109717.495262465</v>
      </c>
    </row>
    <row r="14" spans="1:33" x14ac:dyDescent="0.2">
      <c r="G14" s="84"/>
      <c r="H14" s="84"/>
      <c r="J14" s="84"/>
      <c r="K14" s="84"/>
      <c r="M14" s="84"/>
      <c r="N14" s="84"/>
      <c r="P14" s="84"/>
      <c r="Q14" s="84"/>
      <c r="S14" s="84"/>
      <c r="T14" s="84"/>
      <c r="V14" s="84"/>
      <c r="W14" s="84"/>
      <c r="Y14" s="84"/>
      <c r="Z14" s="84"/>
      <c r="AB14" s="84"/>
      <c r="AC14" s="84"/>
      <c r="AE14" s="84"/>
      <c r="AF14" s="84"/>
    </row>
    <row r="15" spans="1:33" ht="12.75" x14ac:dyDescent="0.2">
      <c r="B15" s="78" t="s">
        <v>11</v>
      </c>
      <c r="C15" s="78"/>
      <c r="Y15" s="84"/>
      <c r="Z15" s="84"/>
      <c r="AA15" s="82"/>
      <c r="AB15" s="84"/>
      <c r="AC15" s="84"/>
      <c r="AD15" s="82"/>
      <c r="AE15" s="84"/>
      <c r="AF15" s="84"/>
    </row>
    <row r="16" spans="1:33" ht="12.75" x14ac:dyDescent="0.2">
      <c r="C16" s="78" t="s">
        <v>12</v>
      </c>
      <c r="F16" s="83" t="s">
        <v>83</v>
      </c>
      <c r="G16" s="84">
        <v>110516667</v>
      </c>
      <c r="H16" s="84">
        <f>G16*$G$48</f>
        <v>95029396.955765277</v>
      </c>
      <c r="J16" s="84">
        <v>10274057</v>
      </c>
      <c r="K16" s="84">
        <f>J16*$G$48</f>
        <v>8834300.4498964753</v>
      </c>
      <c r="M16" s="84">
        <v>67947</v>
      </c>
      <c r="N16" s="84">
        <f>M16*$G$48</f>
        <v>58425.236755949067</v>
      </c>
      <c r="P16" s="84">
        <v>0</v>
      </c>
      <c r="Q16" s="84">
        <f>P16*$G$48</f>
        <v>0</v>
      </c>
      <c r="S16" s="84">
        <f t="shared" ref="S16:S18" si="18">ROUND(+G16+J16+M16,0)</f>
        <v>120858671</v>
      </c>
      <c r="T16" s="84">
        <f t="shared" ref="T16:T18" si="19">ROUND(+H16+K16+N16,0)</f>
        <v>103922123</v>
      </c>
      <c r="V16" s="84">
        <f t="shared" ref="V16:W18" si="20">ROUND(P16,0)</f>
        <v>0</v>
      </c>
      <c r="W16" s="84">
        <f t="shared" si="20"/>
        <v>0</v>
      </c>
      <c r="Y16" s="84">
        <f t="shared" ref="Y16:Y18" si="21">+G16+J16</f>
        <v>120790724</v>
      </c>
      <c r="Z16" s="84">
        <f t="shared" ref="Z16:Z18" si="22">+H16+K16</f>
        <v>103863697.40566175</v>
      </c>
      <c r="AA16" s="82"/>
      <c r="AB16" s="84">
        <f t="shared" ref="AB16:AC18" si="23">+M16</f>
        <v>67947</v>
      </c>
      <c r="AC16" s="84">
        <f t="shared" si="23"/>
        <v>58425.236755949067</v>
      </c>
      <c r="AD16" s="82"/>
      <c r="AE16" s="84">
        <f t="shared" ref="AE16:AE19" si="24">+P16</f>
        <v>0</v>
      </c>
      <c r="AF16" s="84">
        <f t="shared" ref="AF16:AF19" si="25">+Q16</f>
        <v>0</v>
      </c>
    </row>
    <row r="17" spans="1:32" ht="12.75" x14ac:dyDescent="0.2">
      <c r="C17" s="78" t="s">
        <v>13</v>
      </c>
      <c r="F17" s="83" t="s">
        <v>83</v>
      </c>
      <c r="G17" s="84">
        <v>96263517</v>
      </c>
      <c r="H17" s="84">
        <f>G17*$G$48</f>
        <v>82773614.312410086</v>
      </c>
      <c r="J17" s="84">
        <v>5516516</v>
      </c>
      <c r="K17" s="84">
        <f>J17*$G$48</f>
        <v>4743458.1860565022</v>
      </c>
      <c r="M17" s="84">
        <v>170254</v>
      </c>
      <c r="N17" s="84">
        <f>M17*$G$48</f>
        <v>146395.4296532202</v>
      </c>
      <c r="P17" s="84">
        <v>0</v>
      </c>
      <c r="Q17" s="84">
        <f>P17*$G$48</f>
        <v>0</v>
      </c>
      <c r="S17" s="84">
        <f t="shared" si="18"/>
        <v>101950287</v>
      </c>
      <c r="T17" s="84">
        <f t="shared" si="19"/>
        <v>87663468</v>
      </c>
      <c r="V17" s="84">
        <f t="shared" si="20"/>
        <v>0</v>
      </c>
      <c r="W17" s="84">
        <f t="shared" si="20"/>
        <v>0</v>
      </c>
      <c r="Y17" s="84">
        <f t="shared" si="21"/>
        <v>101780033</v>
      </c>
      <c r="Z17" s="84">
        <f t="shared" si="22"/>
        <v>87517072.498466581</v>
      </c>
      <c r="AA17" s="82"/>
      <c r="AB17" s="84">
        <f t="shared" si="23"/>
        <v>170254</v>
      </c>
      <c r="AC17" s="84">
        <f t="shared" si="23"/>
        <v>146395.4296532202</v>
      </c>
      <c r="AD17" s="82"/>
      <c r="AE17" s="84">
        <f t="shared" si="24"/>
        <v>0</v>
      </c>
      <c r="AF17" s="84">
        <f t="shared" si="25"/>
        <v>0</v>
      </c>
    </row>
    <row r="18" spans="1:32" ht="15" x14ac:dyDescent="0.35">
      <c r="C18" s="78" t="s">
        <v>14</v>
      </c>
      <c r="F18" s="83" t="s">
        <v>83</v>
      </c>
      <c r="G18" s="86">
        <v>0</v>
      </c>
      <c r="H18" s="86">
        <f>G18*$G$48</f>
        <v>0</v>
      </c>
      <c r="J18" s="86">
        <v>26410795</v>
      </c>
      <c r="K18" s="86">
        <f>J18*$G$48</f>
        <v>22709714.200595111</v>
      </c>
      <c r="M18" s="86">
        <v>0</v>
      </c>
      <c r="N18" s="86">
        <f>M18*$G$48</f>
        <v>0</v>
      </c>
      <c r="P18" s="86">
        <v>0</v>
      </c>
      <c r="Q18" s="86">
        <f>P18*$G$48</f>
        <v>0</v>
      </c>
      <c r="S18" s="91">
        <f t="shared" si="18"/>
        <v>26410795</v>
      </c>
      <c r="T18" s="91">
        <f t="shared" si="19"/>
        <v>22709714</v>
      </c>
      <c r="V18" s="91">
        <f t="shared" si="20"/>
        <v>0</v>
      </c>
      <c r="W18" s="91">
        <f t="shared" si="20"/>
        <v>0</v>
      </c>
      <c r="Y18" s="91">
        <f t="shared" si="21"/>
        <v>26410795</v>
      </c>
      <c r="Z18" s="91">
        <f t="shared" si="22"/>
        <v>22709714.200595111</v>
      </c>
      <c r="AA18" s="171"/>
      <c r="AB18" s="91">
        <f t="shared" si="23"/>
        <v>0</v>
      </c>
      <c r="AC18" s="91">
        <f t="shared" si="23"/>
        <v>0</v>
      </c>
      <c r="AD18" s="171"/>
      <c r="AE18" s="91">
        <f t="shared" si="24"/>
        <v>0</v>
      </c>
      <c r="AF18" s="91">
        <f t="shared" si="25"/>
        <v>0</v>
      </c>
    </row>
    <row r="19" spans="1:32" x14ac:dyDescent="0.2">
      <c r="D19" s="78"/>
      <c r="E19" s="77" t="s">
        <v>6</v>
      </c>
      <c r="G19" s="87">
        <f>SUM(G16:G18)</f>
        <v>206780184</v>
      </c>
      <c r="H19" s="87">
        <f>SUM(H16:H18)</f>
        <v>177803011.26817536</v>
      </c>
      <c r="J19" s="87">
        <f>SUM(J16:J18)</f>
        <v>42201368</v>
      </c>
      <c r="K19" s="87">
        <f>SUM(K16:K18)</f>
        <v>36287472.83654809</v>
      </c>
      <c r="M19" s="87">
        <f>SUM(M16:M18)</f>
        <v>238201</v>
      </c>
      <c r="N19" s="87">
        <f>SUM(N16:N18)</f>
        <v>204820.66640916927</v>
      </c>
      <c r="P19" s="87">
        <f>SUM(P16:P18)</f>
        <v>0</v>
      </c>
      <c r="Q19" s="87">
        <f>SUM(Q16:Q18)</f>
        <v>0</v>
      </c>
      <c r="S19" s="87">
        <f>SUM(S16:S18)</f>
        <v>249219753</v>
      </c>
      <c r="T19" s="87">
        <f>SUM(T16:T18)</f>
        <v>214295305</v>
      </c>
      <c r="V19" s="87">
        <f>SUM(V16:V18)</f>
        <v>0</v>
      </c>
      <c r="W19" s="87">
        <f>SUM(W16:W18)</f>
        <v>0</v>
      </c>
      <c r="Y19" s="87">
        <f t="shared" si="14"/>
        <v>248981552</v>
      </c>
      <c r="Z19" s="87">
        <f t="shared" si="15"/>
        <v>214090484.10472345</v>
      </c>
      <c r="AB19" s="87">
        <f>+M19</f>
        <v>238201</v>
      </c>
      <c r="AC19" s="87">
        <f>+N19</f>
        <v>204820.66640916927</v>
      </c>
      <c r="AE19" s="84">
        <f t="shared" si="24"/>
        <v>0</v>
      </c>
      <c r="AF19" s="84">
        <f t="shared" si="25"/>
        <v>0</v>
      </c>
    </row>
    <row r="20" spans="1:32" x14ac:dyDescent="0.2">
      <c r="G20" s="84"/>
      <c r="J20" s="84"/>
      <c r="M20" s="84"/>
      <c r="P20" s="84"/>
      <c r="S20" s="84"/>
      <c r="V20" s="84"/>
      <c r="W20" s="84"/>
      <c r="Y20" s="84"/>
      <c r="AB20" s="84"/>
      <c r="AC20" s="84"/>
      <c r="AE20" s="84"/>
    </row>
    <row r="21" spans="1:32" ht="13.5" x14ac:dyDescent="0.35">
      <c r="D21" s="77" t="s">
        <v>3</v>
      </c>
      <c r="G21" s="92">
        <f>G7+G13-G19</f>
        <v>897456914</v>
      </c>
      <c r="H21" s="92">
        <f>G21*$G$48</f>
        <v>771691652.00396514</v>
      </c>
      <c r="J21" s="92">
        <f>J7+J13-J19</f>
        <v>161633438</v>
      </c>
      <c r="K21" s="92">
        <f>J21*$G$48</f>
        <v>138982911.42843708</v>
      </c>
      <c r="M21" s="92">
        <f>M7+M13-M19</f>
        <v>188404795</v>
      </c>
      <c r="N21" s="92">
        <f>M21*$G$48</f>
        <v>162002660.21797946</v>
      </c>
      <c r="P21" s="92">
        <f>P7+P13-P19</f>
        <v>23805354</v>
      </c>
      <c r="Q21" s="92">
        <f>P21*$G$48</f>
        <v>20469387.07388375</v>
      </c>
      <c r="S21" s="92">
        <f t="shared" ref="S21" si="26">ROUND(+G21+J21+M21,0)</f>
        <v>1247495147</v>
      </c>
      <c r="T21" s="92">
        <f t="shared" ref="T21" si="27">ROUND(+H21+K21+N21,0)</f>
        <v>1072677224</v>
      </c>
      <c r="V21" s="92">
        <f>ROUND(P21,0)</f>
        <v>23805354</v>
      </c>
      <c r="W21" s="92">
        <f>ROUND(Q21,0)</f>
        <v>20469387</v>
      </c>
      <c r="Y21" s="92">
        <f t="shared" si="14"/>
        <v>1059090352</v>
      </c>
      <c r="Z21" s="92">
        <f t="shared" si="15"/>
        <v>910674563.43240225</v>
      </c>
      <c r="AB21" s="92">
        <f>+M21</f>
        <v>188404795</v>
      </c>
      <c r="AC21" s="92">
        <f>+N21</f>
        <v>162002660.21797946</v>
      </c>
      <c r="AE21" s="92">
        <f t="shared" ref="AE21" si="28">+P21</f>
        <v>23805354</v>
      </c>
      <c r="AF21" s="92">
        <f t="shared" ref="AF21" si="29">+Q21</f>
        <v>20469387.07388375</v>
      </c>
    </row>
    <row r="22" spans="1:32" x14ac:dyDescent="0.2">
      <c r="G22" s="84"/>
      <c r="J22" s="84"/>
      <c r="M22" s="84"/>
      <c r="P22" s="84"/>
      <c r="S22" s="84"/>
      <c r="V22" s="84"/>
      <c r="W22" s="84"/>
      <c r="Y22" s="84"/>
      <c r="AB22" s="84"/>
      <c r="AC22" s="84"/>
      <c r="AE22" s="84"/>
    </row>
    <row r="23" spans="1:32" x14ac:dyDescent="0.2">
      <c r="B23" s="77" t="s">
        <v>15</v>
      </c>
      <c r="F23" s="93" t="s">
        <v>84</v>
      </c>
      <c r="G23" s="94">
        <v>0.1056</v>
      </c>
      <c r="J23" s="94">
        <v>0.1056</v>
      </c>
      <c r="M23" s="94">
        <v>0.1056</v>
      </c>
      <c r="P23" s="94">
        <v>0.1013</v>
      </c>
      <c r="S23" s="94">
        <f>+Y23</f>
        <v>0.1056</v>
      </c>
      <c r="T23" s="95">
        <f>+S23</f>
        <v>0.1056</v>
      </c>
      <c r="V23" s="94">
        <f>+AE23</f>
        <v>0.1013</v>
      </c>
      <c r="W23" s="95">
        <f>+V23</f>
        <v>0.1013</v>
      </c>
      <c r="Y23" s="94">
        <f>+$G$23</f>
        <v>0.1056</v>
      </c>
      <c r="Z23" s="95">
        <f>+Y23</f>
        <v>0.1056</v>
      </c>
      <c r="AB23" s="94">
        <f>+$M$23</f>
        <v>0.1056</v>
      </c>
      <c r="AC23" s="95">
        <f>+AB23</f>
        <v>0.1056</v>
      </c>
      <c r="AE23" s="94">
        <f>+$P$23</f>
        <v>0.1013</v>
      </c>
      <c r="AF23" s="95">
        <f>+AE23</f>
        <v>0.1013</v>
      </c>
    </row>
    <row r="25" spans="1:32" ht="13.5" x14ac:dyDescent="0.35">
      <c r="A25" s="96" t="s">
        <v>16</v>
      </c>
      <c r="G25" s="92">
        <f>G21*G23</f>
        <v>94771450.118399993</v>
      </c>
      <c r="H25" s="92">
        <f>G25*$G$48</f>
        <v>81490638.451618716</v>
      </c>
      <c r="J25" s="92">
        <f>J21*J23</f>
        <v>17068491.0528</v>
      </c>
      <c r="K25" s="92">
        <f>J25*$G$48</f>
        <v>14676595.446842957</v>
      </c>
      <c r="M25" s="92">
        <f>M21*M23</f>
        <v>19895546.351999998</v>
      </c>
      <c r="N25" s="92">
        <f>M25*$G$48</f>
        <v>17107480.919018626</v>
      </c>
      <c r="P25" s="92">
        <f>P21*P23</f>
        <v>2411482.3602</v>
      </c>
      <c r="Q25" s="92">
        <f>P25*$G$48</f>
        <v>2073548.9105844239</v>
      </c>
      <c r="S25" s="92">
        <f t="shared" ref="S25" si="30">ROUND(+G25+J25+M25,0)</f>
        <v>131735488</v>
      </c>
      <c r="T25" s="92">
        <f t="shared" ref="T25" si="31">ROUND(+H25+K25+N25,0)</f>
        <v>113274715</v>
      </c>
      <c r="V25" s="92">
        <f>ROUND(P25,0)</f>
        <v>2411482</v>
      </c>
      <c r="W25" s="92">
        <f>ROUND(Q25,0)</f>
        <v>2073549</v>
      </c>
      <c r="Y25" s="92">
        <f t="shared" ref="Y25" si="32">+G25+J25</f>
        <v>111839941.17119999</v>
      </c>
      <c r="Z25" s="92">
        <f t="shared" ref="Z25" si="33">+H25+K25</f>
        <v>96167233.89846167</v>
      </c>
      <c r="AB25" s="92">
        <f>+M25</f>
        <v>19895546.351999998</v>
      </c>
      <c r="AC25" s="92">
        <f>+N25</f>
        <v>17107480.919018626</v>
      </c>
      <c r="AE25" s="92">
        <f t="shared" ref="AE25" si="34">+P25</f>
        <v>2411482.3602</v>
      </c>
      <c r="AF25" s="92">
        <f t="shared" ref="AF25" si="35">+Q25</f>
        <v>2073548.9105844239</v>
      </c>
    </row>
    <row r="26" spans="1:32" x14ac:dyDescent="0.2">
      <c r="H26" s="97"/>
      <c r="K26" s="97"/>
      <c r="N26" s="97"/>
      <c r="Q26" s="97"/>
      <c r="T26" s="97"/>
      <c r="Z26" s="97"/>
      <c r="AF26" s="97"/>
    </row>
    <row r="27" spans="1:32" x14ac:dyDescent="0.2">
      <c r="A27" s="77" t="s">
        <v>17</v>
      </c>
      <c r="G27" s="98"/>
      <c r="J27" s="98"/>
      <c r="M27" s="98"/>
      <c r="P27" s="98"/>
      <c r="S27" s="98"/>
      <c r="V27" s="98"/>
      <c r="W27" s="98"/>
      <c r="Y27" s="98"/>
      <c r="AB27" s="98"/>
      <c r="AC27" s="98"/>
      <c r="AE27" s="98"/>
    </row>
    <row r="28" spans="1:32" ht="12.75" x14ac:dyDescent="0.2">
      <c r="B28" s="77" t="s">
        <v>18</v>
      </c>
      <c r="F28" s="77" t="s">
        <v>19</v>
      </c>
      <c r="G28" s="84">
        <f>+'SuppSch-by Plan TME0312'!B19</f>
        <v>39387183</v>
      </c>
      <c r="H28" s="84">
        <f>G28*$G$48</f>
        <v>33867654.082224265</v>
      </c>
      <c r="J28" s="84">
        <f>+'SuppSch-by Plan TME0312'!K19</f>
        <v>8222063</v>
      </c>
      <c r="K28" s="84">
        <f>J28*$G$48</f>
        <v>7069862.9431369873</v>
      </c>
      <c r="M28" s="84">
        <f>+'SuppSch-by Plan TME0312'!T19</f>
        <v>67946</v>
      </c>
      <c r="N28" s="84">
        <f t="shared" ref="N28:N33" si="36">M28*$G$48</f>
        <v>58424.376891102118</v>
      </c>
      <c r="P28" s="84">
        <f>+'SuppSch-by Plan TME0312'!AD19</f>
        <v>0</v>
      </c>
      <c r="Q28" s="84">
        <f>P28*$G$48</f>
        <v>0</v>
      </c>
      <c r="S28" s="84">
        <f t="shared" ref="S28:S33" si="37">ROUND(+G28+J28+M28,0)</f>
        <v>47677192</v>
      </c>
      <c r="T28" s="84">
        <f t="shared" ref="T28:T33" si="38">ROUND(+H28+K28+N28,0)</f>
        <v>40995941</v>
      </c>
      <c r="V28" s="84">
        <f t="shared" ref="V28:W31" si="39">ROUND(P28,0)</f>
        <v>0</v>
      </c>
      <c r="W28" s="84">
        <f t="shared" si="39"/>
        <v>0</v>
      </c>
      <c r="Y28" s="84">
        <f t="shared" ref="Y28" si="40">+G28+J28</f>
        <v>47609246</v>
      </c>
      <c r="Z28" s="84">
        <f t="shared" ref="Z28" si="41">+H28+K28</f>
        <v>40937517.025361255</v>
      </c>
      <c r="AA28" s="82"/>
      <c r="AB28" s="84">
        <f t="shared" ref="AB28:AC28" si="42">+M28</f>
        <v>67946</v>
      </c>
      <c r="AC28" s="84">
        <f t="shared" si="42"/>
        <v>58424.376891102118</v>
      </c>
      <c r="AD28" s="82"/>
      <c r="AE28" s="84">
        <f t="shared" ref="AE28" si="43">+P28</f>
        <v>0</v>
      </c>
      <c r="AF28" s="84">
        <f t="shared" ref="AF28" si="44">+Q28</f>
        <v>0</v>
      </c>
    </row>
    <row r="29" spans="1:32" ht="12.75" x14ac:dyDescent="0.2">
      <c r="B29" s="77" t="s">
        <v>20</v>
      </c>
      <c r="F29" s="77" t="s">
        <v>19</v>
      </c>
      <c r="G29" s="84">
        <f>+'SuppSch-by Plan TME0312'!C19</f>
        <v>1562260</v>
      </c>
      <c r="H29" s="84">
        <f>G29*$G$48</f>
        <v>1343332.4558015659</v>
      </c>
      <c r="J29" s="84">
        <f>+'SuppSch-by Plan TME0312'!L19</f>
        <v>297096</v>
      </c>
      <c r="K29" s="84">
        <f>J29*$G$48</f>
        <v>255462.40657049531</v>
      </c>
      <c r="M29" s="84">
        <f>+'SuppSch-by Plan TME0312'!U19</f>
        <v>110397</v>
      </c>
      <c r="N29" s="84">
        <f t="shared" si="36"/>
        <v>94926.4995091249</v>
      </c>
      <c r="P29" s="84">
        <f>+'SuppSch-by Plan TME0312'!AE19</f>
        <v>7221</v>
      </c>
      <c r="Q29" s="84">
        <f>P29*$G$48</f>
        <v>6209.0840598511813</v>
      </c>
      <c r="S29" s="84">
        <f t="shared" si="37"/>
        <v>1969753</v>
      </c>
      <c r="T29" s="84">
        <f t="shared" si="38"/>
        <v>1693721</v>
      </c>
      <c r="V29" s="84">
        <f t="shared" si="39"/>
        <v>7221</v>
      </c>
      <c r="W29" s="84">
        <f t="shared" si="39"/>
        <v>6209</v>
      </c>
      <c r="Y29" s="84">
        <f t="shared" ref="Y29:Y33" si="45">+G29+J29</f>
        <v>1859356</v>
      </c>
      <c r="Z29" s="84">
        <f t="shared" ref="Z29:Z33" si="46">+H29+K29</f>
        <v>1598794.8623720612</v>
      </c>
      <c r="AA29" s="82"/>
      <c r="AB29" s="84">
        <f t="shared" ref="AB29:AC33" si="47">+M29</f>
        <v>110397</v>
      </c>
      <c r="AC29" s="84">
        <f t="shared" si="47"/>
        <v>94926.4995091249</v>
      </c>
      <c r="AD29" s="82"/>
      <c r="AE29" s="84">
        <f t="shared" ref="AE29:AE33" si="48">+P29</f>
        <v>7221</v>
      </c>
      <c r="AF29" s="84">
        <f t="shared" ref="AF29:AF33" si="49">+Q29</f>
        <v>6209.0840598511813</v>
      </c>
    </row>
    <row r="30" spans="1:32" ht="12.75" x14ac:dyDescent="0.2">
      <c r="B30" s="99" t="s">
        <v>21</v>
      </c>
      <c r="F30" s="77" t="s">
        <v>19</v>
      </c>
      <c r="G30" s="84">
        <f>SUM('SuppSch-by Plan TME0312'!D19:F19)</f>
        <v>8260111</v>
      </c>
      <c r="H30" s="84">
        <f>G30*$G$48</f>
        <v>7102579.0808338737</v>
      </c>
      <c r="J30" s="84">
        <f>SUM('SuppSch-by Plan TME0312'!M19:O19)</f>
        <v>4234990</v>
      </c>
      <c r="K30" s="84">
        <f>J30*$G$48</f>
        <v>3641519.0281995782</v>
      </c>
      <c r="M30" s="84">
        <f>SUM('SuppSch-by Plan TME0312'!V19:X19)</f>
        <v>0</v>
      </c>
      <c r="N30" s="84">
        <f t="shared" si="36"/>
        <v>0</v>
      </c>
      <c r="P30" s="84">
        <f>SUM('SuppSch-by Plan TME0312'!AF19:AH19)</f>
        <v>10324589.609999999</v>
      </c>
      <c r="Q30" s="84">
        <f>P30*$G$48</f>
        <v>8877751.6648602858</v>
      </c>
      <c r="S30" s="84">
        <f t="shared" si="37"/>
        <v>12495101</v>
      </c>
      <c r="T30" s="84">
        <f t="shared" si="38"/>
        <v>10744098</v>
      </c>
      <c r="V30" s="84">
        <f t="shared" si="39"/>
        <v>10324590</v>
      </c>
      <c r="W30" s="84">
        <f t="shared" si="39"/>
        <v>8877752</v>
      </c>
      <c r="Y30" s="84">
        <f t="shared" si="45"/>
        <v>12495101</v>
      </c>
      <c r="Z30" s="84">
        <f t="shared" si="46"/>
        <v>10744098.109033452</v>
      </c>
      <c r="AA30" s="82"/>
      <c r="AB30" s="84">
        <f t="shared" si="47"/>
        <v>0</v>
      </c>
      <c r="AC30" s="84">
        <f t="shared" si="47"/>
        <v>0</v>
      </c>
      <c r="AD30" s="82"/>
      <c r="AE30" s="84">
        <f t="shared" si="48"/>
        <v>10324589.609999999</v>
      </c>
      <c r="AF30" s="84">
        <f t="shared" si="49"/>
        <v>8877751.6648602858</v>
      </c>
    </row>
    <row r="31" spans="1:32" ht="12.75" x14ac:dyDescent="0.2">
      <c r="B31" s="99" t="s">
        <v>22</v>
      </c>
      <c r="F31" s="77" t="s">
        <v>19</v>
      </c>
      <c r="G31" s="84">
        <f>+'SuppSch-by Plan TME0312'!G19</f>
        <v>-58344</v>
      </c>
      <c r="H31" s="84">
        <f>G31*$G$48</f>
        <v>-50167.954630654662</v>
      </c>
      <c r="J31" s="84">
        <v>0</v>
      </c>
      <c r="K31" s="84">
        <v>0</v>
      </c>
      <c r="M31" s="84">
        <f>+'SuppSch-by Plan TME0312'!Y19</f>
        <v>123951</v>
      </c>
      <c r="N31" s="84">
        <f t="shared" si="36"/>
        <v>106581.10764473256</v>
      </c>
      <c r="P31" s="84">
        <v>0</v>
      </c>
      <c r="Q31" s="84">
        <v>0</v>
      </c>
      <c r="S31" s="84">
        <f t="shared" ref="S31" si="50">ROUND(+G31+J31+M31,0)</f>
        <v>65607</v>
      </c>
      <c r="T31" s="84">
        <f t="shared" ref="T31" si="51">ROUND(+H31+K31+N31,0)</f>
        <v>56413</v>
      </c>
      <c r="V31" s="84">
        <f t="shared" si="39"/>
        <v>0</v>
      </c>
      <c r="W31" s="84">
        <f t="shared" si="39"/>
        <v>0</v>
      </c>
      <c r="Y31" s="84">
        <f t="shared" ref="Y31" si="52">+G31+J31</f>
        <v>-58344</v>
      </c>
      <c r="Z31" s="84">
        <f t="shared" ref="Z31" si="53">+H31+K31</f>
        <v>-50167.954630654662</v>
      </c>
      <c r="AA31" s="82"/>
      <c r="AB31" s="84">
        <f t="shared" ref="AB31" si="54">+M31</f>
        <v>123951</v>
      </c>
      <c r="AC31" s="84">
        <f t="shared" ref="AC31" si="55">+N31</f>
        <v>106581.10764473256</v>
      </c>
      <c r="AD31" s="82"/>
      <c r="AE31" s="84">
        <f t="shared" ref="AE31" si="56">+P31</f>
        <v>0</v>
      </c>
      <c r="AF31" s="84">
        <f t="shared" ref="AF31" si="57">+Q31</f>
        <v>0</v>
      </c>
    </row>
    <row r="32" spans="1:32" ht="12.75" x14ac:dyDescent="0.2">
      <c r="B32" s="99" t="s">
        <v>89</v>
      </c>
      <c r="F32" s="77" t="s">
        <v>19</v>
      </c>
      <c r="G32" s="84">
        <v>0</v>
      </c>
      <c r="H32" s="84">
        <v>0</v>
      </c>
      <c r="J32" s="84">
        <v>0</v>
      </c>
      <c r="K32" s="84">
        <v>0</v>
      </c>
      <c r="M32" s="84">
        <f>+'SuppSch-by Plan TME0312'!Z19</f>
        <v>5524.2</v>
      </c>
      <c r="N32" s="84">
        <f t="shared" si="36"/>
        <v>4750.0653875404923</v>
      </c>
      <c r="P32" s="84">
        <v>0</v>
      </c>
      <c r="Q32" s="84">
        <v>0</v>
      </c>
      <c r="S32" s="84">
        <f t="shared" ref="S32" si="58">ROUND(+G32+J32+M32,0)</f>
        <v>5524</v>
      </c>
      <c r="T32" s="84">
        <f t="shared" ref="T32" si="59">ROUND(+H32+K32+N32,0)</f>
        <v>4750</v>
      </c>
      <c r="V32" s="84">
        <f t="shared" ref="V32:W32" si="60">ROUND(P32,0)</f>
        <v>0</v>
      </c>
      <c r="W32" s="84">
        <f t="shared" si="60"/>
        <v>0</v>
      </c>
      <c r="Y32" s="84">
        <f t="shared" ref="Y32" si="61">+G32+J32</f>
        <v>0</v>
      </c>
      <c r="Z32" s="84">
        <f t="shared" ref="Z32" si="62">+H32+K32</f>
        <v>0</v>
      </c>
      <c r="AA32" s="82"/>
      <c r="AB32" s="84">
        <f t="shared" ref="AB32" si="63">+M32</f>
        <v>5524.2</v>
      </c>
      <c r="AC32" s="84">
        <f t="shared" ref="AC32" si="64">+N32</f>
        <v>4750.0653875404923</v>
      </c>
      <c r="AD32" s="82"/>
      <c r="AE32" s="84">
        <f t="shared" ref="AE32" si="65">+P32</f>
        <v>0</v>
      </c>
      <c r="AF32" s="84">
        <f t="shared" ref="AF32" si="66">+Q32</f>
        <v>0</v>
      </c>
    </row>
    <row r="33" spans="1:32" ht="15" x14ac:dyDescent="0.35">
      <c r="B33" s="99" t="s">
        <v>90</v>
      </c>
      <c r="F33" s="77" t="s">
        <v>19</v>
      </c>
      <c r="G33" s="91">
        <v>0</v>
      </c>
      <c r="H33" s="91">
        <f>G33*$G$48</f>
        <v>0</v>
      </c>
      <c r="J33" s="91">
        <f>+'SuppSch-by Plan TME0312'!P19</f>
        <v>0</v>
      </c>
      <c r="K33" s="91">
        <f>J33*$G$48</f>
        <v>0</v>
      </c>
      <c r="M33" s="91">
        <v>0</v>
      </c>
      <c r="N33" s="91">
        <f t="shared" si="36"/>
        <v>0</v>
      </c>
      <c r="P33" s="91">
        <f>+'SuppSch-by Plan TME0312'!AI19</f>
        <v>104548.19</v>
      </c>
      <c r="Q33" s="91">
        <f>P33*$G$48</f>
        <v>89897.313393614837</v>
      </c>
      <c r="S33" s="91">
        <f t="shared" si="37"/>
        <v>0</v>
      </c>
      <c r="T33" s="91">
        <f t="shared" si="38"/>
        <v>0</v>
      </c>
      <c r="V33" s="91">
        <f>ROUND(P33,0)</f>
        <v>104548</v>
      </c>
      <c r="W33" s="91">
        <f>ROUND(Q33,0)</f>
        <v>89897</v>
      </c>
      <c r="Y33" s="91">
        <f t="shared" si="45"/>
        <v>0</v>
      </c>
      <c r="Z33" s="91">
        <f t="shared" si="46"/>
        <v>0</v>
      </c>
      <c r="AA33" s="171"/>
      <c r="AB33" s="91">
        <f t="shared" si="47"/>
        <v>0</v>
      </c>
      <c r="AC33" s="91">
        <f t="shared" si="47"/>
        <v>0</v>
      </c>
      <c r="AD33" s="171"/>
      <c r="AE33" s="91">
        <f t="shared" si="48"/>
        <v>104548.19</v>
      </c>
      <c r="AF33" s="91">
        <f t="shared" si="49"/>
        <v>89897.313393614837</v>
      </c>
    </row>
    <row r="34" spans="1:32" x14ac:dyDescent="0.2">
      <c r="G34" s="84"/>
      <c r="J34" s="84"/>
      <c r="M34" s="84"/>
      <c r="P34" s="84"/>
      <c r="S34" s="84"/>
      <c r="V34" s="84"/>
      <c r="W34" s="84"/>
      <c r="Y34" s="84"/>
      <c r="AB34" s="84"/>
      <c r="AC34" s="84"/>
      <c r="AE34" s="84"/>
    </row>
    <row r="35" spans="1:32" ht="13.5" x14ac:dyDescent="0.35">
      <c r="A35" s="96" t="s">
        <v>23</v>
      </c>
      <c r="G35" s="92">
        <f>SUM(G28:G34)</f>
        <v>49151210</v>
      </c>
      <c r="H35" s="92">
        <f>SUM(H28:H34)</f>
        <v>42263397.66422905</v>
      </c>
      <c r="J35" s="92">
        <f>SUM(J28:J34)</f>
        <v>12754149</v>
      </c>
      <c r="K35" s="92">
        <f>SUM(K28:K34)</f>
        <v>10966844.37790706</v>
      </c>
      <c r="M35" s="92">
        <f>SUM(M28:M34)</f>
        <v>307818.2</v>
      </c>
      <c r="N35" s="92">
        <f>SUM(N28:N34)</f>
        <v>264682.04943250009</v>
      </c>
      <c r="P35" s="92">
        <f>SUM(P28:P34)</f>
        <v>10436358.799999999</v>
      </c>
      <c r="Q35" s="92">
        <f>SUM(Q28:Q34)</f>
        <v>8973858.0623137522</v>
      </c>
      <c r="S35" s="92">
        <f t="shared" ref="S35" si="67">ROUND(+G35+J35+M35,0)</f>
        <v>62213177</v>
      </c>
      <c r="T35" s="92">
        <f t="shared" ref="T35" si="68">ROUND(+H35+K35+N35,0)</f>
        <v>53494924</v>
      </c>
      <c r="V35" s="92">
        <f>ROUND(P35,0)</f>
        <v>10436359</v>
      </c>
      <c r="W35" s="92">
        <f>ROUND(Q35,0)</f>
        <v>8973858</v>
      </c>
      <c r="Y35" s="92">
        <f t="shared" ref="Y35" si="69">+G35+J35</f>
        <v>61905359</v>
      </c>
      <c r="Z35" s="92">
        <f t="shared" ref="Z35" si="70">+H35+K35</f>
        <v>53230242.04213611</v>
      </c>
      <c r="AB35" s="92">
        <f>+M35</f>
        <v>307818.2</v>
      </c>
      <c r="AC35" s="92">
        <f>+N35</f>
        <v>264682.04943250009</v>
      </c>
      <c r="AE35" s="92">
        <f t="shared" ref="AE35" si="71">+P35</f>
        <v>10436358.799999999</v>
      </c>
      <c r="AF35" s="92">
        <f t="shared" ref="AF35" si="72">+Q35</f>
        <v>8973858.0623137522</v>
      </c>
    </row>
    <row r="37" spans="1:32" ht="12.75" x14ac:dyDescent="0.2">
      <c r="A37" s="100" t="s">
        <v>95</v>
      </c>
      <c r="F37" s="77" t="s">
        <v>24</v>
      </c>
      <c r="G37" s="84">
        <f>+'SuppSch-by Plan TME0312'!$C$40</f>
        <v>-280396</v>
      </c>
      <c r="H37" s="97">
        <f>G37*$G$48</f>
        <v>-241102.66362637197</v>
      </c>
      <c r="J37" s="84">
        <v>0</v>
      </c>
      <c r="K37" s="97">
        <v>0</v>
      </c>
      <c r="M37" s="84">
        <v>0</v>
      </c>
      <c r="N37" s="97">
        <v>0</v>
      </c>
      <c r="P37" s="84">
        <v>0</v>
      </c>
      <c r="Q37" s="97">
        <v>0</v>
      </c>
      <c r="S37" s="84">
        <f t="shared" ref="S37" si="73">ROUND(+G37+J37+M37,0)</f>
        <v>-280396</v>
      </c>
      <c r="T37" s="84">
        <f t="shared" ref="T37" si="74">ROUND(+H37+K37+N37,0)</f>
        <v>-241103</v>
      </c>
      <c r="V37" s="84">
        <f>ROUND(P37,0)</f>
        <v>0</v>
      </c>
      <c r="W37" s="84">
        <f>ROUND(Q37,0)</f>
        <v>0</v>
      </c>
      <c r="Y37" s="84">
        <f t="shared" ref="Y37" si="75">+G37+J37</f>
        <v>-280396</v>
      </c>
      <c r="Z37" s="84">
        <f t="shared" ref="Z37" si="76">+H37+K37</f>
        <v>-241102.66362637197</v>
      </c>
      <c r="AA37" s="82"/>
      <c r="AB37" s="84">
        <f t="shared" ref="AB37:AC37" si="77">+M37</f>
        <v>0</v>
      </c>
      <c r="AC37" s="84">
        <f t="shared" si="77"/>
        <v>0</v>
      </c>
      <c r="AD37" s="82"/>
      <c r="AE37" s="84">
        <f t="shared" ref="AE37" si="78">+P37</f>
        <v>0</v>
      </c>
      <c r="AF37" s="84">
        <f t="shared" ref="AF37" si="79">+Q37</f>
        <v>0</v>
      </c>
    </row>
    <row r="38" spans="1:32" ht="12.75" x14ac:dyDescent="0.2">
      <c r="A38" s="96" t="s">
        <v>93</v>
      </c>
      <c r="F38" s="77" t="s">
        <v>24</v>
      </c>
      <c r="G38" s="84">
        <v>0</v>
      </c>
      <c r="H38" s="97">
        <v>0</v>
      </c>
      <c r="J38" s="84"/>
      <c r="K38" s="97"/>
      <c r="M38" s="84">
        <f>+'SuppSch-by Plan TME0312'!$B$40</f>
        <v>1751</v>
      </c>
      <c r="N38" s="97">
        <f>M38*$G$48</f>
        <v>1505.6233470155682</v>
      </c>
      <c r="P38" s="84"/>
      <c r="Q38" s="97"/>
      <c r="S38" s="84">
        <f t="shared" ref="S38" si="80">ROUND(+G38+J38+M38,0)</f>
        <v>1751</v>
      </c>
      <c r="T38" s="84">
        <f t="shared" ref="T38" si="81">ROUND(+H38+K38+N38,0)</f>
        <v>1506</v>
      </c>
      <c r="V38" s="84"/>
      <c r="W38" s="84"/>
      <c r="Y38" s="84">
        <f t="shared" ref="Y38" si="82">+G38+J38</f>
        <v>0</v>
      </c>
      <c r="Z38" s="84">
        <f t="shared" ref="Z38" si="83">+H38+K38</f>
        <v>0</v>
      </c>
      <c r="AA38" s="82"/>
      <c r="AB38" s="84">
        <f t="shared" ref="AB38" si="84">+M38</f>
        <v>1751</v>
      </c>
      <c r="AC38" s="84">
        <f t="shared" ref="AC38" si="85">+N38</f>
        <v>1505.6233470155682</v>
      </c>
      <c r="AD38" s="82"/>
      <c r="AE38" s="84">
        <f t="shared" ref="AE38" si="86">+P38</f>
        <v>0</v>
      </c>
      <c r="AF38" s="84">
        <f t="shared" ref="AF38" si="87">+Q38</f>
        <v>0</v>
      </c>
    </row>
    <row r="40" spans="1:32" x14ac:dyDescent="0.2">
      <c r="A40" s="96" t="s">
        <v>73</v>
      </c>
    </row>
    <row r="42" spans="1:32" ht="12.75" x14ac:dyDescent="0.2">
      <c r="B42" s="77" t="s">
        <v>16</v>
      </c>
      <c r="G42" s="84">
        <f>G25</f>
        <v>94771450.118399993</v>
      </c>
      <c r="H42" s="84">
        <f>H25</f>
        <v>81490638.451618716</v>
      </c>
      <c r="J42" s="84">
        <f>J25</f>
        <v>17068491.0528</v>
      </c>
      <c r="K42" s="84">
        <f>K25</f>
        <v>14676595.446842957</v>
      </c>
      <c r="M42" s="84">
        <f>M25</f>
        <v>19895546.351999998</v>
      </c>
      <c r="N42" s="84">
        <f>N25</f>
        <v>17107480.919018626</v>
      </c>
      <c r="P42" s="84">
        <f>P25</f>
        <v>2411482.3602</v>
      </c>
      <c r="Q42" s="84">
        <f>Q25</f>
        <v>2073548.9105844239</v>
      </c>
      <c r="S42" s="84">
        <f t="shared" ref="S42:S44" si="88">ROUND(+G42+J42+M42,0)</f>
        <v>131735488</v>
      </c>
      <c r="T42" s="84">
        <f t="shared" ref="T42:T44" si="89">ROUND(+H42+K42+N42,0)</f>
        <v>113274715</v>
      </c>
      <c r="V42" s="84">
        <f t="shared" ref="V42:W44" si="90">ROUND(P42,0)</f>
        <v>2411482</v>
      </c>
      <c r="W42" s="84">
        <f t="shared" si="90"/>
        <v>2073549</v>
      </c>
      <c r="Y42" s="84">
        <f t="shared" ref="Y42:Y44" si="91">+G42+J42</f>
        <v>111839941.17119999</v>
      </c>
      <c r="Z42" s="84">
        <f t="shared" ref="Z42:Z44" si="92">+H42+K42</f>
        <v>96167233.89846167</v>
      </c>
      <c r="AA42" s="82"/>
      <c r="AB42" s="84">
        <f t="shared" ref="AB42:AC44" si="93">+M42</f>
        <v>19895546.351999998</v>
      </c>
      <c r="AC42" s="84">
        <f t="shared" si="93"/>
        <v>17107480.919018626</v>
      </c>
      <c r="AD42" s="82"/>
      <c r="AE42" s="84">
        <f t="shared" ref="AE42:AE44" si="94">+P42</f>
        <v>2411482.3602</v>
      </c>
      <c r="AF42" s="84">
        <f t="shared" ref="AF42:AF44" si="95">+Q42</f>
        <v>2073548.9105844239</v>
      </c>
    </row>
    <row r="43" spans="1:32" ht="12.75" x14ac:dyDescent="0.2">
      <c r="B43" s="77" t="s">
        <v>17</v>
      </c>
      <c r="G43" s="84">
        <f>G35</f>
        <v>49151210</v>
      </c>
      <c r="H43" s="84">
        <f>H35</f>
        <v>42263397.66422905</v>
      </c>
      <c r="J43" s="84">
        <f>J35</f>
        <v>12754149</v>
      </c>
      <c r="K43" s="84">
        <f>K35</f>
        <v>10966844.37790706</v>
      </c>
      <c r="M43" s="84">
        <f>M35</f>
        <v>307818.2</v>
      </c>
      <c r="N43" s="84">
        <f>N35</f>
        <v>264682.04943250009</v>
      </c>
      <c r="P43" s="84">
        <f>P35</f>
        <v>10436358.799999999</v>
      </c>
      <c r="Q43" s="84">
        <f>Q35</f>
        <v>8973858.0623137522</v>
      </c>
      <c r="S43" s="84">
        <f t="shared" si="88"/>
        <v>62213177</v>
      </c>
      <c r="T43" s="84">
        <f t="shared" si="89"/>
        <v>53494924</v>
      </c>
      <c r="V43" s="84">
        <f t="shared" si="90"/>
        <v>10436359</v>
      </c>
      <c r="W43" s="84">
        <f t="shared" si="90"/>
        <v>8973858</v>
      </c>
      <c r="Y43" s="84">
        <f t="shared" si="91"/>
        <v>61905359</v>
      </c>
      <c r="Z43" s="84">
        <f t="shared" si="92"/>
        <v>53230242.04213611</v>
      </c>
      <c r="AA43" s="82"/>
      <c r="AB43" s="84">
        <f t="shared" si="93"/>
        <v>307818.2</v>
      </c>
      <c r="AC43" s="84">
        <f t="shared" si="93"/>
        <v>264682.04943250009</v>
      </c>
      <c r="AD43" s="82"/>
      <c r="AE43" s="84">
        <f t="shared" si="94"/>
        <v>10436358.799999999</v>
      </c>
      <c r="AF43" s="84">
        <f t="shared" si="95"/>
        <v>8973858.0623137522</v>
      </c>
    </row>
    <row r="44" spans="1:32" ht="15" x14ac:dyDescent="0.35">
      <c r="B44" s="77" t="s">
        <v>25</v>
      </c>
      <c r="G44" s="86">
        <f>-G37-G38</f>
        <v>280396</v>
      </c>
      <c r="H44" s="86">
        <f>-H37</f>
        <v>241102.66362637197</v>
      </c>
      <c r="J44" s="86">
        <f>-J37-J38</f>
        <v>0</v>
      </c>
      <c r="K44" s="86">
        <f>-K37</f>
        <v>0</v>
      </c>
      <c r="M44" s="86">
        <f>-M37-M38</f>
        <v>-1751</v>
      </c>
      <c r="N44" s="86">
        <f>-N37-N38</f>
        <v>-1505.6233470155682</v>
      </c>
      <c r="P44" s="86">
        <f>-P37-P38</f>
        <v>0</v>
      </c>
      <c r="Q44" s="86">
        <f>-Q37</f>
        <v>0</v>
      </c>
      <c r="S44" s="86">
        <f t="shared" si="88"/>
        <v>278645</v>
      </c>
      <c r="T44" s="86">
        <f t="shared" si="89"/>
        <v>239597</v>
      </c>
      <c r="V44" s="86">
        <f t="shared" si="90"/>
        <v>0</v>
      </c>
      <c r="W44" s="86">
        <f t="shared" si="90"/>
        <v>0</v>
      </c>
      <c r="Y44" s="91">
        <f t="shared" si="91"/>
        <v>280396</v>
      </c>
      <c r="Z44" s="91">
        <f t="shared" si="92"/>
        <v>241102.66362637197</v>
      </c>
      <c r="AA44" s="171"/>
      <c r="AB44" s="91">
        <f t="shared" si="93"/>
        <v>-1751</v>
      </c>
      <c r="AC44" s="91">
        <f t="shared" si="93"/>
        <v>-1505.6233470155682</v>
      </c>
      <c r="AD44" s="171"/>
      <c r="AE44" s="91">
        <f t="shared" si="94"/>
        <v>0</v>
      </c>
      <c r="AF44" s="91">
        <f t="shared" si="95"/>
        <v>0</v>
      </c>
    </row>
    <row r="45" spans="1:32" x14ac:dyDescent="0.2">
      <c r="G45" s="84"/>
      <c r="J45" s="84"/>
      <c r="M45" s="84"/>
      <c r="P45" s="84"/>
      <c r="S45" s="84"/>
      <c r="V45" s="84"/>
      <c r="W45" s="84"/>
      <c r="Y45" s="84"/>
      <c r="AB45" s="84"/>
      <c r="AC45" s="84"/>
      <c r="AE45" s="84"/>
    </row>
    <row r="46" spans="1:32" ht="13.5" x14ac:dyDescent="0.35">
      <c r="A46" s="77" t="s">
        <v>70</v>
      </c>
      <c r="G46" s="92">
        <f>SUM(G42:G45)</f>
        <v>144203056.11839998</v>
      </c>
      <c r="H46" s="92">
        <f>G46*$G$48</f>
        <v>123995138.77947412</v>
      </c>
      <c r="J46" s="92">
        <f>SUM(J42:J45)</f>
        <v>29822640.0528</v>
      </c>
      <c r="K46" s="92">
        <f>J46*$G$48</f>
        <v>25643439.824750017</v>
      </c>
      <c r="M46" s="92">
        <f>SUM(M42:M45)</f>
        <v>20201613.551999997</v>
      </c>
      <c r="N46" s="92">
        <f>M46*$G$48</f>
        <v>17370657.345104113</v>
      </c>
      <c r="P46" s="92">
        <f>SUM(P42:P45)</f>
        <v>12847841.1602</v>
      </c>
      <c r="Q46" s="92">
        <f>P46*$G$48</f>
        <v>11047406.972898176</v>
      </c>
      <c r="S46" s="92">
        <f t="shared" ref="S46" si="96">ROUND(+G46+J46+M46,0)</f>
        <v>194227310</v>
      </c>
      <c r="T46" s="92">
        <f t="shared" ref="T46" si="97">ROUND(+H46+K46+N46,0)</f>
        <v>167009236</v>
      </c>
      <c r="V46" s="92">
        <f>ROUND(P46,0)</f>
        <v>12847841</v>
      </c>
      <c r="W46" s="92">
        <f>ROUND(Q46,0)</f>
        <v>11047407</v>
      </c>
      <c r="Y46" s="92">
        <f t="shared" ref="Y46" si="98">+G46+J46</f>
        <v>174025696.17119998</v>
      </c>
      <c r="Z46" s="92">
        <f t="shared" ref="Z46" si="99">+H46+K46</f>
        <v>149638578.60422415</v>
      </c>
      <c r="AB46" s="92">
        <f>+M46</f>
        <v>20201613.551999997</v>
      </c>
      <c r="AC46" s="92">
        <f>+N46</f>
        <v>17370657.345104113</v>
      </c>
      <c r="AE46" s="92">
        <f t="shared" ref="AE46" si="100">+P46</f>
        <v>12847841.1602</v>
      </c>
      <c r="AF46" s="92">
        <f t="shared" ref="AF46" si="101">+Q46</f>
        <v>11047406.972898176</v>
      </c>
    </row>
    <row r="48" spans="1:32" ht="12" thickBot="1" x14ac:dyDescent="0.25">
      <c r="A48" s="101" t="s">
        <v>72</v>
      </c>
      <c r="F48" s="77" t="s">
        <v>26</v>
      </c>
      <c r="G48" s="102">
        <f>+'SuppSch-by Plan TME0312'!$D$61</f>
        <v>0.85986484695349419</v>
      </c>
      <c r="J48" s="102">
        <f>+'SuppSch-by Plan TME0312'!$D$61</f>
        <v>0.85986484695349419</v>
      </c>
      <c r="M48" s="102">
        <f>+'SuppSch-by Plan TME0312'!$D$61</f>
        <v>0.85986484695349419</v>
      </c>
      <c r="P48" s="102">
        <f>+'SuppSch-by Plan TME0312'!$D$61</f>
        <v>0.85986484695349419</v>
      </c>
      <c r="S48" s="102">
        <f>+'SuppSch-by Plan TME0312'!$D$61</f>
        <v>0.85986484695349419</v>
      </c>
      <c r="V48" s="102">
        <f>+'SuppSch-by Plan TME0312'!$D$61</f>
        <v>0.85986484695349419</v>
      </c>
      <c r="Y48" s="102">
        <f>+'SuppSch-by Plan TME0312'!$D$61</f>
        <v>0.85986484695349419</v>
      </c>
      <c r="AB48" s="102">
        <f>+'SuppSch-by Plan TME0312'!$D$61</f>
        <v>0.85986484695349419</v>
      </c>
      <c r="AE48" s="102">
        <f>+'SuppSch-by Plan TME0312'!$D$61</f>
        <v>0.85986484695349419</v>
      </c>
    </row>
    <row r="49" spans="1:31" ht="12" thickTop="1" x14ac:dyDescent="0.2"/>
    <row r="50" spans="1:31" x14ac:dyDescent="0.2">
      <c r="A50" s="96" t="s">
        <v>71</v>
      </c>
      <c r="F50" s="77" t="s">
        <v>26</v>
      </c>
      <c r="G50" s="103">
        <f>+'SuppSch-by Plan TME0312'!$B$61</f>
        <v>1261744424</v>
      </c>
      <c r="J50" s="103">
        <f>+'SuppSch-by Plan TME0312'!$B$61</f>
        <v>1261744424</v>
      </c>
      <c r="M50" s="103">
        <f>+'SuppSch-by Plan TME0312'!$B$61</f>
        <v>1261744424</v>
      </c>
      <c r="P50" s="103">
        <f>+'SuppSch-by Plan TME0312'!$B$61</f>
        <v>1261744424</v>
      </c>
      <c r="S50" s="103">
        <f>+'SuppSch-by Plan TME0312'!$B$61</f>
        <v>1261744424</v>
      </c>
      <c r="V50" s="103">
        <f>+'SuppSch-by Plan TME0312'!$B$61</f>
        <v>1261744424</v>
      </c>
      <c r="Y50" s="103">
        <f>+'SuppSch-by Plan TME0312'!$B$61</f>
        <v>1261744424</v>
      </c>
      <c r="AB50" s="103">
        <f>+'SuppSch-by Plan TME0312'!$B$61</f>
        <v>1261744424</v>
      </c>
      <c r="AE50" s="103">
        <f>+'SuppSch-by Plan TME0312'!$B$61</f>
        <v>1261744424</v>
      </c>
    </row>
    <row r="52" spans="1:31" x14ac:dyDescent="0.2">
      <c r="A52" s="77" t="s">
        <v>70</v>
      </c>
      <c r="G52" s="104">
        <f>G46</f>
        <v>144203056.11839998</v>
      </c>
      <c r="J52" s="104">
        <f>J46</f>
        <v>29822640.0528</v>
      </c>
      <c r="M52" s="104">
        <f>M46</f>
        <v>20201613.551999997</v>
      </c>
      <c r="P52" s="104">
        <f>P46</f>
        <v>12847841.1602</v>
      </c>
      <c r="S52" s="104">
        <f t="shared" ref="S52" si="102">ROUND(+G52+J52+M52,0)</f>
        <v>194227310</v>
      </c>
      <c r="V52" s="104">
        <f>ROUND(P52,0)</f>
        <v>12847841</v>
      </c>
      <c r="Y52" s="104">
        <f t="shared" si="14"/>
        <v>174025696.17119998</v>
      </c>
      <c r="AB52" s="104">
        <f>+M52</f>
        <v>20201613.551999997</v>
      </c>
      <c r="AE52" s="104">
        <f>+P52</f>
        <v>12847841.1602</v>
      </c>
    </row>
    <row r="53" spans="1:31" x14ac:dyDescent="0.2">
      <c r="G53" s="84"/>
      <c r="J53" s="84"/>
      <c r="M53" s="84"/>
      <c r="P53" s="84"/>
      <c r="S53" s="84"/>
      <c r="V53" s="84"/>
      <c r="Y53" s="84"/>
      <c r="AB53" s="84"/>
      <c r="AE53" s="84"/>
    </row>
    <row r="54" spans="1:31" x14ac:dyDescent="0.2">
      <c r="A54" s="77" t="s">
        <v>69</v>
      </c>
      <c r="G54" s="105">
        <f>G48</f>
        <v>0.85986484695349419</v>
      </c>
      <c r="J54" s="105">
        <f>J48</f>
        <v>0.85986484695349419</v>
      </c>
      <c r="M54" s="105">
        <f>M48</f>
        <v>0.85986484695349419</v>
      </c>
      <c r="P54" s="105">
        <f>P48</f>
        <v>0.85986484695349419</v>
      </c>
      <c r="S54" s="105">
        <f>S48</f>
        <v>0.85986484695349419</v>
      </c>
      <c r="V54" s="105">
        <f>V48</f>
        <v>0.85986484695349419</v>
      </c>
      <c r="Y54" s="105">
        <f>Y48</f>
        <v>0.85986484695349419</v>
      </c>
      <c r="AB54" s="105">
        <f>AB48</f>
        <v>0.85986484695349419</v>
      </c>
      <c r="AE54" s="105">
        <f>AE48</f>
        <v>0.85986484695349419</v>
      </c>
    </row>
    <row r="55" spans="1:31" x14ac:dyDescent="0.2">
      <c r="G55" s="84"/>
      <c r="J55" s="84"/>
      <c r="M55" s="84"/>
      <c r="P55" s="84"/>
      <c r="S55" s="84"/>
      <c r="V55" s="84"/>
      <c r="Y55" s="84"/>
      <c r="AB55" s="84"/>
      <c r="AE55" s="84"/>
    </row>
    <row r="56" spans="1:31" ht="12" thickBot="1" x14ac:dyDescent="0.25">
      <c r="A56" s="101" t="s">
        <v>68</v>
      </c>
      <c r="G56" s="106">
        <f>G52*G54</f>
        <v>123995138.77947412</v>
      </c>
      <c r="J56" s="106">
        <f>J52*J54</f>
        <v>25643439.824750017</v>
      </c>
      <c r="M56" s="106">
        <f>M52*M54</f>
        <v>17370657.345104113</v>
      </c>
      <c r="P56" s="106">
        <f>P52*P54</f>
        <v>11047406.972898176</v>
      </c>
      <c r="S56" s="106">
        <f t="shared" ref="S56" si="103">ROUND(+G56+J56+M56,0)</f>
        <v>167009236</v>
      </c>
      <c r="V56" s="106">
        <f>ROUND(P56,0)</f>
        <v>11047407</v>
      </c>
      <c r="Y56" s="106">
        <f>Y52*Y54</f>
        <v>149638578.60422415</v>
      </c>
      <c r="AB56" s="106">
        <f>AB52*AB54</f>
        <v>17370657.345104113</v>
      </c>
      <c r="AE56" s="106">
        <f>AE52*AE54</f>
        <v>11047406.972898176</v>
      </c>
    </row>
    <row r="57" spans="1:31" ht="12" thickTop="1" x14ac:dyDescent="0.2">
      <c r="F57" s="99"/>
      <c r="G57" s="94"/>
      <c r="J57" s="94"/>
      <c r="M57" s="94"/>
      <c r="P57" s="94"/>
      <c r="S57" s="94"/>
      <c r="V57" s="94"/>
      <c r="Y57" s="87"/>
      <c r="AB57" s="94"/>
      <c r="AE57" s="94"/>
    </row>
    <row r="58" spans="1:31" x14ac:dyDescent="0.2">
      <c r="J58" s="107">
        <f>+J52+G52</f>
        <v>174025696.17119998</v>
      </c>
    </row>
  </sheetData>
  <mergeCells count="8">
    <mergeCell ref="AE1:AF1"/>
    <mergeCell ref="G1:H1"/>
    <mergeCell ref="J1:K1"/>
    <mergeCell ref="M1:N1"/>
    <mergeCell ref="P1:Q1"/>
    <mergeCell ref="Y1:Z1"/>
    <mergeCell ref="AB1:AC1"/>
    <mergeCell ref="S1:W1"/>
  </mergeCells>
  <phoneticPr fontId="2" type="noConversion"/>
  <pageMargins left="0.5" right="0.5" top="1.24" bottom="0.74" header="0.25" footer="0.5"/>
  <pageSetup scale="38" orientation="landscape" r:id="rId1"/>
  <headerFooter alignWithMargins="0">
    <oddHeader>&amp;C
&amp;"Times New Roman,Bold"&amp;12Kentucky Utilities Company
Calculation of ECR Plan Elimination as of March 31, 2012</oddHeader>
    <oddFooter>&amp;R&amp;"Times New Roman,Bold"&amp;12Conroy Exhibit P4
Page &amp;P of &amp;N</oddFooter>
  </headerFooter>
  <colBreaks count="1" manualBreakCount="1">
    <brk id="23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9"/>
  <sheetViews>
    <sheetView zoomScaleNormal="100" zoomScaleSheetLayoutView="100" workbookViewId="0">
      <selection activeCell="B26" sqref="B26"/>
    </sheetView>
  </sheetViews>
  <sheetFormatPr defaultRowHeight="11.25" x14ac:dyDescent="0.2"/>
  <cols>
    <col min="1" max="1" width="4.42578125" style="109" customWidth="1"/>
    <col min="2" max="2" width="42.42578125" style="109" bestFit="1" customWidth="1"/>
    <col min="3" max="3" width="4.140625" style="139" bestFit="1" customWidth="1"/>
    <col min="4" max="9" width="12.85546875" style="109" bestFit="1" customWidth="1"/>
    <col min="10" max="10" width="2" style="109" customWidth="1"/>
    <col min="11" max="15" width="12.85546875" style="109" bestFit="1" customWidth="1"/>
    <col min="16" max="16384" width="9.140625" style="109"/>
  </cols>
  <sheetData>
    <row r="1" spans="1:9" x14ac:dyDescent="0.2">
      <c r="A1" s="108" t="s">
        <v>104</v>
      </c>
    </row>
    <row r="2" spans="1:9" x14ac:dyDescent="0.2">
      <c r="A2" s="108" t="s">
        <v>140</v>
      </c>
    </row>
    <row r="4" spans="1:9" x14ac:dyDescent="0.2">
      <c r="A4" s="139" t="s">
        <v>124</v>
      </c>
      <c r="C4" s="139" t="s">
        <v>125</v>
      </c>
      <c r="D4" s="116">
        <v>40663</v>
      </c>
      <c r="E4" s="116">
        <v>40694</v>
      </c>
      <c r="F4" s="116">
        <v>40724</v>
      </c>
      <c r="G4" s="116">
        <v>40755</v>
      </c>
      <c r="H4" s="116">
        <v>40786</v>
      </c>
      <c r="I4" s="116">
        <v>40816</v>
      </c>
    </row>
    <row r="5" spans="1:9" x14ac:dyDescent="0.2">
      <c r="A5" s="139"/>
    </row>
    <row r="6" spans="1:9" x14ac:dyDescent="0.2">
      <c r="A6" s="140">
        <v>-1</v>
      </c>
      <c r="B6" s="141" t="s">
        <v>105</v>
      </c>
      <c r="C6" s="139" t="s">
        <v>126</v>
      </c>
      <c r="D6" s="142">
        <v>1252797141</v>
      </c>
      <c r="E6" s="142">
        <v>1252797141</v>
      </c>
      <c r="F6" s="142">
        <v>1264238872</v>
      </c>
      <c r="G6" s="142">
        <v>1264238872</v>
      </c>
      <c r="H6" s="142">
        <v>1264238872</v>
      </c>
      <c r="I6" s="142">
        <v>1264238872</v>
      </c>
    </row>
    <row r="7" spans="1:9" x14ac:dyDescent="0.2">
      <c r="A7" s="140">
        <f>-1+A6</f>
        <v>-2</v>
      </c>
      <c r="B7" s="141" t="s">
        <v>106</v>
      </c>
      <c r="C7" s="139" t="s">
        <v>126</v>
      </c>
      <c r="D7" s="143">
        <v>75471929</v>
      </c>
      <c r="E7" s="143">
        <v>77489960</v>
      </c>
      <c r="F7" s="143">
        <v>62633726</v>
      </c>
      <c r="G7" s="143">
        <v>63086716</v>
      </c>
      <c r="H7" s="143">
        <v>63198553</v>
      </c>
      <c r="I7" s="143">
        <v>63182601</v>
      </c>
    </row>
    <row r="8" spans="1:9" x14ac:dyDescent="0.2">
      <c r="A8" s="140">
        <f t="shared" ref="A8:A19" si="0">-1+A7</f>
        <v>-3</v>
      </c>
      <c r="B8" s="141" t="s">
        <v>107</v>
      </c>
      <c r="D8" s="142">
        <f>+D6+D7</f>
        <v>1328269070</v>
      </c>
      <c r="E8" s="142">
        <f t="shared" ref="E8:I8" si="1">+E6+E7</f>
        <v>1330287101</v>
      </c>
      <c r="F8" s="142">
        <f t="shared" si="1"/>
        <v>1326872598</v>
      </c>
      <c r="G8" s="142">
        <f t="shared" si="1"/>
        <v>1327325588</v>
      </c>
      <c r="H8" s="142">
        <f t="shared" si="1"/>
        <v>1327437425</v>
      </c>
      <c r="I8" s="142">
        <f t="shared" si="1"/>
        <v>1327421473</v>
      </c>
    </row>
    <row r="9" spans="1:9" x14ac:dyDescent="0.2">
      <c r="A9" s="140">
        <f t="shared" si="0"/>
        <v>-4</v>
      </c>
      <c r="B9" s="141" t="s">
        <v>108</v>
      </c>
    </row>
    <row r="10" spans="1:9" x14ac:dyDescent="0.2">
      <c r="A10" s="140">
        <f t="shared" si="0"/>
        <v>-5</v>
      </c>
      <c r="B10" s="141" t="s">
        <v>109</v>
      </c>
      <c r="C10" s="139" t="s">
        <v>127</v>
      </c>
      <c r="D10" s="142">
        <v>781592</v>
      </c>
      <c r="E10" s="142">
        <v>689930</v>
      </c>
      <c r="F10" s="142">
        <v>619310</v>
      </c>
      <c r="G10" s="142">
        <v>563097</v>
      </c>
      <c r="H10" s="142">
        <v>614230</v>
      </c>
      <c r="I10" s="142">
        <v>612729</v>
      </c>
    </row>
    <row r="11" spans="1:9" x14ac:dyDescent="0.2">
      <c r="A11" s="140">
        <f t="shared" si="0"/>
        <v>-6</v>
      </c>
      <c r="B11" s="141" t="s">
        <v>134</v>
      </c>
      <c r="C11" s="139" t="s">
        <v>127</v>
      </c>
      <c r="D11" s="122">
        <v>76473.34</v>
      </c>
      <c r="E11" s="122">
        <v>76473.34</v>
      </c>
      <c r="F11" s="122">
        <v>76473.34</v>
      </c>
      <c r="G11" s="122">
        <v>76473.34</v>
      </c>
      <c r="H11" s="122">
        <v>76473.34</v>
      </c>
      <c r="I11" s="122">
        <v>76473.34</v>
      </c>
    </row>
    <row r="12" spans="1:9" x14ac:dyDescent="0.2">
      <c r="A12" s="140">
        <f t="shared" si="0"/>
        <v>-7</v>
      </c>
      <c r="B12" s="144" t="s">
        <v>135</v>
      </c>
      <c r="C12" s="139" t="s">
        <v>128</v>
      </c>
      <c r="D12" s="122">
        <v>69415</v>
      </c>
      <c r="E12" s="122">
        <v>69415</v>
      </c>
      <c r="F12" s="122">
        <v>69415</v>
      </c>
      <c r="G12" s="122">
        <v>69415</v>
      </c>
      <c r="H12" s="122">
        <v>69415</v>
      </c>
      <c r="I12" s="122">
        <v>69415</v>
      </c>
    </row>
    <row r="13" spans="1:9" x14ac:dyDescent="0.2">
      <c r="A13" s="140">
        <f t="shared" si="0"/>
        <v>-8</v>
      </c>
      <c r="B13" s="141" t="s">
        <v>110</v>
      </c>
      <c r="C13" s="139" t="s">
        <v>129</v>
      </c>
      <c r="D13" s="143">
        <v>2067240</v>
      </c>
      <c r="E13" s="143">
        <v>2126610</v>
      </c>
      <c r="F13" s="143">
        <v>2178430</v>
      </c>
      <c r="G13" s="143">
        <v>2250134</v>
      </c>
      <c r="H13" s="143">
        <v>2337037</v>
      </c>
      <c r="I13" s="143">
        <v>2407496</v>
      </c>
    </row>
    <row r="14" spans="1:9" x14ac:dyDescent="0.2">
      <c r="A14" s="140">
        <f t="shared" si="0"/>
        <v>-9</v>
      </c>
      <c r="B14" s="141" t="s">
        <v>107</v>
      </c>
      <c r="D14" s="142">
        <f>+D10-D11-D12+D13</f>
        <v>2702943.66</v>
      </c>
      <c r="E14" s="142">
        <f t="shared" ref="E14:I14" si="2">+E10-E11-E12+E13</f>
        <v>2670651.66</v>
      </c>
      <c r="F14" s="142">
        <f t="shared" si="2"/>
        <v>2651851.66</v>
      </c>
      <c r="G14" s="142">
        <f t="shared" si="2"/>
        <v>2667342.66</v>
      </c>
      <c r="H14" s="142">
        <f t="shared" si="2"/>
        <v>2805378.66</v>
      </c>
      <c r="I14" s="142">
        <f t="shared" si="2"/>
        <v>2874336.66</v>
      </c>
    </row>
    <row r="15" spans="1:9" x14ac:dyDescent="0.2">
      <c r="A15" s="140">
        <f t="shared" si="0"/>
        <v>-10</v>
      </c>
      <c r="B15" s="141" t="s">
        <v>111</v>
      </c>
    </row>
    <row r="16" spans="1:9" x14ac:dyDescent="0.2">
      <c r="A16" s="140">
        <f t="shared" si="0"/>
        <v>-11</v>
      </c>
      <c r="B16" s="141" t="s">
        <v>114</v>
      </c>
      <c r="C16" s="139" t="s">
        <v>126</v>
      </c>
      <c r="D16" s="142">
        <v>86868281</v>
      </c>
      <c r="E16" s="142">
        <v>90780094</v>
      </c>
      <c r="F16" s="142">
        <v>94683811</v>
      </c>
      <c r="G16" s="142">
        <v>98633052</v>
      </c>
      <c r="H16" s="142">
        <v>102582293</v>
      </c>
      <c r="I16" s="142">
        <v>106531533</v>
      </c>
    </row>
    <row r="17" spans="1:37" x14ac:dyDescent="0.2">
      <c r="A17" s="140">
        <f t="shared" si="0"/>
        <v>-12</v>
      </c>
      <c r="B17" s="141" t="s">
        <v>112</v>
      </c>
      <c r="C17" s="139" t="s">
        <v>126</v>
      </c>
      <c r="D17" s="145">
        <v>65694618</v>
      </c>
      <c r="E17" s="145">
        <v>69036294</v>
      </c>
      <c r="F17" s="145">
        <v>72367195</v>
      </c>
      <c r="G17" s="145">
        <v>75718218</v>
      </c>
      <c r="H17" s="145">
        <v>79069241</v>
      </c>
      <c r="I17" s="145">
        <v>82419799</v>
      </c>
    </row>
    <row r="18" spans="1:37" x14ac:dyDescent="0.2">
      <c r="A18" s="140">
        <f t="shared" si="0"/>
        <v>-13</v>
      </c>
      <c r="B18" s="146" t="s">
        <v>113</v>
      </c>
      <c r="C18" s="139" t="s">
        <v>126</v>
      </c>
      <c r="D18" s="143">
        <v>27341841</v>
      </c>
      <c r="E18" s="143">
        <v>27341841</v>
      </c>
      <c r="F18" s="143">
        <v>27217701</v>
      </c>
      <c r="G18" s="143">
        <v>27217701</v>
      </c>
      <c r="H18" s="143">
        <v>27217701</v>
      </c>
      <c r="I18" s="143">
        <v>27217701</v>
      </c>
    </row>
    <row r="19" spans="1:37" x14ac:dyDescent="0.2">
      <c r="A19" s="140">
        <f t="shared" si="0"/>
        <v>-14</v>
      </c>
      <c r="B19" s="141" t="s">
        <v>107</v>
      </c>
      <c r="D19" s="147">
        <f>SUM(D16:D18)</f>
        <v>179904740</v>
      </c>
      <c r="E19" s="147">
        <f t="shared" ref="E19:I19" si="3">SUM(E16:E18)</f>
        <v>187158229</v>
      </c>
      <c r="F19" s="147">
        <f t="shared" si="3"/>
        <v>194268707</v>
      </c>
      <c r="G19" s="147">
        <f t="shared" si="3"/>
        <v>201568971</v>
      </c>
      <c r="H19" s="147">
        <f t="shared" si="3"/>
        <v>208869235</v>
      </c>
      <c r="I19" s="147">
        <f t="shared" si="3"/>
        <v>216169033</v>
      </c>
    </row>
    <row r="20" spans="1:37" x14ac:dyDescent="0.2">
      <c r="A20" s="140"/>
      <c r="B20" s="141"/>
      <c r="D20" s="147"/>
    </row>
    <row r="21" spans="1:37" x14ac:dyDescent="0.2">
      <c r="A21" s="140">
        <f>-1+A19</f>
        <v>-15</v>
      </c>
      <c r="B21" s="141" t="s">
        <v>121</v>
      </c>
      <c r="D21" s="148">
        <f>+D8+D14-D19</f>
        <v>1151067273.6600001</v>
      </c>
      <c r="E21" s="148">
        <f t="shared" ref="E21:I21" si="4">+E8+E14-E19</f>
        <v>1145799523.6600001</v>
      </c>
      <c r="F21" s="148">
        <f t="shared" si="4"/>
        <v>1135255742.6600001</v>
      </c>
      <c r="G21" s="148">
        <f t="shared" si="4"/>
        <v>1128423959.6600001</v>
      </c>
      <c r="H21" s="148">
        <f t="shared" si="4"/>
        <v>1121373568.6600001</v>
      </c>
      <c r="I21" s="148">
        <f t="shared" si="4"/>
        <v>1114126776.6600001</v>
      </c>
      <c r="AK21" s="109">
        <f>1032932-76473-69415</f>
        <v>887044</v>
      </c>
    </row>
    <row r="22" spans="1:37" x14ac:dyDescent="0.2">
      <c r="A22" s="140"/>
      <c r="AK22" s="109">
        <f>956459-69415</f>
        <v>887044</v>
      </c>
    </row>
    <row r="23" spans="1:37" x14ac:dyDescent="0.2">
      <c r="A23" s="140">
        <f>-1+A21</f>
        <v>-16</v>
      </c>
      <c r="B23" s="141" t="s">
        <v>122</v>
      </c>
      <c r="D23" s="142">
        <f t="shared" ref="D23:I23" si="5">ROUND(+D21/12,0)</f>
        <v>95922273</v>
      </c>
      <c r="E23" s="142">
        <f t="shared" si="5"/>
        <v>95483294</v>
      </c>
      <c r="F23" s="142">
        <f t="shared" si="5"/>
        <v>94604645</v>
      </c>
      <c r="G23" s="142">
        <f t="shared" si="5"/>
        <v>94035330</v>
      </c>
      <c r="H23" s="142">
        <f t="shared" si="5"/>
        <v>93447797</v>
      </c>
      <c r="I23" s="142">
        <f t="shared" si="5"/>
        <v>92843898</v>
      </c>
    </row>
    <row r="24" spans="1:37" x14ac:dyDescent="0.2">
      <c r="A24" s="140">
        <f t="shared" ref="A24:A25" si="6">-1+A23</f>
        <v>-17</v>
      </c>
      <c r="B24" s="141" t="s">
        <v>115</v>
      </c>
      <c r="C24" s="139" t="s">
        <v>130</v>
      </c>
      <c r="D24" s="149">
        <v>0.1104</v>
      </c>
      <c r="E24" s="149">
        <v>0.1104</v>
      </c>
      <c r="F24" s="149">
        <v>0.1104</v>
      </c>
      <c r="G24" s="149">
        <v>0.1104</v>
      </c>
      <c r="H24" s="149">
        <v>0.1104</v>
      </c>
      <c r="I24" s="149">
        <v>0.1104</v>
      </c>
    </row>
    <row r="25" spans="1:37" x14ac:dyDescent="0.2">
      <c r="A25" s="140">
        <f t="shared" si="6"/>
        <v>-18</v>
      </c>
      <c r="B25" s="141" t="s">
        <v>116</v>
      </c>
      <c r="C25" s="139" t="s">
        <v>131</v>
      </c>
      <c r="D25" s="145">
        <f>+'SuppSch TME 0312'!W47</f>
        <v>4992022</v>
      </c>
      <c r="E25" s="145">
        <f>+'SuppSch TME 0312'!W48</f>
        <v>5063154</v>
      </c>
      <c r="F25" s="145">
        <f>+'SuppSch TME 0312'!W49</f>
        <v>5018201</v>
      </c>
      <c r="G25" s="145">
        <f>+'SuppSch TME 0312'!W50</f>
        <v>5007773</v>
      </c>
      <c r="H25" s="145">
        <f>+'SuppSch TME 0312'!W51</f>
        <v>5509301</v>
      </c>
      <c r="I25" s="145">
        <f>+'SuppSch TME 0312'!W52</f>
        <v>4954400</v>
      </c>
      <c r="K25" s="145"/>
    </row>
    <row r="26" spans="1:37" x14ac:dyDescent="0.2">
      <c r="A26" s="140"/>
      <c r="B26" s="150" t="s">
        <v>117</v>
      </c>
    </row>
    <row r="27" spans="1:37" x14ac:dyDescent="0.2">
      <c r="A27" s="140">
        <f>-1+A25</f>
        <v>-19</v>
      </c>
      <c r="B27" s="151" t="s">
        <v>118</v>
      </c>
      <c r="C27" s="139" t="s">
        <v>141</v>
      </c>
      <c r="D27" s="143">
        <f>+'SuppSch TME 0312'!C27</f>
        <v>37954</v>
      </c>
      <c r="E27" s="143">
        <f>+'SuppSch TME 0312'!C28</f>
        <v>-8495</v>
      </c>
      <c r="F27" s="143">
        <f>+'SuppSch TME 0312'!C29</f>
        <v>-9720</v>
      </c>
      <c r="G27" s="143">
        <f>+'SuppSch TME 0312'!C30</f>
        <v>-1066</v>
      </c>
      <c r="H27" s="143">
        <f>+'SuppSch TME 0312'!C31</f>
        <v>-12812</v>
      </c>
      <c r="I27" s="143">
        <f>+'SuppSch TME 0312'!C32</f>
        <v>-11158</v>
      </c>
    </row>
    <row r="28" spans="1:37" x14ac:dyDescent="0.2">
      <c r="A28" s="140"/>
    </row>
    <row r="29" spans="1:37" x14ac:dyDescent="0.2">
      <c r="A29" s="140">
        <f>-1+A27</f>
        <v>-20</v>
      </c>
      <c r="B29" s="141" t="s">
        <v>123</v>
      </c>
      <c r="D29" s="152">
        <f t="shared" ref="D29:I29" si="7">ROUND((D23*D24)+D25-D27,0)</f>
        <v>15543887</v>
      </c>
      <c r="E29" s="152">
        <f t="shared" si="7"/>
        <v>15613005</v>
      </c>
      <c r="F29" s="152">
        <f t="shared" si="7"/>
        <v>15472274</v>
      </c>
      <c r="G29" s="152">
        <f t="shared" si="7"/>
        <v>15390339</v>
      </c>
      <c r="H29" s="152">
        <f t="shared" si="7"/>
        <v>15838750</v>
      </c>
      <c r="I29" s="152">
        <f t="shared" si="7"/>
        <v>15215524</v>
      </c>
    </row>
    <row r="30" spans="1:37" x14ac:dyDescent="0.2">
      <c r="A30" s="140"/>
    </row>
    <row r="31" spans="1:37" x14ac:dyDescent="0.2">
      <c r="A31" s="140">
        <f>-1+A29</f>
        <v>-21</v>
      </c>
      <c r="B31" s="141" t="s">
        <v>119</v>
      </c>
      <c r="C31" s="139" t="s">
        <v>143</v>
      </c>
      <c r="D31" s="153">
        <f>ROUND(+'SuppSch TME 0312'!D48,4)</f>
        <v>0.87309999999999999</v>
      </c>
      <c r="E31" s="153">
        <f>ROUND(+'SuppSch TME 0312'!D49,4)</f>
        <v>0.84189999999999998</v>
      </c>
      <c r="F31" s="153">
        <f>ROUND(+'SuppSch TME 0312'!D50,4)</f>
        <v>0.84419999999999995</v>
      </c>
      <c r="G31" s="153">
        <f>ROUND(+'SuppSch TME 0312'!D51,4)</f>
        <v>0.85699999999999998</v>
      </c>
      <c r="H31" s="153">
        <f>ROUND(+'SuppSch TME 0312'!D52,4)</f>
        <v>0.87180000000000002</v>
      </c>
      <c r="I31" s="153">
        <f>ROUND(+'SuppSch TME 0312'!D53,4)</f>
        <v>0.87509999999999999</v>
      </c>
    </row>
    <row r="32" spans="1:37" x14ac:dyDescent="0.2">
      <c r="A32" s="140"/>
    </row>
    <row r="33" spans="1:12" ht="12" thickBot="1" x14ac:dyDescent="0.25">
      <c r="A33" s="140">
        <f>-1+A31</f>
        <v>-22</v>
      </c>
      <c r="B33" s="141" t="s">
        <v>147</v>
      </c>
      <c r="D33" s="154">
        <f>ROUND(+D29*D31,0)-2</f>
        <v>13571366</v>
      </c>
      <c r="E33" s="154">
        <f>ROUND(+E29*E31,0)+1</f>
        <v>13144590</v>
      </c>
      <c r="F33" s="154">
        <f>ROUND(+F29*F31,0)-1</f>
        <v>13061693</v>
      </c>
      <c r="G33" s="154">
        <f>ROUND(+G29*G31,0)+1</f>
        <v>13189522</v>
      </c>
      <c r="H33" s="154">
        <f>ROUND(+H29*H31,0)</f>
        <v>13808222</v>
      </c>
      <c r="I33" s="154">
        <f>ROUND(+I29*I31,0)+2</f>
        <v>13315107</v>
      </c>
      <c r="K33" s="155">
        <f>SUM(D33:I33)</f>
        <v>80090500</v>
      </c>
    </row>
    <row r="34" spans="1:12" ht="12" thickTop="1" x14ac:dyDescent="0.2"/>
    <row r="35" spans="1:12" ht="12" thickBot="1" x14ac:dyDescent="0.25">
      <c r="A35" s="140">
        <f>-1+A33</f>
        <v>-23</v>
      </c>
      <c r="B35" s="141" t="s">
        <v>148</v>
      </c>
      <c r="D35" s="154">
        <f>+D25-D27</f>
        <v>4954068</v>
      </c>
      <c r="E35" s="154">
        <f t="shared" ref="E35:I35" si="8">+E25-E27</f>
        <v>5071649</v>
      </c>
      <c r="F35" s="154">
        <f t="shared" si="8"/>
        <v>5027921</v>
      </c>
      <c r="G35" s="154">
        <f t="shared" si="8"/>
        <v>5008839</v>
      </c>
      <c r="H35" s="154">
        <f t="shared" si="8"/>
        <v>5522113</v>
      </c>
      <c r="I35" s="154">
        <f t="shared" si="8"/>
        <v>4965558</v>
      </c>
      <c r="K35" s="155">
        <f>SUM(D35:I35)</f>
        <v>30550148</v>
      </c>
    </row>
    <row r="36" spans="1:12" ht="12" thickTop="1" x14ac:dyDescent="0.2">
      <c r="L36" s="122"/>
    </row>
    <row r="37" spans="1:12" x14ac:dyDescent="0.2">
      <c r="L37" s="122"/>
    </row>
    <row r="38" spans="1:12" x14ac:dyDescent="0.2">
      <c r="A38" s="139" t="s">
        <v>124</v>
      </c>
      <c r="C38" s="139" t="s">
        <v>125</v>
      </c>
      <c r="D38" s="116">
        <v>40847</v>
      </c>
      <c r="E38" s="116">
        <v>40877</v>
      </c>
      <c r="F38" s="116">
        <v>40908</v>
      </c>
      <c r="G38" s="116">
        <v>40939</v>
      </c>
      <c r="H38" s="116">
        <v>40968</v>
      </c>
      <c r="I38" s="116">
        <v>40999</v>
      </c>
      <c r="L38" s="122"/>
    </row>
    <row r="39" spans="1:12" x14ac:dyDescent="0.2">
      <c r="A39" s="139"/>
      <c r="L39" s="122"/>
    </row>
    <row r="40" spans="1:12" x14ac:dyDescent="0.2">
      <c r="A40" s="140">
        <v>-1</v>
      </c>
      <c r="B40" s="141" t="s">
        <v>105</v>
      </c>
      <c r="C40" s="139" t="s">
        <v>126</v>
      </c>
      <c r="D40" s="142">
        <v>1264238872</v>
      </c>
      <c r="E40" s="142">
        <v>1264238872</v>
      </c>
      <c r="F40" s="142">
        <v>1307347784</v>
      </c>
      <c r="G40" s="142">
        <v>1307347784</v>
      </c>
      <c r="H40" s="142">
        <v>1307347784</v>
      </c>
      <c r="I40" s="142">
        <v>1304252751</v>
      </c>
      <c r="L40" s="122"/>
    </row>
    <row r="41" spans="1:12" x14ac:dyDescent="0.2">
      <c r="A41" s="140">
        <f>-1+A40</f>
        <v>-2</v>
      </c>
      <c r="B41" s="141" t="s">
        <v>106</v>
      </c>
      <c r="C41" s="139" t="s">
        <v>126</v>
      </c>
      <c r="D41" s="143">
        <v>64205774</v>
      </c>
      <c r="E41" s="143">
        <v>65171209</v>
      </c>
      <c r="F41" s="143">
        <v>11209428</v>
      </c>
      <c r="G41" s="143">
        <v>11670079</v>
      </c>
      <c r="H41" s="143">
        <v>11787432</v>
      </c>
      <c r="I41" s="143">
        <v>1370221</v>
      </c>
      <c r="L41" s="122"/>
    </row>
    <row r="42" spans="1:12" x14ac:dyDescent="0.2">
      <c r="A42" s="140">
        <f t="shared" ref="A42:A53" si="9">-1+A41</f>
        <v>-3</v>
      </c>
      <c r="B42" s="141" t="s">
        <v>107</v>
      </c>
      <c r="D42" s="142">
        <f t="shared" ref="D42:I42" si="10">+D40+D41</f>
        <v>1328444646</v>
      </c>
      <c r="E42" s="142">
        <f t="shared" si="10"/>
        <v>1329410081</v>
      </c>
      <c r="F42" s="142">
        <f t="shared" si="10"/>
        <v>1318557212</v>
      </c>
      <c r="G42" s="142">
        <f t="shared" si="10"/>
        <v>1319017863</v>
      </c>
      <c r="H42" s="142">
        <f t="shared" si="10"/>
        <v>1319135216</v>
      </c>
      <c r="I42" s="142">
        <f t="shared" si="10"/>
        <v>1305622972</v>
      </c>
      <c r="L42" s="122"/>
    </row>
    <row r="43" spans="1:12" x14ac:dyDescent="0.2">
      <c r="A43" s="140">
        <f t="shared" si="9"/>
        <v>-4</v>
      </c>
      <c r="B43" s="141" t="s">
        <v>108</v>
      </c>
      <c r="L43" s="122"/>
    </row>
    <row r="44" spans="1:12" x14ac:dyDescent="0.2">
      <c r="A44" s="140">
        <f t="shared" si="9"/>
        <v>-5</v>
      </c>
      <c r="B44" s="141" t="s">
        <v>109</v>
      </c>
      <c r="C44" s="139" t="s">
        <v>127</v>
      </c>
      <c r="D44" s="142">
        <v>589086</v>
      </c>
      <c r="E44" s="142">
        <v>661141</v>
      </c>
      <c r="F44" s="142">
        <v>708595</v>
      </c>
      <c r="G44" s="142">
        <v>814016</v>
      </c>
      <c r="H44" s="142">
        <v>923835</v>
      </c>
      <c r="I44" s="142">
        <v>1032932</v>
      </c>
      <c r="L44" s="122"/>
    </row>
    <row r="45" spans="1:12" x14ac:dyDescent="0.2">
      <c r="A45" s="140">
        <f t="shared" si="9"/>
        <v>-6</v>
      </c>
      <c r="B45" s="141" t="s">
        <v>134</v>
      </c>
      <c r="C45" s="139" t="s">
        <v>127</v>
      </c>
      <c r="D45" s="122">
        <v>76473.34</v>
      </c>
      <c r="E45" s="122">
        <v>76473.34</v>
      </c>
      <c r="F45" s="122">
        <v>76473.34</v>
      </c>
      <c r="G45" s="122">
        <v>76473.34</v>
      </c>
      <c r="H45" s="122">
        <v>76473.34</v>
      </c>
      <c r="I45" s="122">
        <v>76473.34</v>
      </c>
      <c r="L45" s="122"/>
    </row>
    <row r="46" spans="1:12" x14ac:dyDescent="0.2">
      <c r="A46" s="140">
        <f t="shared" si="9"/>
        <v>-7</v>
      </c>
      <c r="B46" s="144" t="s">
        <v>135</v>
      </c>
      <c r="C46" s="139" t="s">
        <v>128</v>
      </c>
      <c r="D46" s="122">
        <v>69415</v>
      </c>
      <c r="E46" s="122">
        <v>69415</v>
      </c>
      <c r="F46" s="122">
        <v>69415</v>
      </c>
      <c r="G46" s="122">
        <v>69415</v>
      </c>
      <c r="H46" s="122">
        <v>69415</v>
      </c>
      <c r="I46" s="122">
        <v>69415</v>
      </c>
      <c r="L46" s="122"/>
    </row>
    <row r="47" spans="1:12" x14ac:dyDescent="0.2">
      <c r="A47" s="140">
        <f t="shared" si="9"/>
        <v>-8</v>
      </c>
      <c r="B47" s="141" t="s">
        <v>110</v>
      </c>
      <c r="C47" s="139" t="s">
        <v>129</v>
      </c>
      <c r="D47" s="143">
        <v>2507856</v>
      </c>
      <c r="E47" s="143">
        <v>2617461</v>
      </c>
      <c r="F47" s="143">
        <v>2649591</v>
      </c>
      <c r="G47" s="143">
        <v>2580444</v>
      </c>
      <c r="H47" s="143">
        <v>2486996</v>
      </c>
      <c r="I47" s="143">
        <v>2445362</v>
      </c>
      <c r="L47" s="122"/>
    </row>
    <row r="48" spans="1:12" x14ac:dyDescent="0.2">
      <c r="A48" s="140">
        <f t="shared" si="9"/>
        <v>-9</v>
      </c>
      <c r="B48" s="141" t="s">
        <v>107</v>
      </c>
      <c r="D48" s="142">
        <f t="shared" ref="D48:I48" si="11">+D44-D45-D46+D47</f>
        <v>2951053.66</v>
      </c>
      <c r="E48" s="142">
        <f t="shared" si="11"/>
        <v>3132713.66</v>
      </c>
      <c r="F48" s="142">
        <f t="shared" si="11"/>
        <v>3212297.66</v>
      </c>
      <c r="G48" s="142">
        <f t="shared" si="11"/>
        <v>3248571.66</v>
      </c>
      <c r="H48" s="142">
        <f t="shared" si="11"/>
        <v>3264942.66</v>
      </c>
      <c r="I48" s="142">
        <f t="shared" si="11"/>
        <v>3332405.66</v>
      </c>
    </row>
    <row r="49" spans="1:12" x14ac:dyDescent="0.2">
      <c r="A49" s="140">
        <f t="shared" si="9"/>
        <v>-10</v>
      </c>
      <c r="B49" s="141" t="s">
        <v>111</v>
      </c>
    </row>
    <row r="50" spans="1:12" x14ac:dyDescent="0.2">
      <c r="A50" s="140">
        <f t="shared" si="9"/>
        <v>-11</v>
      </c>
      <c r="B50" s="141" t="s">
        <v>114</v>
      </c>
      <c r="C50" s="139" t="s">
        <v>126</v>
      </c>
      <c r="D50" s="142">
        <v>110480774</v>
      </c>
      <c r="E50" s="142">
        <v>114430015</v>
      </c>
      <c r="F50" s="142">
        <v>118448111</v>
      </c>
      <c r="G50" s="142">
        <v>122535064</v>
      </c>
      <c r="H50" s="142">
        <v>126622017</v>
      </c>
      <c r="I50" s="142">
        <v>120790724</v>
      </c>
    </row>
    <row r="51" spans="1:12" x14ac:dyDescent="0.2">
      <c r="A51" s="140">
        <f t="shared" si="9"/>
        <v>-12</v>
      </c>
      <c r="B51" s="141" t="s">
        <v>112</v>
      </c>
      <c r="C51" s="139" t="s">
        <v>126</v>
      </c>
      <c r="D51" s="145">
        <v>85770356</v>
      </c>
      <c r="E51" s="145">
        <v>89120914</v>
      </c>
      <c r="F51" s="145">
        <v>92831013</v>
      </c>
      <c r="G51" s="145">
        <v>96303074</v>
      </c>
      <c r="H51" s="145">
        <v>100225457</v>
      </c>
      <c r="I51" s="145">
        <v>101780033</v>
      </c>
    </row>
    <row r="52" spans="1:12" x14ac:dyDescent="0.2">
      <c r="A52" s="140">
        <f t="shared" si="9"/>
        <v>-13</v>
      </c>
      <c r="B52" s="146" t="s">
        <v>113</v>
      </c>
      <c r="C52" s="139" t="s">
        <v>126</v>
      </c>
      <c r="D52" s="143">
        <v>27217701</v>
      </c>
      <c r="E52" s="143">
        <v>27155631</v>
      </c>
      <c r="F52" s="143">
        <v>27155631</v>
      </c>
      <c r="G52" s="143">
        <v>27031491</v>
      </c>
      <c r="H52" s="143">
        <v>26721142</v>
      </c>
      <c r="I52" s="143">
        <v>26410795</v>
      </c>
    </row>
    <row r="53" spans="1:12" x14ac:dyDescent="0.2">
      <c r="A53" s="140">
        <f t="shared" si="9"/>
        <v>-14</v>
      </c>
      <c r="B53" s="141" t="s">
        <v>107</v>
      </c>
      <c r="D53" s="147">
        <f t="shared" ref="D53:I53" si="12">SUM(D50:D52)</f>
        <v>223468831</v>
      </c>
      <c r="E53" s="147">
        <f t="shared" si="12"/>
        <v>230706560</v>
      </c>
      <c r="F53" s="147">
        <f t="shared" si="12"/>
        <v>238434755</v>
      </c>
      <c r="G53" s="147">
        <f t="shared" si="12"/>
        <v>245869629</v>
      </c>
      <c r="H53" s="147">
        <f t="shared" si="12"/>
        <v>253568616</v>
      </c>
      <c r="I53" s="147">
        <f t="shared" si="12"/>
        <v>248981552</v>
      </c>
    </row>
    <row r="54" spans="1:12" x14ac:dyDescent="0.2">
      <c r="A54" s="140"/>
      <c r="B54" s="141"/>
    </row>
    <row r="55" spans="1:12" x14ac:dyDescent="0.2">
      <c r="A55" s="140">
        <f>-1+A53</f>
        <v>-15</v>
      </c>
      <c r="B55" s="141" t="s">
        <v>121</v>
      </c>
      <c r="D55" s="148">
        <f t="shared" ref="D55:I55" si="13">+D42+D48-D53</f>
        <v>1107926868.6600001</v>
      </c>
      <c r="E55" s="148">
        <f t="shared" si="13"/>
        <v>1101836234.6600001</v>
      </c>
      <c r="F55" s="148">
        <f t="shared" si="13"/>
        <v>1083334754.6600001</v>
      </c>
      <c r="G55" s="148">
        <f t="shared" si="13"/>
        <v>1076396805.6600001</v>
      </c>
      <c r="H55" s="148">
        <f t="shared" si="13"/>
        <v>1068831542.6600001</v>
      </c>
      <c r="I55" s="148">
        <f t="shared" si="13"/>
        <v>1059973825.6600001</v>
      </c>
    </row>
    <row r="56" spans="1:12" x14ac:dyDescent="0.2">
      <c r="A56" s="140"/>
    </row>
    <row r="57" spans="1:12" x14ac:dyDescent="0.2">
      <c r="A57" s="140">
        <f>-1+A55</f>
        <v>-16</v>
      </c>
      <c r="B57" s="141" t="s">
        <v>122</v>
      </c>
      <c r="D57" s="142">
        <f t="shared" ref="D57:I57" si="14">ROUND(+D55/12,0)</f>
        <v>92327239</v>
      </c>
      <c r="E57" s="142">
        <f t="shared" si="14"/>
        <v>91819686</v>
      </c>
      <c r="F57" s="142">
        <f t="shared" si="14"/>
        <v>90277896</v>
      </c>
      <c r="G57" s="142">
        <f t="shared" si="14"/>
        <v>89699734</v>
      </c>
      <c r="H57" s="142">
        <f t="shared" si="14"/>
        <v>89069295</v>
      </c>
      <c r="I57" s="142">
        <f t="shared" si="14"/>
        <v>88331152</v>
      </c>
    </row>
    <row r="58" spans="1:12" x14ac:dyDescent="0.2">
      <c r="A58" s="140">
        <f t="shared" ref="A58:A59" si="15">-1+A57</f>
        <v>-17</v>
      </c>
      <c r="B58" s="141" t="s">
        <v>115</v>
      </c>
      <c r="C58" s="139" t="s">
        <v>130</v>
      </c>
      <c r="D58" s="149">
        <v>0.1104</v>
      </c>
      <c r="E58" s="149">
        <v>0.1104</v>
      </c>
      <c r="F58" s="149">
        <v>0.1104</v>
      </c>
      <c r="G58" s="149">
        <v>0.1056</v>
      </c>
      <c r="H58" s="149">
        <v>0.1056</v>
      </c>
      <c r="I58" s="149">
        <v>0.1056</v>
      </c>
    </row>
    <row r="59" spans="1:12" x14ac:dyDescent="0.2">
      <c r="A59" s="140">
        <f t="shared" si="15"/>
        <v>-18</v>
      </c>
      <c r="B59" s="141" t="s">
        <v>116</v>
      </c>
      <c r="C59" s="139" t="s">
        <v>131</v>
      </c>
      <c r="D59" s="145">
        <f>+'SuppSch TME 0312'!W53</f>
        <v>4866211</v>
      </c>
      <c r="E59" s="145">
        <f>+'SuppSch TME 0312'!W54</f>
        <v>5194379</v>
      </c>
      <c r="F59" s="145">
        <f>+'SuppSch TME 0312'!W55</f>
        <v>5223317</v>
      </c>
      <c r="G59" s="145">
        <f>+'SuppSch TME 0312'!W56</f>
        <v>5296208</v>
      </c>
      <c r="H59" s="145">
        <f>+'SuppSch TME 0312'!W57</f>
        <v>5313661</v>
      </c>
      <c r="I59" s="156">
        <f>+'SuppSch TME 0312'!W58</f>
        <v>5466732</v>
      </c>
      <c r="K59" s="145"/>
      <c r="L59" s="145"/>
    </row>
    <row r="60" spans="1:12" x14ac:dyDescent="0.2">
      <c r="A60" s="140"/>
      <c r="B60" s="150" t="s">
        <v>117</v>
      </c>
      <c r="I60" s="145"/>
    </row>
    <row r="61" spans="1:12" x14ac:dyDescent="0.2">
      <c r="A61" s="140">
        <f>-1+A59</f>
        <v>-19</v>
      </c>
      <c r="B61" s="151" t="s">
        <v>118</v>
      </c>
      <c r="C61" s="139" t="s">
        <v>141</v>
      </c>
      <c r="D61" s="143">
        <f>+'SuppSch TME 0312'!C33</f>
        <v>-9565</v>
      </c>
      <c r="E61" s="143">
        <f>+'SuppSch TME 0312'!C34</f>
        <v>-4271</v>
      </c>
      <c r="F61" s="143">
        <f>+'SuppSch TME 0312'!C35</f>
        <v>2416</v>
      </c>
      <c r="G61" s="143">
        <f>+'SuppSch TME 0312'!C36</f>
        <v>-2152</v>
      </c>
      <c r="H61" s="143">
        <f>+'SuppSch TME 0312'!C37</f>
        <v>11946</v>
      </c>
      <c r="I61" s="143">
        <f>+'SuppSch TME 0312'!C38</f>
        <v>-273473</v>
      </c>
    </row>
    <row r="62" spans="1:12" x14ac:dyDescent="0.2">
      <c r="A62" s="140"/>
    </row>
    <row r="63" spans="1:12" x14ac:dyDescent="0.2">
      <c r="A63" s="140">
        <f>-1+A61</f>
        <v>-20</v>
      </c>
      <c r="B63" s="141" t="s">
        <v>123</v>
      </c>
      <c r="D63" s="152">
        <f t="shared" ref="D63:I63" si="16">ROUND((D57*D58)+D59-D61,0)</f>
        <v>15068703</v>
      </c>
      <c r="E63" s="152">
        <f t="shared" si="16"/>
        <v>15335543</v>
      </c>
      <c r="F63" s="152">
        <f t="shared" si="16"/>
        <v>15187581</v>
      </c>
      <c r="G63" s="152">
        <f t="shared" si="16"/>
        <v>14770652</v>
      </c>
      <c r="H63" s="152">
        <f t="shared" si="16"/>
        <v>14707433</v>
      </c>
      <c r="I63" s="152">
        <f t="shared" si="16"/>
        <v>15067975</v>
      </c>
    </row>
    <row r="64" spans="1:12" x14ac:dyDescent="0.2">
      <c r="A64" s="140"/>
    </row>
    <row r="65" spans="1:12" x14ac:dyDescent="0.2">
      <c r="A65" s="140">
        <f>-1+A63</f>
        <v>-21</v>
      </c>
      <c r="B65" s="141" t="s">
        <v>119</v>
      </c>
      <c r="C65" s="139" t="s">
        <v>143</v>
      </c>
      <c r="D65" s="153">
        <f>ROUND(+'SuppSch TME 0312'!D54,4)</f>
        <v>0.85360000000000003</v>
      </c>
      <c r="E65" s="153">
        <f>ROUND(+'SuppSch TME 0312'!D55,4)</f>
        <v>0.86509999999999998</v>
      </c>
      <c r="F65" s="153">
        <f>ROUND(+'SuppSch TME 0312'!D56,4)</f>
        <v>0.83930000000000005</v>
      </c>
      <c r="G65" s="153">
        <f>ROUND(+'SuppSch TME 0312'!D57,4)</f>
        <v>0.84750000000000003</v>
      </c>
      <c r="H65" s="153">
        <f>ROUND(+'SuppSch TME 0312'!D58,4)</f>
        <v>0.87480000000000002</v>
      </c>
      <c r="I65" s="153">
        <f>ROUND(+'SuppSch TME 0312'!D59,4)</f>
        <v>0.87239999999999995</v>
      </c>
    </row>
    <row r="66" spans="1:12" x14ac:dyDescent="0.2">
      <c r="A66" s="140"/>
    </row>
    <row r="67" spans="1:12" ht="12" thickBot="1" x14ac:dyDescent="0.25">
      <c r="A67" s="140">
        <f>-1+A65</f>
        <v>-22</v>
      </c>
      <c r="B67" s="141" t="s">
        <v>120</v>
      </c>
      <c r="D67" s="154">
        <f>ROUND(+D63*D65,0)+1</f>
        <v>12862646</v>
      </c>
      <c r="E67" s="154">
        <f t="shared" ref="E67:I67" si="17">ROUND(+E63*E65,0)</f>
        <v>13266778</v>
      </c>
      <c r="F67" s="154">
        <f>ROUND(+F63*F65,0)+1</f>
        <v>12746938</v>
      </c>
      <c r="G67" s="154">
        <f t="shared" si="17"/>
        <v>12518128</v>
      </c>
      <c r="H67" s="154">
        <f>ROUND(+H63*H65,0)-1</f>
        <v>12866061</v>
      </c>
      <c r="I67" s="154">
        <f t="shared" si="17"/>
        <v>13145301</v>
      </c>
      <c r="K67" s="155">
        <f>SUM(D67:I67)</f>
        <v>77405852</v>
      </c>
      <c r="L67" s="155">
        <f>+K67+K33</f>
        <v>157496352</v>
      </c>
    </row>
    <row r="68" spans="1:12" ht="12" thickTop="1" x14ac:dyDescent="0.2"/>
    <row r="69" spans="1:12" ht="12" thickBot="1" x14ac:dyDescent="0.25">
      <c r="A69" s="140">
        <f>-1+A67</f>
        <v>-23</v>
      </c>
      <c r="B69" s="141" t="s">
        <v>148</v>
      </c>
      <c r="D69" s="154">
        <f>+D59-D61</f>
        <v>4875776</v>
      </c>
      <c r="E69" s="154">
        <f t="shared" ref="E69:I69" si="18">+E59-E61</f>
        <v>5198650</v>
      </c>
      <c r="F69" s="154">
        <f t="shared" si="18"/>
        <v>5220901</v>
      </c>
      <c r="G69" s="154">
        <f t="shared" si="18"/>
        <v>5298360</v>
      </c>
      <c r="H69" s="154">
        <f t="shared" si="18"/>
        <v>5301715</v>
      </c>
      <c r="I69" s="154">
        <f t="shared" si="18"/>
        <v>5740205</v>
      </c>
      <c r="K69" s="155">
        <f>SUM(D69:I69)</f>
        <v>31635607</v>
      </c>
      <c r="L69" s="155">
        <f>+K69+K35</f>
        <v>62185755</v>
      </c>
    </row>
    <row r="70" spans="1:12" ht="12" thickTop="1" x14ac:dyDescent="0.2"/>
    <row r="72" spans="1:12" x14ac:dyDescent="0.2">
      <c r="A72" s="139" t="s">
        <v>126</v>
      </c>
      <c r="B72" s="109" t="s">
        <v>132</v>
      </c>
    </row>
    <row r="73" spans="1:12" x14ac:dyDescent="0.2">
      <c r="A73" s="139" t="s">
        <v>127</v>
      </c>
      <c r="B73" s="109" t="s">
        <v>133</v>
      </c>
    </row>
    <row r="74" spans="1:12" x14ac:dyDescent="0.2">
      <c r="A74" s="139" t="s">
        <v>128</v>
      </c>
      <c r="B74" s="109" t="s">
        <v>136</v>
      </c>
    </row>
    <row r="75" spans="1:12" x14ac:dyDescent="0.2">
      <c r="A75" s="139" t="s">
        <v>129</v>
      </c>
      <c r="B75" s="109" t="s">
        <v>137</v>
      </c>
    </row>
    <row r="76" spans="1:12" x14ac:dyDescent="0.2">
      <c r="A76" s="139" t="s">
        <v>130</v>
      </c>
      <c r="B76" s="109" t="s">
        <v>138</v>
      </c>
    </row>
    <row r="77" spans="1:12" x14ac:dyDescent="0.2">
      <c r="A77" s="139" t="s">
        <v>131</v>
      </c>
      <c r="B77" s="109" t="s">
        <v>139</v>
      </c>
    </row>
    <row r="78" spans="1:12" x14ac:dyDescent="0.2">
      <c r="A78" s="139" t="s">
        <v>141</v>
      </c>
      <c r="B78" s="109" t="s">
        <v>144</v>
      </c>
    </row>
    <row r="79" spans="1:12" x14ac:dyDescent="0.2">
      <c r="A79" s="139" t="s">
        <v>143</v>
      </c>
      <c r="B79" s="109" t="s">
        <v>142</v>
      </c>
    </row>
  </sheetData>
  <pageMargins left="0.75" right="0.5" top="1.25" bottom="0.75" header="0.55000000000000004" footer="0.55000000000000004"/>
  <pageSetup scale="72" orientation="portrait" r:id="rId1"/>
  <headerFooter>
    <oddHeader>&amp;R&amp;"Times New Roman,Bold"&amp;12Conroy Exhibit P4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"/>
  <sheetViews>
    <sheetView zoomScaleNormal="100" zoomScaleSheetLayoutView="100" workbookViewId="0">
      <selection activeCell="C21" sqref="C21"/>
    </sheetView>
  </sheetViews>
  <sheetFormatPr defaultRowHeight="11.25" x14ac:dyDescent="0.2"/>
  <cols>
    <col min="1" max="1" width="9.140625" style="109" customWidth="1"/>
    <col min="2" max="2" width="12.140625" style="109" customWidth="1"/>
    <col min="3" max="3" width="13" style="109" customWidth="1"/>
    <col min="4" max="4" width="11.140625" style="109" customWidth="1"/>
    <col min="5" max="6" width="10.28515625" style="109" customWidth="1"/>
    <col min="7" max="7" width="9.7109375" style="109" customWidth="1"/>
    <col min="8" max="8" width="10.42578125" style="109" customWidth="1"/>
    <col min="9" max="9" width="9.85546875" style="109" customWidth="1"/>
    <col min="10" max="10" width="9.140625" style="109" customWidth="1"/>
    <col min="11" max="11" width="10.140625" style="109" customWidth="1"/>
    <col min="12" max="12" width="1.42578125" style="109" customWidth="1"/>
    <col min="13" max="13" width="9.140625" style="109" customWidth="1"/>
    <col min="14" max="14" width="11.7109375" style="109" customWidth="1"/>
    <col min="15" max="15" width="11.85546875" style="109" customWidth="1"/>
    <col min="16" max="18" width="10.28515625" style="109" customWidth="1"/>
    <col min="19" max="19" width="9.7109375" style="109" customWidth="1"/>
    <col min="20" max="20" width="10.42578125" style="109" customWidth="1"/>
    <col min="21" max="22" width="9.85546875" style="109" customWidth="1"/>
    <col min="23" max="23" width="10.140625" style="109" customWidth="1"/>
    <col min="24" max="24" width="1.42578125" style="109" customWidth="1"/>
    <col min="25" max="25" width="9.140625" style="109" customWidth="1"/>
    <col min="26" max="26" width="11.7109375" style="109" customWidth="1"/>
    <col min="27" max="27" width="12.42578125" style="109" customWidth="1"/>
    <col min="28" max="30" width="10.28515625" style="109" customWidth="1"/>
    <col min="31" max="31" width="9.7109375" style="109" customWidth="1"/>
    <col min="32" max="32" width="10.42578125" style="109" customWidth="1"/>
    <col min="33" max="34" width="9.85546875" style="109" customWidth="1"/>
    <col min="35" max="35" width="10.140625" style="109" customWidth="1"/>
    <col min="36" max="16384" width="9.140625" style="109"/>
  </cols>
  <sheetData>
    <row r="1" spans="1:35" x14ac:dyDescent="0.2">
      <c r="A1" s="108" t="s">
        <v>104</v>
      </c>
      <c r="M1" s="108" t="s">
        <v>104</v>
      </c>
      <c r="Y1" s="108" t="s">
        <v>104</v>
      </c>
    </row>
    <row r="2" spans="1:35" x14ac:dyDescent="0.2">
      <c r="A2" s="108" t="s">
        <v>98</v>
      </c>
      <c r="M2" s="108" t="s">
        <v>98</v>
      </c>
      <c r="Y2" s="108" t="s">
        <v>98</v>
      </c>
    </row>
    <row r="3" spans="1:35" x14ac:dyDescent="0.2">
      <c r="M3" s="108" t="s">
        <v>80</v>
      </c>
      <c r="Y3" s="108" t="s">
        <v>101</v>
      </c>
    </row>
    <row r="4" spans="1:35" ht="56.25" customHeight="1" x14ac:dyDescent="0.2">
      <c r="A4" s="108" t="s">
        <v>96</v>
      </c>
      <c r="B4" s="110" t="s">
        <v>29</v>
      </c>
      <c r="C4" s="110" t="s">
        <v>30</v>
      </c>
      <c r="D4" s="159" t="s">
        <v>31</v>
      </c>
      <c r="E4" s="159"/>
      <c r="F4" s="159"/>
      <c r="G4" s="111" t="s">
        <v>94</v>
      </c>
      <c r="H4" s="110" t="s">
        <v>97</v>
      </c>
      <c r="I4" s="111" t="s">
        <v>88</v>
      </c>
      <c r="J4" s="110" t="s">
        <v>86</v>
      </c>
      <c r="K4" s="110" t="s">
        <v>39</v>
      </c>
      <c r="M4" s="108" t="s">
        <v>48</v>
      </c>
      <c r="N4" s="110" t="s">
        <v>29</v>
      </c>
      <c r="O4" s="110" t="s">
        <v>30</v>
      </c>
      <c r="P4" s="159" t="s">
        <v>31</v>
      </c>
      <c r="Q4" s="159"/>
      <c r="R4" s="159"/>
      <c r="S4" s="111" t="s">
        <v>94</v>
      </c>
      <c r="T4" s="110" t="s">
        <v>97</v>
      </c>
      <c r="U4" s="111" t="s">
        <v>88</v>
      </c>
      <c r="V4" s="110" t="s">
        <v>86</v>
      </c>
      <c r="W4" s="110" t="s">
        <v>39</v>
      </c>
      <c r="Y4" s="108" t="s">
        <v>75</v>
      </c>
      <c r="Z4" s="110" t="s">
        <v>29</v>
      </c>
      <c r="AA4" s="110" t="s">
        <v>30</v>
      </c>
      <c r="AB4" s="159" t="s">
        <v>31</v>
      </c>
      <c r="AC4" s="159"/>
      <c r="AD4" s="159"/>
      <c r="AE4" s="111" t="s">
        <v>94</v>
      </c>
      <c r="AF4" s="110" t="s">
        <v>97</v>
      </c>
      <c r="AG4" s="111" t="s">
        <v>88</v>
      </c>
      <c r="AH4" s="110" t="s">
        <v>86</v>
      </c>
      <c r="AI4" s="110" t="s">
        <v>39</v>
      </c>
    </row>
    <row r="5" spans="1:35" x14ac:dyDescent="0.2">
      <c r="A5" s="77"/>
      <c r="B5" s="111" t="s">
        <v>34</v>
      </c>
      <c r="C5" s="112"/>
      <c r="D5" s="112" t="s">
        <v>35</v>
      </c>
      <c r="E5" s="112" t="s">
        <v>36</v>
      </c>
      <c r="F5" s="111" t="s">
        <v>37</v>
      </c>
      <c r="G5" s="111" t="s">
        <v>38</v>
      </c>
      <c r="H5" s="111" t="s">
        <v>38</v>
      </c>
      <c r="I5" s="111" t="s">
        <v>87</v>
      </c>
      <c r="N5" s="110" t="s">
        <v>34</v>
      </c>
      <c r="O5" s="81"/>
      <c r="P5" s="81" t="s">
        <v>35</v>
      </c>
      <c r="Q5" s="81" t="s">
        <v>36</v>
      </c>
      <c r="R5" s="110" t="s">
        <v>37</v>
      </c>
      <c r="T5" s="111" t="s">
        <v>38</v>
      </c>
      <c r="U5" s="111" t="s">
        <v>87</v>
      </c>
      <c r="Z5" s="110" t="s">
        <v>34</v>
      </c>
      <c r="AA5" s="81"/>
      <c r="AB5" s="81" t="s">
        <v>35</v>
      </c>
      <c r="AC5" s="81" t="s">
        <v>36</v>
      </c>
      <c r="AD5" s="110" t="s">
        <v>37</v>
      </c>
      <c r="AF5" s="111" t="s">
        <v>38</v>
      </c>
      <c r="AG5" s="111" t="s">
        <v>87</v>
      </c>
    </row>
    <row r="6" spans="1:35" x14ac:dyDescent="0.2">
      <c r="A6" s="113">
        <f>+'SuppSch-by Plan TME0312'!A6</f>
        <v>40663</v>
      </c>
      <c r="B6" s="84">
        <f>+'SuppSch-by Plan TME0312'!B6+'SuppSch-by Plan TME0312'!K6+'SuppSch-by Plan TME0312'!T6+'SuppSch-by Plan TME0312'!AD6</f>
        <v>3901713</v>
      </c>
      <c r="C6" s="84">
        <f>+'SuppSch-by Plan TME0312'!C6+'SuppSch-by Plan TME0312'!L6+'SuppSch-by Plan TME0312'!U6+'SuppSch-by Plan TME0312'!AE6</f>
        <v>162365</v>
      </c>
      <c r="D6" s="84">
        <f>+'SuppSch-by Plan TME0312'!D6+'SuppSch-by Plan TME0312'!M6+'SuppSch-by Plan TME0312'!V6+'SuppSch-by Plan TME0312'!AF6</f>
        <v>259568</v>
      </c>
      <c r="E6" s="84">
        <f>+'SuppSch-by Plan TME0312'!E6+'SuppSch-by Plan TME0312'!N6+'SuppSch-by Plan TME0312'!W6+'SuppSch-by Plan TME0312'!AG6</f>
        <v>658367</v>
      </c>
      <c r="F6" s="84">
        <f>+'SuppSch-by Plan TME0312'!F6+'SuppSch-by Plan TME0312'!O6+'SuppSch-by Plan TME0312'!X6+'SuppSch-by Plan TME0312'!AH6</f>
        <v>674899</v>
      </c>
      <c r="G6" s="84">
        <f>+'SuppSch-by Plan TME0312'!G6</f>
        <v>-4862</v>
      </c>
      <c r="H6" s="84">
        <f>+'SuppSch-by Plan TME0312'!Y6</f>
        <v>9235</v>
      </c>
      <c r="I6" s="84">
        <f>+'SuppSch-by Plan TME0312'!Z6</f>
        <v>0</v>
      </c>
      <c r="J6" s="84">
        <f>+'SuppSch-by Plan TME0312'!AI6</f>
        <v>0</v>
      </c>
      <c r="K6" s="84">
        <f>SUM(B6:J6)</f>
        <v>5661285</v>
      </c>
      <c r="L6" s="84"/>
      <c r="M6" s="113">
        <f>+$A6</f>
        <v>40663</v>
      </c>
      <c r="N6" s="84">
        <f>+'SuppSch-by Plan TME0312'!B6</f>
        <v>3221657</v>
      </c>
      <c r="O6" s="84">
        <f>+'SuppSch-by Plan TME0312'!C6</f>
        <v>131769</v>
      </c>
      <c r="P6" s="84">
        <f>+'SuppSch-by Plan TME0312'!D6</f>
        <v>259568</v>
      </c>
      <c r="Q6" s="84">
        <f>+'SuppSch-by Plan TME0312'!E6</f>
        <v>0</v>
      </c>
      <c r="R6" s="84">
        <f>+'SuppSch-by Plan TME0312'!F6</f>
        <v>635436</v>
      </c>
      <c r="S6" s="84">
        <f>+'SuppSch-by Plan TME0312'!G6</f>
        <v>-4862</v>
      </c>
      <c r="T6" s="84">
        <v>0</v>
      </c>
      <c r="U6" s="84">
        <v>0</v>
      </c>
      <c r="V6" s="84">
        <v>0</v>
      </c>
      <c r="W6" s="84">
        <f>SUM(N6:V6)</f>
        <v>4243568</v>
      </c>
      <c r="X6" s="84"/>
      <c r="Y6" s="113">
        <f>+$A6</f>
        <v>40663</v>
      </c>
      <c r="Z6" s="84">
        <f>+'SuppSch-by Plan TME0312'!T6</f>
        <v>0</v>
      </c>
      <c r="AA6" s="84">
        <f>+'SuppSch-by Plan TME0312'!U6</f>
        <v>5683</v>
      </c>
      <c r="AB6" s="84">
        <f>+'SuppSch-by Plan TME0312'!V6</f>
        <v>0</v>
      </c>
      <c r="AC6" s="84">
        <f>+'SuppSch-by Plan TME0312'!W6</f>
        <v>0</v>
      </c>
      <c r="AD6" s="84">
        <f>+'SuppSch-by Plan TME0312'!X6</f>
        <v>0</v>
      </c>
      <c r="AE6" s="84">
        <v>0</v>
      </c>
      <c r="AF6" s="84">
        <f>+'SuppSch-by Plan TME0312'!Y6</f>
        <v>9235</v>
      </c>
      <c r="AG6" s="84">
        <f>+'SuppSch-by Plan TME0312'!Z6</f>
        <v>0</v>
      </c>
      <c r="AH6" s="84">
        <v>0</v>
      </c>
      <c r="AI6" s="84">
        <f>SUM(Z6:AH6)</f>
        <v>14918</v>
      </c>
    </row>
    <row r="7" spans="1:35" x14ac:dyDescent="0.2">
      <c r="A7" s="113">
        <f>+'SuppSch-by Plan TME0312'!A7</f>
        <v>40694</v>
      </c>
      <c r="B7" s="84">
        <f>+'SuppSch-by Plan TME0312'!B7+'SuppSch-by Plan TME0312'!K7+'SuppSch-by Plan TME0312'!T7+'SuppSch-by Plan TME0312'!AD7</f>
        <v>3901949</v>
      </c>
      <c r="C7" s="84">
        <f>+'SuppSch-by Plan TME0312'!C7+'SuppSch-by Plan TME0312'!L7+'SuppSch-by Plan TME0312'!U7+'SuppSch-by Plan TME0312'!AE7</f>
        <v>162365</v>
      </c>
      <c r="D7" s="84">
        <f>+'SuppSch-by Plan TME0312'!D7+'SuppSch-by Plan TME0312'!M7+'SuppSch-by Plan TME0312'!V7+'SuppSch-by Plan TME0312'!AF7</f>
        <v>457237</v>
      </c>
      <c r="E7" s="84">
        <f>+'SuppSch-by Plan TME0312'!E7+'SuppSch-by Plan TME0312'!N7+'SuppSch-by Plan TME0312'!W7+'SuppSch-by Plan TME0312'!AG7</f>
        <v>992127</v>
      </c>
      <c r="F7" s="84">
        <f>+'SuppSch-by Plan TME0312'!F7+'SuppSch-by Plan TME0312'!O7+'SuppSch-by Plan TME0312'!X7+'SuppSch-by Plan TME0312'!AH7</f>
        <v>341017</v>
      </c>
      <c r="G7" s="84">
        <f>+'SuppSch-by Plan TME0312'!G7</f>
        <v>-4862</v>
      </c>
      <c r="H7" s="84">
        <f>+'SuppSch-by Plan TME0312'!Y7</f>
        <v>7409</v>
      </c>
      <c r="I7" s="84">
        <f>+'SuppSch-by Plan TME0312'!Z7</f>
        <v>0</v>
      </c>
      <c r="J7" s="84">
        <f>+'SuppSch-by Plan TME0312'!AI7</f>
        <v>0</v>
      </c>
      <c r="K7" s="84">
        <f t="shared" ref="K7:K17" si="0">SUM(B7:J7)</f>
        <v>5857242</v>
      </c>
      <c r="L7" s="84"/>
      <c r="M7" s="113">
        <f t="shared" ref="M7:M19" si="1">+$A7</f>
        <v>40694</v>
      </c>
      <c r="N7" s="84">
        <f>+'SuppSch-by Plan TME0312'!B7</f>
        <v>3221657</v>
      </c>
      <c r="O7" s="84">
        <f>+'SuppSch-by Plan TME0312'!C7</f>
        <v>131769</v>
      </c>
      <c r="P7" s="84">
        <f>+'SuppSch-by Plan TME0312'!D7</f>
        <v>369409</v>
      </c>
      <c r="Q7" s="84">
        <f>+'SuppSch-by Plan TME0312'!E7</f>
        <v>0</v>
      </c>
      <c r="R7" s="84">
        <f>+'SuppSch-by Plan TME0312'!F7</f>
        <v>298698</v>
      </c>
      <c r="S7" s="84">
        <f>+'SuppSch-by Plan TME0312'!G7</f>
        <v>-4862</v>
      </c>
      <c r="T7" s="84">
        <v>0</v>
      </c>
      <c r="U7" s="84">
        <v>0</v>
      </c>
      <c r="V7" s="84">
        <v>0</v>
      </c>
      <c r="W7" s="84">
        <f t="shared" ref="W7:W17" si="2">SUM(N7:V7)</f>
        <v>4016671</v>
      </c>
      <c r="X7" s="84"/>
      <c r="Y7" s="113">
        <f t="shared" ref="Y7:Y19" si="3">+$A7</f>
        <v>40694</v>
      </c>
      <c r="Z7" s="84">
        <f>+'SuppSch-by Plan TME0312'!T7</f>
        <v>0</v>
      </c>
      <c r="AA7" s="84">
        <f>+'SuppSch-by Plan TME0312'!U7</f>
        <v>5683</v>
      </c>
      <c r="AB7" s="84">
        <f>+'SuppSch-by Plan TME0312'!V7</f>
        <v>0</v>
      </c>
      <c r="AC7" s="84">
        <f>+'SuppSch-by Plan TME0312'!W7</f>
        <v>0</v>
      </c>
      <c r="AD7" s="84">
        <f>+'SuppSch-by Plan TME0312'!X7</f>
        <v>0</v>
      </c>
      <c r="AE7" s="84">
        <v>0</v>
      </c>
      <c r="AF7" s="84">
        <f>+'SuppSch-by Plan TME0312'!Y7</f>
        <v>7409</v>
      </c>
      <c r="AG7" s="84">
        <f>+'SuppSch-by Plan TME0312'!Z7</f>
        <v>0</v>
      </c>
      <c r="AH7" s="84">
        <v>0</v>
      </c>
      <c r="AI7" s="84">
        <f t="shared" ref="AI7:AI17" si="4">SUM(Z7:AH7)</f>
        <v>13092</v>
      </c>
    </row>
    <row r="8" spans="1:35" x14ac:dyDescent="0.2">
      <c r="A8" s="113">
        <f>+'SuppSch-by Plan TME0312'!A8</f>
        <v>40724</v>
      </c>
      <c r="B8" s="84">
        <f>+'SuppSch-by Plan TME0312'!B8+'SuppSch-by Plan TME0312'!K8+'SuppSch-by Plan TME0312'!T8+'SuppSch-by Plan TME0312'!AD8</f>
        <v>3920254</v>
      </c>
      <c r="C8" s="84">
        <f>+'SuppSch-by Plan TME0312'!C8+'SuppSch-by Plan TME0312'!L8+'SuppSch-by Plan TME0312'!U8+'SuppSch-by Plan TME0312'!AE8</f>
        <v>162352</v>
      </c>
      <c r="D8" s="84">
        <f>+'SuppSch-by Plan TME0312'!D8+'SuppSch-by Plan TME0312'!M8+'SuppSch-by Plan TME0312'!V8+'SuppSch-by Plan TME0312'!AF8</f>
        <v>527831</v>
      </c>
      <c r="E8" s="84">
        <f>+'SuppSch-by Plan TME0312'!E8+'SuppSch-by Plan TME0312'!N8+'SuppSch-by Plan TME0312'!W8+'SuppSch-by Plan TME0312'!AG8</f>
        <v>1110985</v>
      </c>
      <c r="F8" s="84">
        <f>+'SuppSch-by Plan TME0312'!F8+'SuppSch-by Plan TME0312'!O8+'SuppSch-by Plan TME0312'!X8+'SuppSch-by Plan TME0312'!AH8</f>
        <v>366370</v>
      </c>
      <c r="G8" s="84">
        <f>+'SuppSch-by Plan TME0312'!G8</f>
        <v>-4862</v>
      </c>
      <c r="H8" s="84">
        <f>+'SuppSch-by Plan TME0312'!Y8</f>
        <v>11026</v>
      </c>
      <c r="I8" s="84">
        <f>+'SuppSch-by Plan TME0312'!Z8</f>
        <v>0</v>
      </c>
      <c r="J8" s="84">
        <f>+'SuppSch-by Plan TME0312'!AI8</f>
        <v>0</v>
      </c>
      <c r="K8" s="84">
        <f t="shared" si="0"/>
        <v>6093956</v>
      </c>
      <c r="L8" s="84"/>
      <c r="M8" s="113">
        <f t="shared" si="1"/>
        <v>40724</v>
      </c>
      <c r="N8" s="84">
        <f>+'SuppSch-by Plan TME0312'!B8</f>
        <v>3237152</v>
      </c>
      <c r="O8" s="84">
        <f>+'SuppSch-by Plan TME0312'!C8</f>
        <v>131756</v>
      </c>
      <c r="P8" s="84">
        <f>+'SuppSch-by Plan TME0312'!D8</f>
        <v>444332</v>
      </c>
      <c r="Q8" s="84">
        <f>+'SuppSch-by Plan TME0312'!E8</f>
        <v>0</v>
      </c>
      <c r="R8" s="84">
        <f>+'SuppSch-by Plan TME0312'!F8</f>
        <v>324141</v>
      </c>
      <c r="S8" s="84">
        <f>+'SuppSch-by Plan TME0312'!G8</f>
        <v>-4862</v>
      </c>
      <c r="T8" s="84">
        <v>0</v>
      </c>
      <c r="U8" s="84">
        <v>0</v>
      </c>
      <c r="V8" s="84">
        <v>0</v>
      </c>
      <c r="W8" s="84">
        <f t="shared" si="2"/>
        <v>4132519</v>
      </c>
      <c r="X8" s="84"/>
      <c r="Y8" s="113">
        <f t="shared" si="3"/>
        <v>40724</v>
      </c>
      <c r="Z8" s="84">
        <f>+'SuppSch-by Plan TME0312'!T8</f>
        <v>0</v>
      </c>
      <c r="AA8" s="84">
        <f>+'SuppSch-by Plan TME0312'!U8</f>
        <v>5683</v>
      </c>
      <c r="AB8" s="84">
        <f>+'SuppSch-by Plan TME0312'!V8</f>
        <v>0</v>
      </c>
      <c r="AC8" s="84">
        <f>+'SuppSch-by Plan TME0312'!W8</f>
        <v>0</v>
      </c>
      <c r="AD8" s="84">
        <f>+'SuppSch-by Plan TME0312'!X8</f>
        <v>0</v>
      </c>
      <c r="AE8" s="84">
        <v>0</v>
      </c>
      <c r="AF8" s="84">
        <f>+'SuppSch-by Plan TME0312'!Y8</f>
        <v>11026</v>
      </c>
      <c r="AG8" s="84">
        <f>+'SuppSch-by Plan TME0312'!Z8</f>
        <v>0</v>
      </c>
      <c r="AH8" s="84">
        <v>0</v>
      </c>
      <c r="AI8" s="84">
        <f t="shared" si="4"/>
        <v>16709</v>
      </c>
    </row>
    <row r="9" spans="1:35" x14ac:dyDescent="0.2">
      <c r="A9" s="113">
        <f>+'SuppSch-by Plan TME0312'!A9</f>
        <v>40755</v>
      </c>
      <c r="B9" s="84">
        <f>+'SuppSch-by Plan TME0312'!B9+'SuppSch-by Plan TME0312'!K9+'SuppSch-by Plan TME0312'!T9+'SuppSch-by Plan TME0312'!AD9</f>
        <v>3939299</v>
      </c>
      <c r="C9" s="84">
        <f>+'SuppSch-by Plan TME0312'!C9+'SuppSch-by Plan TME0312'!L9+'SuppSch-by Plan TME0312'!U9+'SuppSch-by Plan TME0312'!AE9</f>
        <v>162352</v>
      </c>
      <c r="D9" s="84">
        <f>+'SuppSch-by Plan TME0312'!D9+'SuppSch-by Plan TME0312'!M9+'SuppSch-by Plan TME0312'!V9+'SuppSch-by Plan TME0312'!AF9</f>
        <v>486595</v>
      </c>
      <c r="E9" s="84">
        <f>+'SuppSch-by Plan TME0312'!E9+'SuppSch-by Plan TME0312'!N9+'SuppSch-by Plan TME0312'!W9+'SuppSch-by Plan TME0312'!AG9</f>
        <v>1084647</v>
      </c>
      <c r="F9" s="84">
        <f>+'SuppSch-by Plan TME0312'!F9+'SuppSch-by Plan TME0312'!O9+'SuppSch-by Plan TME0312'!X9+'SuppSch-by Plan TME0312'!AH9</f>
        <v>294314</v>
      </c>
      <c r="G9" s="84">
        <f>+'SuppSch-by Plan TME0312'!G9</f>
        <v>-4862</v>
      </c>
      <c r="H9" s="84">
        <f>+'SuppSch-by Plan TME0312'!Y9</f>
        <v>11050</v>
      </c>
      <c r="I9" s="84">
        <f>+'SuppSch-by Plan TME0312'!Z9</f>
        <v>0</v>
      </c>
      <c r="J9" s="84">
        <f>+'SuppSch-by Plan TME0312'!AI9</f>
        <v>0</v>
      </c>
      <c r="K9" s="84">
        <f t="shared" si="0"/>
        <v>5973395</v>
      </c>
      <c r="L9" s="84"/>
      <c r="M9" s="113">
        <f t="shared" si="1"/>
        <v>40755</v>
      </c>
      <c r="N9" s="84">
        <f>+'SuppSch-by Plan TME0312'!B9</f>
        <v>3253387</v>
      </c>
      <c r="O9" s="84">
        <f>+'SuppSch-by Plan TME0312'!C9</f>
        <v>131756</v>
      </c>
      <c r="P9" s="84">
        <f>+'SuppSch-by Plan TME0312'!D9</f>
        <v>406121</v>
      </c>
      <c r="Q9" s="84">
        <f>+'SuppSch-by Plan TME0312'!E9</f>
        <v>0</v>
      </c>
      <c r="R9" s="84">
        <f>+'SuppSch-by Plan TME0312'!F9</f>
        <v>234475</v>
      </c>
      <c r="S9" s="84">
        <f>+'SuppSch-by Plan TME0312'!G9</f>
        <v>-4862</v>
      </c>
      <c r="T9" s="84">
        <v>0</v>
      </c>
      <c r="U9" s="84">
        <v>0</v>
      </c>
      <c r="V9" s="84">
        <v>0</v>
      </c>
      <c r="W9" s="84">
        <f t="shared" si="2"/>
        <v>4020877</v>
      </c>
      <c r="X9" s="84"/>
      <c r="Y9" s="113">
        <f t="shared" si="3"/>
        <v>40755</v>
      </c>
      <c r="Z9" s="84">
        <f>+'SuppSch-by Plan TME0312'!T9</f>
        <v>0</v>
      </c>
      <c r="AA9" s="84">
        <f>+'SuppSch-by Plan TME0312'!U9</f>
        <v>5683</v>
      </c>
      <c r="AB9" s="84">
        <f>+'SuppSch-by Plan TME0312'!V9</f>
        <v>0</v>
      </c>
      <c r="AC9" s="84">
        <f>+'SuppSch-by Plan TME0312'!W9</f>
        <v>0</v>
      </c>
      <c r="AD9" s="84">
        <f>+'SuppSch-by Plan TME0312'!X9</f>
        <v>0</v>
      </c>
      <c r="AE9" s="84">
        <v>0</v>
      </c>
      <c r="AF9" s="84">
        <f>+'SuppSch-by Plan TME0312'!Y9</f>
        <v>11050</v>
      </c>
      <c r="AG9" s="84">
        <f>+'SuppSch-by Plan TME0312'!Z9</f>
        <v>0</v>
      </c>
      <c r="AH9" s="84">
        <v>0</v>
      </c>
      <c r="AI9" s="84">
        <f t="shared" si="4"/>
        <v>16733</v>
      </c>
    </row>
    <row r="10" spans="1:35" x14ac:dyDescent="0.2">
      <c r="A10" s="113">
        <f>+'SuppSch-by Plan TME0312'!A10</f>
        <v>40786</v>
      </c>
      <c r="B10" s="84">
        <f>+'SuppSch-by Plan TME0312'!B10+'SuppSch-by Plan TME0312'!K10+'SuppSch-by Plan TME0312'!T10+'SuppSch-by Plan TME0312'!AD10</f>
        <v>3939299</v>
      </c>
      <c r="C10" s="84">
        <f>+'SuppSch-by Plan TME0312'!C10+'SuppSch-by Plan TME0312'!L10+'SuppSch-by Plan TME0312'!U10+'SuppSch-by Plan TME0312'!AE10</f>
        <v>162352</v>
      </c>
      <c r="D10" s="84">
        <f>+'SuppSch-by Plan TME0312'!D10+'SuppSch-by Plan TME0312'!M10+'SuppSch-by Plan TME0312'!V10+'SuppSch-by Plan TME0312'!AF10</f>
        <v>423142</v>
      </c>
      <c r="E10" s="84">
        <f>+'SuppSch-by Plan TME0312'!E10+'SuppSch-by Plan TME0312'!N10+'SuppSch-by Plan TME0312'!W10+'SuppSch-by Plan TME0312'!AG10</f>
        <v>1597469</v>
      </c>
      <c r="F10" s="84">
        <f>+'SuppSch-by Plan TME0312'!F10+'SuppSch-by Plan TME0312'!O10+'SuppSch-by Plan TME0312'!X10+'SuppSch-by Plan TME0312'!AH10</f>
        <v>415341</v>
      </c>
      <c r="G10" s="84">
        <f>+'SuppSch-by Plan TME0312'!G10</f>
        <v>-4862</v>
      </c>
      <c r="H10" s="84">
        <f>+'SuppSch-by Plan TME0312'!Y10</f>
        <v>11046</v>
      </c>
      <c r="I10" s="84">
        <f>+'SuppSch-by Plan TME0312'!Z10</f>
        <v>0</v>
      </c>
      <c r="J10" s="84">
        <f>+'SuppSch-by Plan TME0312'!AI10</f>
        <v>0</v>
      </c>
      <c r="K10" s="84">
        <f t="shared" si="0"/>
        <v>6543787</v>
      </c>
      <c r="L10" s="84"/>
      <c r="M10" s="113">
        <f t="shared" si="1"/>
        <v>40786</v>
      </c>
      <c r="N10" s="84">
        <f>+'SuppSch-by Plan TME0312'!B10</f>
        <v>3253387</v>
      </c>
      <c r="O10" s="84">
        <f>+'SuppSch-by Plan TME0312'!C10</f>
        <v>131756</v>
      </c>
      <c r="P10" s="84">
        <f>+'SuppSch-by Plan TME0312'!D10</f>
        <v>365175</v>
      </c>
      <c r="Q10" s="84">
        <f>+'SuppSch-by Plan TME0312'!E10</f>
        <v>0</v>
      </c>
      <c r="R10" s="84">
        <f>+'SuppSch-by Plan TME0312'!F10</f>
        <v>356449</v>
      </c>
      <c r="S10" s="84">
        <f>+'SuppSch-by Plan TME0312'!G10</f>
        <v>-4862</v>
      </c>
      <c r="T10" s="84">
        <v>0</v>
      </c>
      <c r="U10" s="84">
        <v>0</v>
      </c>
      <c r="V10" s="84">
        <v>0</v>
      </c>
      <c r="W10" s="84">
        <f t="shared" si="2"/>
        <v>4101905</v>
      </c>
      <c r="X10" s="84"/>
      <c r="Y10" s="113">
        <f t="shared" si="3"/>
        <v>40786</v>
      </c>
      <c r="Z10" s="84">
        <f>+'SuppSch-by Plan TME0312'!T10</f>
        <v>0</v>
      </c>
      <c r="AA10" s="84">
        <f>+'SuppSch-by Plan TME0312'!U10</f>
        <v>5683</v>
      </c>
      <c r="AB10" s="84">
        <f>+'SuppSch-by Plan TME0312'!V10</f>
        <v>0</v>
      </c>
      <c r="AC10" s="84">
        <f>+'SuppSch-by Plan TME0312'!W10</f>
        <v>0</v>
      </c>
      <c r="AD10" s="84">
        <f>+'SuppSch-by Plan TME0312'!X10</f>
        <v>0</v>
      </c>
      <c r="AE10" s="84">
        <v>0</v>
      </c>
      <c r="AF10" s="84">
        <f>+'SuppSch-by Plan TME0312'!Y10</f>
        <v>11046</v>
      </c>
      <c r="AG10" s="84">
        <f>+'SuppSch-by Plan TME0312'!Z10</f>
        <v>0</v>
      </c>
      <c r="AH10" s="84">
        <v>0</v>
      </c>
      <c r="AI10" s="84">
        <f t="shared" si="4"/>
        <v>16729</v>
      </c>
    </row>
    <row r="11" spans="1:35" x14ac:dyDescent="0.2">
      <c r="A11" s="113">
        <f>+'SuppSch-by Plan TME0312'!A11</f>
        <v>40816</v>
      </c>
      <c r="B11" s="84">
        <f>+'SuppSch-by Plan TME0312'!B11+'SuppSch-by Plan TME0312'!K11+'SuppSch-by Plan TME0312'!T11+'SuppSch-by Plan TME0312'!AD11</f>
        <v>3939299</v>
      </c>
      <c r="C11" s="84">
        <f>+'SuppSch-by Plan TME0312'!C11+'SuppSch-by Plan TME0312'!L11+'SuppSch-by Plan TME0312'!U11+'SuppSch-by Plan TME0312'!AE11</f>
        <v>162352</v>
      </c>
      <c r="D11" s="84">
        <f>+'SuppSch-by Plan TME0312'!D11+'SuppSch-by Plan TME0312'!M11+'SuppSch-by Plan TME0312'!V11+'SuppSch-by Plan TME0312'!AF11</f>
        <v>381719</v>
      </c>
      <c r="E11" s="84">
        <f>+'SuppSch-by Plan TME0312'!E11+'SuppSch-by Plan TME0312'!N11+'SuppSch-by Plan TME0312'!W11+'SuppSch-by Plan TME0312'!AG11</f>
        <v>1081037.3</v>
      </c>
      <c r="F11" s="84">
        <f>+'SuppSch-by Plan TME0312'!F11+'SuppSch-by Plan TME0312'!O11+'SuppSch-by Plan TME0312'!X11+'SuppSch-by Plan TME0312'!AH11</f>
        <v>326113</v>
      </c>
      <c r="G11" s="84">
        <f>+'SuppSch-by Plan TME0312'!G11</f>
        <v>-4862</v>
      </c>
      <c r="H11" s="84">
        <f>+'SuppSch-by Plan TME0312'!Y11</f>
        <v>7836</v>
      </c>
      <c r="I11" s="84">
        <f>+'SuppSch-by Plan TME0312'!Z11</f>
        <v>0</v>
      </c>
      <c r="J11" s="84">
        <f>+'SuppSch-by Plan TME0312'!AI11</f>
        <v>16424.7</v>
      </c>
      <c r="K11" s="84">
        <f t="shared" si="0"/>
        <v>5909919</v>
      </c>
      <c r="L11" s="84"/>
      <c r="M11" s="113">
        <f t="shared" si="1"/>
        <v>40816</v>
      </c>
      <c r="N11" s="84">
        <f>+'SuppSch-by Plan TME0312'!B11</f>
        <v>3253387</v>
      </c>
      <c r="O11" s="84">
        <f>+'SuppSch-by Plan TME0312'!C11</f>
        <v>131756</v>
      </c>
      <c r="P11" s="84">
        <f>+'SuppSch-by Plan TME0312'!D11</f>
        <v>350379</v>
      </c>
      <c r="Q11" s="84">
        <f>+'SuppSch-by Plan TME0312'!E11</f>
        <v>0</v>
      </c>
      <c r="R11" s="84">
        <f>+'SuppSch-by Plan TME0312'!F11</f>
        <v>260958</v>
      </c>
      <c r="S11" s="84">
        <f>+'SuppSch-by Plan TME0312'!G11</f>
        <v>-4862</v>
      </c>
      <c r="T11" s="84">
        <v>0</v>
      </c>
      <c r="U11" s="84">
        <v>0</v>
      </c>
      <c r="V11" s="84">
        <v>0</v>
      </c>
      <c r="W11" s="84">
        <f t="shared" si="2"/>
        <v>3991618</v>
      </c>
      <c r="X11" s="84"/>
      <c r="Y11" s="113">
        <f t="shared" si="3"/>
        <v>40816</v>
      </c>
      <c r="Z11" s="84">
        <f>+'SuppSch-by Plan TME0312'!T11</f>
        <v>0</v>
      </c>
      <c r="AA11" s="84">
        <f>+'SuppSch-by Plan TME0312'!U11</f>
        <v>5683</v>
      </c>
      <c r="AB11" s="84">
        <f>+'SuppSch-by Plan TME0312'!V11</f>
        <v>0</v>
      </c>
      <c r="AC11" s="84">
        <f>+'SuppSch-by Plan TME0312'!W11</f>
        <v>0</v>
      </c>
      <c r="AD11" s="84">
        <f>+'SuppSch-by Plan TME0312'!X11</f>
        <v>0</v>
      </c>
      <c r="AE11" s="84">
        <v>0</v>
      </c>
      <c r="AF11" s="84">
        <f>+'SuppSch-by Plan TME0312'!Y11</f>
        <v>7836</v>
      </c>
      <c r="AG11" s="84">
        <f>+'SuppSch-by Plan TME0312'!Z11</f>
        <v>0</v>
      </c>
      <c r="AH11" s="84">
        <v>0</v>
      </c>
      <c r="AI11" s="84">
        <f t="shared" si="4"/>
        <v>13519</v>
      </c>
    </row>
    <row r="12" spans="1:35" x14ac:dyDescent="0.2">
      <c r="A12" s="113">
        <f>+'SuppSch-by Plan TME0312'!A12</f>
        <v>40847</v>
      </c>
      <c r="B12" s="84">
        <f>+'SuppSch-by Plan TME0312'!B12+'SuppSch-by Plan TME0312'!K12+'SuppSch-by Plan TME0312'!T12+'SuppSch-by Plan TME0312'!AD12</f>
        <v>3939299</v>
      </c>
      <c r="C12" s="84">
        <f>+'SuppSch-by Plan TME0312'!C12+'SuppSch-by Plan TME0312'!L12+'SuppSch-by Plan TME0312'!U12+'SuppSch-by Plan TME0312'!AE12</f>
        <v>162352</v>
      </c>
      <c r="D12" s="84">
        <f>+'SuppSch-by Plan TME0312'!D12+'SuppSch-by Plan TME0312'!M12+'SuppSch-by Plan TME0312'!V12+'SuppSch-by Plan TME0312'!AF12</f>
        <v>371339</v>
      </c>
      <c r="E12" s="84">
        <f>+'SuppSch-by Plan TME0312'!E12+'SuppSch-by Plan TME0312'!N12+'SuppSch-by Plan TME0312'!W12+'SuppSch-by Plan TME0312'!AG12</f>
        <v>1043368.39</v>
      </c>
      <c r="F12" s="84">
        <f>+'SuppSch-by Plan TME0312'!F12+'SuppSch-by Plan TME0312'!O12+'SuppSch-by Plan TME0312'!X12+'SuppSch-by Plan TME0312'!AH12</f>
        <v>174737</v>
      </c>
      <c r="G12" s="84">
        <f>+'SuppSch-by Plan TME0312'!G12</f>
        <v>-4862</v>
      </c>
      <c r="H12" s="84">
        <f>+'SuppSch-by Plan TME0312'!Y12</f>
        <v>10133</v>
      </c>
      <c r="I12" s="84">
        <f>+'SuppSch-by Plan TME0312'!Z12</f>
        <v>0</v>
      </c>
      <c r="J12" s="84">
        <f>+'SuppSch-by Plan TME0312'!AI12</f>
        <v>61392.61</v>
      </c>
      <c r="K12" s="84">
        <f t="shared" si="0"/>
        <v>5757759</v>
      </c>
      <c r="L12" s="84"/>
      <c r="M12" s="113">
        <f t="shared" si="1"/>
        <v>40847</v>
      </c>
      <c r="N12" s="84">
        <f>+'SuppSch-by Plan TME0312'!B12</f>
        <v>3253387</v>
      </c>
      <c r="O12" s="84">
        <f>+'SuppSch-by Plan TME0312'!C12</f>
        <v>131756</v>
      </c>
      <c r="P12" s="84">
        <f>+'SuppSch-by Plan TME0312'!D12</f>
        <v>276828</v>
      </c>
      <c r="Q12" s="84">
        <f>+'SuppSch-by Plan TME0312'!E12</f>
        <v>0</v>
      </c>
      <c r="R12" s="84">
        <f>+'SuppSch-by Plan TME0312'!F12</f>
        <v>131563</v>
      </c>
      <c r="S12" s="84">
        <f>+'SuppSch-by Plan TME0312'!G12</f>
        <v>-4862</v>
      </c>
      <c r="T12" s="84">
        <v>0</v>
      </c>
      <c r="U12" s="84">
        <v>0</v>
      </c>
      <c r="V12" s="84">
        <v>0</v>
      </c>
      <c r="W12" s="84">
        <f t="shared" si="2"/>
        <v>3788672</v>
      </c>
      <c r="X12" s="84"/>
      <c r="Y12" s="113">
        <f t="shared" si="3"/>
        <v>40847</v>
      </c>
      <c r="Z12" s="84">
        <f>+'SuppSch-by Plan TME0312'!T12</f>
        <v>0</v>
      </c>
      <c r="AA12" s="84">
        <f>+'SuppSch-by Plan TME0312'!U12</f>
        <v>5683</v>
      </c>
      <c r="AB12" s="84">
        <f>+'SuppSch-by Plan TME0312'!V12</f>
        <v>0</v>
      </c>
      <c r="AC12" s="84">
        <f>+'SuppSch-by Plan TME0312'!W12</f>
        <v>0</v>
      </c>
      <c r="AD12" s="84">
        <f>+'SuppSch-by Plan TME0312'!X12</f>
        <v>0</v>
      </c>
      <c r="AE12" s="84">
        <v>0</v>
      </c>
      <c r="AF12" s="84">
        <f>+'SuppSch-by Plan TME0312'!Y12</f>
        <v>10133</v>
      </c>
      <c r="AG12" s="84">
        <f>+'SuppSch-by Plan TME0312'!Z12</f>
        <v>0</v>
      </c>
      <c r="AH12" s="84">
        <v>0</v>
      </c>
      <c r="AI12" s="84">
        <f t="shared" si="4"/>
        <v>15816</v>
      </c>
    </row>
    <row r="13" spans="1:35" x14ac:dyDescent="0.2">
      <c r="A13" s="113">
        <f>+'SuppSch-by Plan TME0312'!A13</f>
        <v>40877</v>
      </c>
      <c r="B13" s="84">
        <f>+'SuppSch-by Plan TME0312'!B13+'SuppSch-by Plan TME0312'!K13+'SuppSch-by Plan TME0312'!T13+'SuppSch-by Plan TME0312'!AD13</f>
        <v>3939299</v>
      </c>
      <c r="C13" s="84">
        <f>+'SuppSch-by Plan TME0312'!C13+'SuppSch-by Plan TME0312'!L13+'SuppSch-by Plan TME0312'!U13+'SuppSch-by Plan TME0312'!AE13</f>
        <v>162352</v>
      </c>
      <c r="D13" s="84">
        <f>+'SuppSch-by Plan TME0312'!D13+'SuppSch-by Plan TME0312'!M13+'SuppSch-by Plan TME0312'!V13+'SuppSch-by Plan TME0312'!AF13</f>
        <v>434478</v>
      </c>
      <c r="E13" s="84">
        <f>+'SuppSch-by Plan TME0312'!E13+'SuppSch-by Plan TME0312'!N13+'SuppSch-by Plan TME0312'!W13+'SuppSch-by Plan TME0312'!AG13</f>
        <v>1230671</v>
      </c>
      <c r="F13" s="84">
        <f>+'SuppSch-by Plan TME0312'!F13+'SuppSch-by Plan TME0312'!O13+'SuppSch-by Plan TME0312'!X13+'SuppSch-by Plan TME0312'!AH13</f>
        <v>304968</v>
      </c>
      <c r="G13" s="84">
        <f>+'SuppSch-by Plan TME0312'!G13</f>
        <v>-4862</v>
      </c>
      <c r="H13" s="84">
        <f>+'SuppSch-by Plan TME0312'!Y13</f>
        <v>10743</v>
      </c>
      <c r="I13" s="84">
        <f>+'SuppSch-by Plan TME0312'!Z13</f>
        <v>0</v>
      </c>
      <c r="J13" s="84">
        <f>+'SuppSch-by Plan TME0312'!AI13</f>
        <v>8480</v>
      </c>
      <c r="K13" s="84">
        <f t="shared" si="0"/>
        <v>6086129</v>
      </c>
      <c r="L13" s="84"/>
      <c r="M13" s="113">
        <f t="shared" si="1"/>
        <v>40877</v>
      </c>
      <c r="N13" s="84">
        <f>+'SuppSch-by Plan TME0312'!B13</f>
        <v>3253387</v>
      </c>
      <c r="O13" s="84">
        <f>+'SuppSch-by Plan TME0312'!C13</f>
        <v>131756</v>
      </c>
      <c r="P13" s="84">
        <f>+'SuppSch-by Plan TME0312'!D13</f>
        <v>351749</v>
      </c>
      <c r="Q13" s="84">
        <f>+'SuppSch-by Plan TME0312'!E13</f>
        <v>0</v>
      </c>
      <c r="R13" s="84">
        <f>+'SuppSch-by Plan TME0312'!F13</f>
        <v>232669</v>
      </c>
      <c r="S13" s="84">
        <f>+'SuppSch-by Plan TME0312'!G13</f>
        <v>-4862</v>
      </c>
      <c r="T13" s="84">
        <v>0</v>
      </c>
      <c r="U13" s="84">
        <v>0</v>
      </c>
      <c r="V13" s="84">
        <v>0</v>
      </c>
      <c r="W13" s="84">
        <f t="shared" si="2"/>
        <v>3964699</v>
      </c>
      <c r="X13" s="84"/>
      <c r="Y13" s="113">
        <f t="shared" si="3"/>
        <v>40877</v>
      </c>
      <c r="Z13" s="84">
        <f>+'SuppSch-by Plan TME0312'!T13</f>
        <v>0</v>
      </c>
      <c r="AA13" s="84">
        <f>+'SuppSch-by Plan TME0312'!U13</f>
        <v>5683</v>
      </c>
      <c r="AB13" s="84">
        <f>+'SuppSch-by Plan TME0312'!V13</f>
        <v>0</v>
      </c>
      <c r="AC13" s="84">
        <f>+'SuppSch-by Plan TME0312'!W13</f>
        <v>0</v>
      </c>
      <c r="AD13" s="84">
        <f>+'SuppSch-by Plan TME0312'!X13</f>
        <v>0</v>
      </c>
      <c r="AE13" s="84">
        <v>0</v>
      </c>
      <c r="AF13" s="84">
        <f>+'SuppSch-by Plan TME0312'!Y13</f>
        <v>10743</v>
      </c>
      <c r="AG13" s="84">
        <f>+'SuppSch-by Plan TME0312'!Z13</f>
        <v>0</v>
      </c>
      <c r="AH13" s="84">
        <v>0</v>
      </c>
      <c r="AI13" s="84">
        <f t="shared" si="4"/>
        <v>16426</v>
      </c>
    </row>
    <row r="14" spans="1:35" x14ac:dyDescent="0.2">
      <c r="A14" s="113">
        <f>+'SuppSch-by Plan TME0312'!A14</f>
        <v>40908</v>
      </c>
      <c r="B14" s="84">
        <f>+'SuppSch-by Plan TME0312'!B14+'SuppSch-by Plan TME0312'!K14+'SuppSch-by Plan TME0312'!T14+'SuppSch-by Plan TME0312'!AD14</f>
        <v>4017862</v>
      </c>
      <c r="C14" s="84">
        <f>+'SuppSch-by Plan TME0312'!C14+'SuppSch-by Plan TME0312'!L14+'SuppSch-by Plan TME0312'!U14+'SuppSch-by Plan TME0312'!AE14</f>
        <v>162352</v>
      </c>
      <c r="D14" s="84">
        <f>+'SuppSch-by Plan TME0312'!D14+'SuppSch-by Plan TME0312'!M14+'SuppSch-by Plan TME0312'!V14+'SuppSch-by Plan TME0312'!AF14</f>
        <v>507453</v>
      </c>
      <c r="E14" s="84">
        <f>+'SuppSch-by Plan TME0312'!E14+'SuppSch-by Plan TME0312'!N14+'SuppSch-by Plan TME0312'!W14+'SuppSch-by Plan TME0312'!AG14</f>
        <v>1194979.92</v>
      </c>
      <c r="F14" s="84">
        <f>+'SuppSch-by Plan TME0312'!F14+'SuppSch-by Plan TME0312'!O14+'SuppSch-by Plan TME0312'!X14+'SuppSch-by Plan TME0312'!AH14</f>
        <v>281507</v>
      </c>
      <c r="G14" s="84">
        <f>+'SuppSch-by Plan TME0312'!G14</f>
        <v>-4862</v>
      </c>
      <c r="H14" s="84">
        <f>+'SuppSch-by Plan TME0312'!Y14</f>
        <v>10502</v>
      </c>
      <c r="I14" s="84">
        <f>+'SuppSch-by Plan TME0312'!Z14</f>
        <v>0</v>
      </c>
      <c r="J14" s="84">
        <f>+'SuppSch-by Plan TME0312'!AI14</f>
        <v>16258.08</v>
      </c>
      <c r="K14" s="84">
        <f t="shared" si="0"/>
        <v>6186052</v>
      </c>
      <c r="L14" s="84"/>
      <c r="M14" s="113">
        <f t="shared" si="1"/>
        <v>40908</v>
      </c>
      <c r="N14" s="84">
        <f>+'SuppSch-by Plan TME0312'!B14</f>
        <v>3322243</v>
      </c>
      <c r="O14" s="84">
        <f>+'SuppSch-by Plan TME0312'!C14</f>
        <v>131756</v>
      </c>
      <c r="P14" s="84">
        <f>+'SuppSch-by Plan TME0312'!D14</f>
        <v>429112</v>
      </c>
      <c r="Q14" s="84">
        <f>+'SuppSch-by Plan TME0312'!E14</f>
        <v>0</v>
      </c>
      <c r="R14" s="84">
        <f>+'SuppSch-by Plan TME0312'!F14</f>
        <v>224384</v>
      </c>
      <c r="S14" s="84">
        <f>+'SuppSch-by Plan TME0312'!G14</f>
        <v>-4862</v>
      </c>
      <c r="T14" s="84">
        <v>0</v>
      </c>
      <c r="U14" s="84">
        <v>0</v>
      </c>
      <c r="V14" s="84">
        <v>0</v>
      </c>
      <c r="W14" s="84">
        <f t="shared" si="2"/>
        <v>4102633</v>
      </c>
      <c r="X14" s="84"/>
      <c r="Y14" s="113">
        <f t="shared" si="3"/>
        <v>40908</v>
      </c>
      <c r="Z14" s="84">
        <f>+'SuppSch-by Plan TME0312'!T14</f>
        <v>9707</v>
      </c>
      <c r="AA14" s="84">
        <f>+'SuppSch-by Plan TME0312'!U14</f>
        <v>5683</v>
      </c>
      <c r="AB14" s="84">
        <f>+'SuppSch-by Plan TME0312'!V14</f>
        <v>0</v>
      </c>
      <c r="AC14" s="84">
        <f>+'SuppSch-by Plan TME0312'!W14</f>
        <v>0</v>
      </c>
      <c r="AD14" s="84">
        <f>+'SuppSch-by Plan TME0312'!X14</f>
        <v>0</v>
      </c>
      <c r="AE14" s="84">
        <v>0</v>
      </c>
      <c r="AF14" s="84">
        <f>+'SuppSch-by Plan TME0312'!Y14</f>
        <v>10502</v>
      </c>
      <c r="AG14" s="84">
        <f>+'SuppSch-by Plan TME0312'!Z14</f>
        <v>0</v>
      </c>
      <c r="AH14" s="84">
        <v>0</v>
      </c>
      <c r="AI14" s="84">
        <f t="shared" si="4"/>
        <v>25892</v>
      </c>
    </row>
    <row r="15" spans="1:35" x14ac:dyDescent="0.2">
      <c r="A15" s="113">
        <f>+'SuppSch-by Plan TME0312'!A15</f>
        <v>40939</v>
      </c>
      <c r="B15" s="84">
        <f>+'SuppSch-by Plan TME0312'!B15+'SuppSch-by Plan TME0312'!K15+'SuppSch-by Plan TME0312'!T15+'SuppSch-by Plan TME0312'!AD15</f>
        <v>4096424</v>
      </c>
      <c r="C15" s="84">
        <f>+'SuppSch-by Plan TME0312'!C15+'SuppSch-by Plan TME0312'!L15+'SuppSch-by Plan TME0312'!U15+'SuppSch-by Plan TME0312'!AE15</f>
        <v>172102</v>
      </c>
      <c r="D15" s="84">
        <f>+'SuppSch-by Plan TME0312'!D15+'SuppSch-by Plan TME0312'!M15+'SuppSch-by Plan TME0312'!V15+'SuppSch-by Plan TME0312'!AF15</f>
        <v>445573</v>
      </c>
      <c r="E15" s="84">
        <f>+'SuppSch-by Plan TME0312'!E15+'SuppSch-by Plan TME0312'!N15+'SuppSch-by Plan TME0312'!W15+'SuppSch-by Plan TME0312'!AG15</f>
        <v>1165355.2</v>
      </c>
      <c r="F15" s="84">
        <f>+'SuppSch-by Plan TME0312'!F15+'SuppSch-by Plan TME0312'!O15+'SuppSch-by Plan TME0312'!X15+'SuppSch-by Plan TME0312'!AH15</f>
        <v>360180</v>
      </c>
      <c r="G15" s="84">
        <f>+'SuppSch-by Plan TME0312'!G15</f>
        <v>-4862</v>
      </c>
      <c r="H15" s="84">
        <f>+'SuppSch-by Plan TME0312'!Y15</f>
        <v>12532</v>
      </c>
      <c r="I15" s="84">
        <f>+'SuppSch-by Plan TME0312'!Z15</f>
        <v>0</v>
      </c>
      <c r="J15" s="84">
        <f>+'SuppSch-by Plan TME0312'!AI15</f>
        <v>1992.8</v>
      </c>
      <c r="K15" s="84">
        <f t="shared" si="0"/>
        <v>6249297</v>
      </c>
      <c r="L15" s="84"/>
      <c r="M15" s="113">
        <f t="shared" si="1"/>
        <v>40939</v>
      </c>
      <c r="N15" s="84">
        <f>+'SuppSch-by Plan TME0312'!B15</f>
        <v>3391099</v>
      </c>
      <c r="O15" s="84">
        <f>+'SuppSch-by Plan TME0312'!C15</f>
        <v>125652</v>
      </c>
      <c r="P15" s="84">
        <f>+'SuppSch-by Plan TME0312'!D15</f>
        <v>375058</v>
      </c>
      <c r="Q15" s="84">
        <f>+'SuppSch-by Plan TME0312'!E15</f>
        <v>0</v>
      </c>
      <c r="R15" s="84">
        <f>+'SuppSch-by Plan TME0312'!F15</f>
        <v>316480</v>
      </c>
      <c r="S15" s="84">
        <f>+'SuppSch-by Plan TME0312'!G15</f>
        <v>-4862</v>
      </c>
      <c r="T15" s="84">
        <v>0</v>
      </c>
      <c r="U15" s="84">
        <v>0</v>
      </c>
      <c r="V15" s="84">
        <v>0</v>
      </c>
      <c r="W15" s="84">
        <f t="shared" si="2"/>
        <v>4203427</v>
      </c>
      <c r="X15" s="84"/>
      <c r="Y15" s="113">
        <f t="shared" si="3"/>
        <v>40939</v>
      </c>
      <c r="Z15" s="84">
        <f>+'SuppSch-by Plan TME0312'!T15</f>
        <v>19413</v>
      </c>
      <c r="AA15" s="84">
        <f>+'SuppSch-by Plan TME0312'!U15</f>
        <v>19750</v>
      </c>
      <c r="AB15" s="84">
        <f>+'SuppSch-by Plan TME0312'!V15</f>
        <v>0</v>
      </c>
      <c r="AC15" s="84">
        <f>+'SuppSch-by Plan TME0312'!W15</f>
        <v>0</v>
      </c>
      <c r="AD15" s="84">
        <f>+'SuppSch-by Plan TME0312'!X15</f>
        <v>0</v>
      </c>
      <c r="AE15" s="84">
        <v>0</v>
      </c>
      <c r="AF15" s="84">
        <f>+'SuppSch-by Plan TME0312'!Y15</f>
        <v>12532</v>
      </c>
      <c r="AG15" s="84">
        <f>+'SuppSch-by Plan TME0312'!Z15</f>
        <v>0</v>
      </c>
      <c r="AH15" s="84">
        <v>0</v>
      </c>
      <c r="AI15" s="84">
        <f t="shared" si="4"/>
        <v>51695</v>
      </c>
    </row>
    <row r="16" spans="1:35" x14ac:dyDescent="0.2">
      <c r="A16" s="113">
        <f>+'SuppSch-by Plan TME0312'!A16</f>
        <v>40968</v>
      </c>
      <c r="B16" s="84">
        <f>+'SuppSch-by Plan TME0312'!B16+'SuppSch-by Plan TME0312'!K16+'SuppSch-by Plan TME0312'!T16+'SuppSch-by Plan TME0312'!AD16</f>
        <v>4096424</v>
      </c>
      <c r="C16" s="84">
        <f>+'SuppSch-by Plan TME0312'!C16+'SuppSch-by Plan TME0312'!L16+'SuppSch-by Plan TME0312'!U16+'SuppSch-by Plan TME0312'!AE16</f>
        <v>172102</v>
      </c>
      <c r="D16" s="84">
        <f>+'SuppSch-by Plan TME0312'!D16+'SuppSch-by Plan TME0312'!M16+'SuppSch-by Plan TME0312'!V16+'SuppSch-by Plan TME0312'!AF16</f>
        <v>391236</v>
      </c>
      <c r="E16" s="84">
        <f>+'SuppSch-by Plan TME0312'!E16+'SuppSch-by Plan TME0312'!N16+'SuppSch-by Plan TME0312'!W16+'SuppSch-by Plan TME0312'!AG16</f>
        <v>903219</v>
      </c>
      <c r="F16" s="84">
        <f>+'SuppSch-by Plan TME0312'!F16+'SuppSch-by Plan TME0312'!O16+'SuppSch-by Plan TME0312'!X16+'SuppSch-by Plan TME0312'!AH16</f>
        <v>425718</v>
      </c>
      <c r="G16" s="84">
        <f>+'SuppSch-by Plan TME0312'!G16</f>
        <v>-4862</v>
      </c>
      <c r="H16" s="84">
        <f>+'SuppSch-by Plan TME0312'!Y16</f>
        <v>11870</v>
      </c>
      <c r="I16" s="84">
        <f>+'SuppSch-by Plan TME0312'!Z16</f>
        <v>0</v>
      </c>
      <c r="J16" s="84">
        <f>+'SuppSch-by Plan TME0312'!AI16</f>
        <v>0</v>
      </c>
      <c r="K16" s="84">
        <f t="shared" si="0"/>
        <v>5995707</v>
      </c>
      <c r="L16" s="84"/>
      <c r="M16" s="113">
        <f t="shared" si="1"/>
        <v>40968</v>
      </c>
      <c r="N16" s="84">
        <f>+'SuppSch-by Plan TME0312'!B16</f>
        <v>3391099</v>
      </c>
      <c r="O16" s="84">
        <f>+'SuppSch-by Plan TME0312'!C16</f>
        <v>125652</v>
      </c>
      <c r="P16" s="84">
        <f>+'SuppSch-by Plan TME0312'!D16</f>
        <v>294777</v>
      </c>
      <c r="Q16" s="84">
        <f>+'SuppSch-by Plan TME0312'!E16</f>
        <v>0</v>
      </c>
      <c r="R16" s="84">
        <f>+'SuppSch-by Plan TME0312'!F16</f>
        <v>328851</v>
      </c>
      <c r="S16" s="84">
        <f>+'SuppSch-by Plan TME0312'!G16</f>
        <v>-4862</v>
      </c>
      <c r="T16" s="84">
        <v>0</v>
      </c>
      <c r="U16" s="84">
        <v>0</v>
      </c>
      <c r="V16" s="84">
        <v>0</v>
      </c>
      <c r="W16" s="84">
        <f t="shared" si="2"/>
        <v>4135517</v>
      </c>
      <c r="X16" s="84"/>
      <c r="Y16" s="113">
        <f t="shared" si="3"/>
        <v>40968</v>
      </c>
      <c r="Z16" s="84">
        <f>+'SuppSch-by Plan TME0312'!T16</f>
        <v>19413</v>
      </c>
      <c r="AA16" s="84">
        <f>+'SuppSch-by Plan TME0312'!U16</f>
        <v>19750</v>
      </c>
      <c r="AB16" s="84">
        <f>+'SuppSch-by Plan TME0312'!V16</f>
        <v>0</v>
      </c>
      <c r="AC16" s="84">
        <f>+'SuppSch-by Plan TME0312'!W16</f>
        <v>0</v>
      </c>
      <c r="AD16" s="84">
        <f>+'SuppSch-by Plan TME0312'!X16</f>
        <v>0</v>
      </c>
      <c r="AE16" s="84">
        <v>0</v>
      </c>
      <c r="AF16" s="84">
        <f>+'SuppSch-by Plan TME0312'!Y16</f>
        <v>11870</v>
      </c>
      <c r="AG16" s="84">
        <f>+'SuppSch-by Plan TME0312'!Z16</f>
        <v>0</v>
      </c>
      <c r="AH16" s="84">
        <v>0</v>
      </c>
      <c r="AI16" s="84">
        <f t="shared" si="4"/>
        <v>51033</v>
      </c>
    </row>
    <row r="17" spans="1:37" ht="13.5" x14ac:dyDescent="0.35">
      <c r="A17" s="113">
        <f>+'SuppSch-by Plan TME0312'!A17</f>
        <v>40999</v>
      </c>
      <c r="B17" s="91">
        <f>+'SuppSch-by Plan TME0312'!B17+'SuppSch-by Plan TME0312'!K17+'SuppSch-by Plan TME0312'!T17+'SuppSch-by Plan TME0312'!AD17</f>
        <v>4046071</v>
      </c>
      <c r="C17" s="91">
        <f>+'SuppSch-by Plan TME0312'!C17+'SuppSch-by Plan TME0312'!L17+'SuppSch-by Plan TME0312'!U17+'SuppSch-by Plan TME0312'!AE17</f>
        <v>171576</v>
      </c>
      <c r="D17" s="91">
        <f>+'SuppSch-by Plan TME0312'!D17+'SuppSch-by Plan TME0312'!M17+'SuppSch-by Plan TME0312'!V17+'SuppSch-by Plan TME0312'!AF17</f>
        <v>304335</v>
      </c>
      <c r="E17" s="91">
        <f>+'SuppSch-by Plan TME0312'!E17+'SuppSch-by Plan TME0312'!N17+'SuppSch-by Plan TME0312'!W17+'SuppSch-by Plan TME0312'!AG17</f>
        <v>1033321.8</v>
      </c>
      <c r="F17" s="91">
        <f>+'SuppSch-by Plan TME0312'!F17+'SuppSch-by Plan TME0312'!O17+'SuppSch-by Plan TME0312'!X17+'SuppSch-by Plan TME0312'!AH17</f>
        <v>768473</v>
      </c>
      <c r="G17" s="91">
        <f>+'SuppSch-by Plan TME0312'!G17</f>
        <v>-4862</v>
      </c>
      <c r="H17" s="91">
        <f>+'SuppSch-by Plan TME0312'!Y17</f>
        <v>10569</v>
      </c>
      <c r="I17" s="91">
        <f>+'SuppSch-by Plan TME0312'!Z17</f>
        <v>5524.2</v>
      </c>
      <c r="J17" s="91">
        <f>+'SuppSch-by Plan TME0312'!AI17</f>
        <v>0</v>
      </c>
      <c r="K17" s="91">
        <f t="shared" si="0"/>
        <v>6335008</v>
      </c>
      <c r="L17" s="84"/>
      <c r="M17" s="113">
        <f t="shared" si="1"/>
        <v>40999</v>
      </c>
      <c r="N17" s="91">
        <f>+'SuppSch-by Plan TME0312'!B17</f>
        <v>3335341</v>
      </c>
      <c r="O17" s="91">
        <f>+'SuppSch-by Plan TME0312'!C17</f>
        <v>125126</v>
      </c>
      <c r="P17" s="91">
        <f>+'SuppSch-by Plan TME0312'!D17</f>
        <v>260168</v>
      </c>
      <c r="Q17" s="91">
        <f>+'SuppSch-by Plan TME0312'!E17</f>
        <v>0</v>
      </c>
      <c r="R17" s="91">
        <f>+'SuppSch-by Plan TME0312'!F17</f>
        <v>733331</v>
      </c>
      <c r="S17" s="91">
        <f>+'SuppSch-by Plan TME0312'!G17</f>
        <v>-4862</v>
      </c>
      <c r="T17" s="91">
        <v>0</v>
      </c>
      <c r="U17" s="91">
        <v>0</v>
      </c>
      <c r="V17" s="91">
        <v>0</v>
      </c>
      <c r="W17" s="91">
        <f t="shared" si="2"/>
        <v>4449104</v>
      </c>
      <c r="X17" s="84"/>
      <c r="Y17" s="113">
        <f t="shared" si="3"/>
        <v>40999</v>
      </c>
      <c r="Z17" s="91">
        <f>+'SuppSch-by Plan TME0312'!T17</f>
        <v>19413</v>
      </c>
      <c r="AA17" s="91">
        <f>+'SuppSch-by Plan TME0312'!U17</f>
        <v>19750</v>
      </c>
      <c r="AB17" s="91">
        <f>+'SuppSch-by Plan TME0312'!V17</f>
        <v>0</v>
      </c>
      <c r="AC17" s="91">
        <f>+'SuppSch-by Plan TME0312'!W17</f>
        <v>0</v>
      </c>
      <c r="AD17" s="91">
        <f>+'SuppSch-by Plan TME0312'!X17</f>
        <v>0</v>
      </c>
      <c r="AE17" s="91">
        <v>0</v>
      </c>
      <c r="AF17" s="91">
        <f>+'SuppSch-by Plan TME0312'!Y17</f>
        <v>10569</v>
      </c>
      <c r="AG17" s="91">
        <f>+'SuppSch-by Plan TME0312'!Z17</f>
        <v>5524.2</v>
      </c>
      <c r="AH17" s="91">
        <v>0</v>
      </c>
      <c r="AI17" s="91">
        <f t="shared" si="4"/>
        <v>55256.2</v>
      </c>
    </row>
    <row r="18" spans="1:37" x14ac:dyDescent="0.2">
      <c r="A18" s="113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113">
        <f t="shared" si="1"/>
        <v>0</v>
      </c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113">
        <f t="shared" si="3"/>
        <v>0</v>
      </c>
      <c r="Z18" s="84"/>
      <c r="AA18" s="84"/>
      <c r="AB18" s="84"/>
      <c r="AC18" s="84"/>
      <c r="AD18" s="84"/>
      <c r="AE18" s="84"/>
      <c r="AF18" s="84"/>
      <c r="AG18" s="84"/>
      <c r="AH18" s="84"/>
      <c r="AI18" s="84"/>
    </row>
    <row r="19" spans="1:37" ht="12" thickBot="1" x14ac:dyDescent="0.25">
      <c r="A19" s="113" t="str">
        <f>+'SuppSch-by Plan TME0312'!A19</f>
        <v>Totals</v>
      </c>
      <c r="B19" s="114">
        <f>SUM(B6:B18)</f>
        <v>47677192</v>
      </c>
      <c r="C19" s="114">
        <f t="shared" ref="C19:K19" si="5">SUM(C6:C18)</f>
        <v>1976974</v>
      </c>
      <c r="D19" s="114">
        <f t="shared" si="5"/>
        <v>4990506</v>
      </c>
      <c r="E19" s="114">
        <f t="shared" si="5"/>
        <v>13095547.609999999</v>
      </c>
      <c r="F19" s="114">
        <f t="shared" si="5"/>
        <v>4733637</v>
      </c>
      <c r="G19" s="114">
        <f t="shared" si="5"/>
        <v>-58344</v>
      </c>
      <c r="H19" s="114">
        <f t="shared" si="5"/>
        <v>123951</v>
      </c>
      <c r="I19" s="114">
        <f t="shared" si="5"/>
        <v>5524.2</v>
      </c>
      <c r="J19" s="114">
        <f t="shared" si="5"/>
        <v>104548.19</v>
      </c>
      <c r="K19" s="114">
        <f t="shared" si="5"/>
        <v>72649536</v>
      </c>
      <c r="L19" s="84"/>
      <c r="M19" s="115" t="str">
        <f t="shared" si="1"/>
        <v>Totals</v>
      </c>
      <c r="N19" s="114">
        <f>SUM(N6:N18)</f>
        <v>39387183</v>
      </c>
      <c r="O19" s="114">
        <f t="shared" ref="O19:W19" si="6">SUM(O6:O18)</f>
        <v>1562260</v>
      </c>
      <c r="P19" s="114">
        <f t="shared" si="6"/>
        <v>4182676</v>
      </c>
      <c r="Q19" s="114">
        <f t="shared" si="6"/>
        <v>0</v>
      </c>
      <c r="R19" s="114">
        <f t="shared" si="6"/>
        <v>4077435</v>
      </c>
      <c r="S19" s="114">
        <f t="shared" si="6"/>
        <v>-58344</v>
      </c>
      <c r="T19" s="114">
        <f t="shared" si="6"/>
        <v>0</v>
      </c>
      <c r="U19" s="114">
        <f t="shared" si="6"/>
        <v>0</v>
      </c>
      <c r="V19" s="114">
        <f t="shared" si="6"/>
        <v>0</v>
      </c>
      <c r="W19" s="114">
        <f t="shared" si="6"/>
        <v>49151210</v>
      </c>
      <c r="X19" s="84"/>
      <c r="Y19" s="115" t="str">
        <f t="shared" si="3"/>
        <v>Totals</v>
      </c>
      <c r="Z19" s="114">
        <f>SUM(Z6:Z18)</f>
        <v>67946</v>
      </c>
      <c r="AA19" s="114">
        <f t="shared" ref="AA19:AI19" si="7">SUM(AA6:AA18)</f>
        <v>110397</v>
      </c>
      <c r="AB19" s="114">
        <f t="shared" si="7"/>
        <v>0</v>
      </c>
      <c r="AC19" s="114">
        <f t="shared" si="7"/>
        <v>0</v>
      </c>
      <c r="AD19" s="114">
        <f t="shared" si="7"/>
        <v>0</v>
      </c>
      <c r="AE19" s="114">
        <f t="shared" si="7"/>
        <v>0</v>
      </c>
      <c r="AF19" s="114">
        <f t="shared" si="7"/>
        <v>123951</v>
      </c>
      <c r="AG19" s="114">
        <f t="shared" si="7"/>
        <v>5524.2</v>
      </c>
      <c r="AH19" s="114">
        <f t="shared" si="7"/>
        <v>0</v>
      </c>
      <c r="AI19" s="114">
        <f t="shared" si="7"/>
        <v>307818.2</v>
      </c>
    </row>
    <row r="20" spans="1:37" ht="12" thickTop="1" x14ac:dyDescent="0.2">
      <c r="A20" s="113"/>
      <c r="M20" s="116"/>
      <c r="Y20" s="116"/>
    </row>
    <row r="21" spans="1:37" x14ac:dyDescent="0.2">
      <c r="A21" s="113"/>
      <c r="M21" s="116"/>
      <c r="Y21" s="116"/>
      <c r="AK21" s="109">
        <f>1032932-76473-69415</f>
        <v>887044</v>
      </c>
    </row>
    <row r="22" spans="1:37" x14ac:dyDescent="0.2">
      <c r="A22" s="113"/>
      <c r="AK22" s="109">
        <f>956459-69415</f>
        <v>887044</v>
      </c>
    </row>
    <row r="23" spans="1:37" x14ac:dyDescent="0.2">
      <c r="A23" s="108" t="s">
        <v>146</v>
      </c>
      <c r="F23" s="96" t="s">
        <v>61</v>
      </c>
    </row>
    <row r="24" spans="1:37" x14ac:dyDescent="0.2">
      <c r="A24" s="108" t="s">
        <v>145</v>
      </c>
    </row>
    <row r="25" spans="1:37" ht="48" customHeight="1" x14ac:dyDescent="0.2">
      <c r="A25" s="117"/>
      <c r="B25" s="118" t="s">
        <v>99</v>
      </c>
      <c r="C25" s="118" t="s">
        <v>100</v>
      </c>
      <c r="D25" s="119" t="s">
        <v>51</v>
      </c>
      <c r="G25" s="120" t="s">
        <v>48</v>
      </c>
      <c r="H25" s="120" t="s">
        <v>59</v>
      </c>
      <c r="I25" s="120" t="s">
        <v>75</v>
      </c>
      <c r="J25" s="120" t="s">
        <v>76</v>
      </c>
      <c r="K25" s="120" t="s">
        <v>39</v>
      </c>
      <c r="M25" s="108" t="s">
        <v>59</v>
      </c>
      <c r="N25" s="110" t="s">
        <v>29</v>
      </c>
      <c r="O25" s="110" t="s">
        <v>30</v>
      </c>
      <c r="P25" s="159" t="s">
        <v>31</v>
      </c>
      <c r="Q25" s="159"/>
      <c r="R25" s="159"/>
      <c r="S25" s="111" t="s">
        <v>94</v>
      </c>
      <c r="T25" s="110" t="s">
        <v>97</v>
      </c>
      <c r="U25" s="111" t="s">
        <v>88</v>
      </c>
      <c r="V25" s="110" t="s">
        <v>86</v>
      </c>
      <c r="W25" s="110" t="s">
        <v>39</v>
      </c>
      <c r="Y25" s="108" t="s">
        <v>76</v>
      </c>
      <c r="Z25" s="110" t="s">
        <v>29</v>
      </c>
      <c r="AA25" s="110" t="s">
        <v>30</v>
      </c>
      <c r="AB25" s="159" t="s">
        <v>31</v>
      </c>
      <c r="AC25" s="159"/>
      <c r="AD25" s="159"/>
      <c r="AE25" s="111" t="s">
        <v>94</v>
      </c>
      <c r="AF25" s="110" t="s">
        <v>97</v>
      </c>
      <c r="AG25" s="111" t="s">
        <v>88</v>
      </c>
      <c r="AH25" s="110" t="s">
        <v>86</v>
      </c>
      <c r="AI25" s="110" t="s">
        <v>39</v>
      </c>
    </row>
    <row r="26" spans="1:37" x14ac:dyDescent="0.2">
      <c r="A26" s="117"/>
      <c r="B26" s="121" t="s">
        <v>52</v>
      </c>
      <c r="C26" s="121" t="s">
        <v>52</v>
      </c>
      <c r="D26" s="88"/>
      <c r="N26" s="110" t="s">
        <v>34</v>
      </c>
      <c r="O26" s="81"/>
      <c r="P26" s="81" t="s">
        <v>35</v>
      </c>
      <c r="Q26" s="81" t="s">
        <v>36</v>
      </c>
      <c r="R26" s="110" t="s">
        <v>37</v>
      </c>
      <c r="T26" s="111" t="s">
        <v>38</v>
      </c>
      <c r="U26" s="111" t="s">
        <v>87</v>
      </c>
      <c r="Z26" s="110" t="s">
        <v>34</v>
      </c>
      <c r="AA26" s="81"/>
      <c r="AB26" s="81" t="s">
        <v>35</v>
      </c>
      <c r="AC26" s="81" t="s">
        <v>36</v>
      </c>
      <c r="AD26" s="110" t="s">
        <v>37</v>
      </c>
      <c r="AF26" s="111" t="s">
        <v>38</v>
      </c>
      <c r="AG26" s="111" t="s">
        <v>87</v>
      </c>
    </row>
    <row r="27" spans="1:37" x14ac:dyDescent="0.2">
      <c r="A27" s="113">
        <f>+A6</f>
        <v>40663</v>
      </c>
      <c r="B27" s="88">
        <f>+'SuppSch-by Plan TME0312'!B27</f>
        <v>0</v>
      </c>
      <c r="C27" s="88">
        <f>+'SuppSch-by Plan TME0312'!C27</f>
        <v>37954</v>
      </c>
      <c r="D27" s="122">
        <f>SUM(B27:C27)</f>
        <v>37954</v>
      </c>
      <c r="F27" s="123" t="s">
        <v>62</v>
      </c>
      <c r="G27" s="97">
        <f>+'SuppSch-by Plan TME0312'!L29</f>
        <v>8260111</v>
      </c>
      <c r="H27" s="97">
        <f>+'SuppSch-by Plan TME0312'!M29</f>
        <v>4234990</v>
      </c>
      <c r="I27" s="97">
        <f>+'SuppSch-by Plan TME0312'!N29</f>
        <v>5524</v>
      </c>
      <c r="J27" s="97">
        <f>+'SuppSch-by Plan TME0312'!O29</f>
        <v>10324590</v>
      </c>
      <c r="K27" s="97">
        <f>SUM(G27:J27)</f>
        <v>22825215</v>
      </c>
      <c r="M27" s="113">
        <f>+M6</f>
        <v>40663</v>
      </c>
      <c r="N27" s="84">
        <f>+'SuppSch-by Plan TME0312'!K6</f>
        <v>680056</v>
      </c>
      <c r="O27" s="84">
        <f>+'SuppSch-by Plan TME0312'!L6</f>
        <v>24913</v>
      </c>
      <c r="P27" s="84">
        <f>+'SuppSch-by Plan TME0312'!M6</f>
        <v>0</v>
      </c>
      <c r="Q27" s="84">
        <f>+'SuppSch-by Plan TME0312'!N6</f>
        <v>8575</v>
      </c>
      <c r="R27" s="84">
        <f>+'SuppSch-by Plan TME0312'!O6</f>
        <v>34910</v>
      </c>
      <c r="S27" s="84">
        <v>0</v>
      </c>
      <c r="T27" s="84">
        <v>0</v>
      </c>
      <c r="U27" s="84">
        <v>0</v>
      </c>
      <c r="V27" s="84">
        <v>0</v>
      </c>
      <c r="W27" s="84">
        <f>SUM(N27:V27)</f>
        <v>748454</v>
      </c>
      <c r="Y27" s="113">
        <f>+Y6</f>
        <v>40663</v>
      </c>
      <c r="Z27" s="84">
        <f>+'SuppSch-by Plan TME0312'!AD6</f>
        <v>0</v>
      </c>
      <c r="AA27" s="84">
        <f>+'SuppSch-by Plan TME0312'!AE6</f>
        <v>0</v>
      </c>
      <c r="AB27" s="84">
        <f>+'SuppSch-by Plan TME0312'!AF6</f>
        <v>0</v>
      </c>
      <c r="AC27" s="84">
        <f>+'SuppSch-by Plan TME0312'!AG6</f>
        <v>649792</v>
      </c>
      <c r="AD27" s="84">
        <f>+'SuppSch-by Plan TME0312'!AH6</f>
        <v>4553</v>
      </c>
      <c r="AE27" s="84">
        <v>0</v>
      </c>
      <c r="AF27" s="84">
        <v>0</v>
      </c>
      <c r="AG27" s="84">
        <v>0</v>
      </c>
      <c r="AH27" s="84">
        <f>+'SuppSch-by Plan TME0312'!AI6</f>
        <v>0</v>
      </c>
      <c r="AI27" s="84">
        <f>SUM(Z27:AH27)</f>
        <v>654345</v>
      </c>
    </row>
    <row r="28" spans="1:37" x14ac:dyDescent="0.2">
      <c r="A28" s="113">
        <f t="shared" ref="A28:A38" si="8">+A7</f>
        <v>40694</v>
      </c>
      <c r="B28" s="88">
        <f>+'SuppSch-by Plan TME0312'!B28</f>
        <v>0</v>
      </c>
      <c r="C28" s="88">
        <f>+'SuppSch-by Plan TME0312'!C28</f>
        <v>-8495</v>
      </c>
      <c r="D28" s="122">
        <f t="shared" ref="D28:D38" si="9">SUM(B28:C28)</f>
        <v>-8495</v>
      </c>
      <c r="F28" s="124"/>
      <c r="G28" s="77"/>
      <c r="H28" s="77"/>
      <c r="I28" s="77"/>
      <c r="J28" s="77"/>
      <c r="K28" s="77"/>
      <c r="M28" s="113">
        <f t="shared" ref="M28:M40" si="10">+M7</f>
        <v>40694</v>
      </c>
      <c r="N28" s="84">
        <f>+'SuppSch-by Plan TME0312'!K7</f>
        <v>680292</v>
      </c>
      <c r="O28" s="84">
        <f>+'SuppSch-by Plan TME0312'!L7</f>
        <v>24913</v>
      </c>
      <c r="P28" s="84">
        <f>+'SuppSch-by Plan TME0312'!M7</f>
        <v>87828</v>
      </c>
      <c r="Q28" s="84">
        <f>+'SuppSch-by Plan TME0312'!N7</f>
        <v>220476</v>
      </c>
      <c r="R28" s="84">
        <f>+'SuppSch-by Plan TME0312'!O7</f>
        <v>32974</v>
      </c>
      <c r="S28" s="84">
        <v>0</v>
      </c>
      <c r="T28" s="84">
        <v>0</v>
      </c>
      <c r="U28" s="84">
        <v>0</v>
      </c>
      <c r="V28" s="84">
        <v>0</v>
      </c>
      <c r="W28" s="84">
        <f t="shared" ref="W28:W38" si="11">SUM(N28:V28)</f>
        <v>1046483</v>
      </c>
      <c r="Y28" s="113">
        <f t="shared" ref="Y28:Y40" si="12">+Y7</f>
        <v>40694</v>
      </c>
      <c r="Z28" s="84">
        <f>+'SuppSch-by Plan TME0312'!AD7</f>
        <v>0</v>
      </c>
      <c r="AA28" s="84">
        <f>+'SuppSch-by Plan TME0312'!AE7</f>
        <v>0</v>
      </c>
      <c r="AB28" s="84">
        <f>+'SuppSch-by Plan TME0312'!AF7</f>
        <v>0</v>
      </c>
      <c r="AC28" s="84">
        <f>+'SuppSch-by Plan TME0312'!AG7</f>
        <v>771651</v>
      </c>
      <c r="AD28" s="84">
        <f>+'SuppSch-by Plan TME0312'!AH7</f>
        <v>9345</v>
      </c>
      <c r="AE28" s="84">
        <v>0</v>
      </c>
      <c r="AF28" s="84">
        <v>0</v>
      </c>
      <c r="AG28" s="84">
        <v>0</v>
      </c>
      <c r="AH28" s="84">
        <f>+'SuppSch-by Plan TME0312'!AI7</f>
        <v>0</v>
      </c>
      <c r="AI28" s="84">
        <f t="shared" ref="AI28:AI38" si="13">SUM(Z28:AH28)</f>
        <v>780996</v>
      </c>
    </row>
    <row r="29" spans="1:37" x14ac:dyDescent="0.2">
      <c r="A29" s="113">
        <f t="shared" si="8"/>
        <v>40724</v>
      </c>
      <c r="B29" s="88">
        <f>+'SuppSch-by Plan TME0312'!B29</f>
        <v>0</v>
      </c>
      <c r="C29" s="88">
        <f>+'SuppSch-by Plan TME0312'!C29</f>
        <v>-9720</v>
      </c>
      <c r="D29" s="122">
        <f t="shared" si="9"/>
        <v>-9720</v>
      </c>
      <c r="F29" s="124" t="s">
        <v>63</v>
      </c>
      <c r="G29" s="124"/>
      <c r="H29" s="124"/>
      <c r="I29" s="124"/>
      <c r="J29" s="124"/>
      <c r="K29" s="124"/>
      <c r="M29" s="113">
        <f t="shared" si="10"/>
        <v>40724</v>
      </c>
      <c r="N29" s="84">
        <f>+'SuppSch-by Plan TME0312'!K8</f>
        <v>683102</v>
      </c>
      <c r="O29" s="84">
        <f>+'SuppSch-by Plan TME0312'!L8</f>
        <v>24913</v>
      </c>
      <c r="P29" s="84">
        <f>+'SuppSch-by Plan TME0312'!M8</f>
        <v>83499</v>
      </c>
      <c r="Q29" s="84">
        <f>+'SuppSch-by Plan TME0312'!N8</f>
        <v>56711</v>
      </c>
      <c r="R29" s="84">
        <f>+'SuppSch-by Plan TME0312'!O8</f>
        <v>37457</v>
      </c>
      <c r="S29" s="84">
        <v>0</v>
      </c>
      <c r="T29" s="84">
        <v>0</v>
      </c>
      <c r="U29" s="84">
        <v>0</v>
      </c>
      <c r="V29" s="84">
        <v>0</v>
      </c>
      <c r="W29" s="84">
        <f t="shared" si="11"/>
        <v>885682</v>
      </c>
      <c r="Y29" s="113">
        <f t="shared" si="12"/>
        <v>40724</v>
      </c>
      <c r="Z29" s="84">
        <f>+'SuppSch-by Plan TME0312'!AD8</f>
        <v>0</v>
      </c>
      <c r="AA29" s="84">
        <f>+'SuppSch-by Plan TME0312'!AE8</f>
        <v>0</v>
      </c>
      <c r="AB29" s="84">
        <f>+'SuppSch-by Plan TME0312'!AF8</f>
        <v>0</v>
      </c>
      <c r="AC29" s="84">
        <f>+'SuppSch-by Plan TME0312'!AG8</f>
        <v>1054274</v>
      </c>
      <c r="AD29" s="84">
        <f>+'SuppSch-by Plan TME0312'!AH8</f>
        <v>4772</v>
      </c>
      <c r="AE29" s="84">
        <v>0</v>
      </c>
      <c r="AF29" s="84">
        <v>0</v>
      </c>
      <c r="AG29" s="84">
        <v>0</v>
      </c>
      <c r="AH29" s="84">
        <f>+'SuppSch-by Plan TME0312'!AI8</f>
        <v>0</v>
      </c>
      <c r="AI29" s="84">
        <f t="shared" si="13"/>
        <v>1059046</v>
      </c>
    </row>
    <row r="30" spans="1:37" x14ac:dyDescent="0.2">
      <c r="A30" s="113">
        <f t="shared" si="8"/>
        <v>40755</v>
      </c>
      <c r="B30" s="88">
        <f>+'SuppSch-by Plan TME0312'!B30</f>
        <v>0</v>
      </c>
      <c r="C30" s="88">
        <f>+'SuppSch-by Plan TME0312'!C30</f>
        <v>-1066</v>
      </c>
      <c r="D30" s="122">
        <f t="shared" si="9"/>
        <v>-1066</v>
      </c>
      <c r="F30" s="123" t="s">
        <v>64</v>
      </c>
      <c r="G30" s="125" t="s">
        <v>65</v>
      </c>
      <c r="H30" s="125" t="s">
        <v>65</v>
      </c>
      <c r="I30" s="125" t="s">
        <v>65</v>
      </c>
      <c r="J30" s="125" t="s">
        <v>65</v>
      </c>
      <c r="K30" s="125" t="s">
        <v>65</v>
      </c>
      <c r="M30" s="113">
        <f t="shared" si="10"/>
        <v>40755</v>
      </c>
      <c r="N30" s="84">
        <f>+'SuppSch-by Plan TME0312'!K9</f>
        <v>685912</v>
      </c>
      <c r="O30" s="84">
        <f>+'SuppSch-by Plan TME0312'!L9</f>
        <v>24913</v>
      </c>
      <c r="P30" s="84">
        <f>+'SuppSch-by Plan TME0312'!M9</f>
        <v>80474</v>
      </c>
      <c r="Q30" s="84">
        <f>+'SuppSch-by Plan TME0312'!N9</f>
        <v>163202</v>
      </c>
      <c r="R30" s="84">
        <f>+'SuppSch-by Plan TME0312'!O9</f>
        <v>32395</v>
      </c>
      <c r="S30" s="84">
        <v>0</v>
      </c>
      <c r="T30" s="84">
        <v>0</v>
      </c>
      <c r="U30" s="84">
        <v>0</v>
      </c>
      <c r="V30" s="84">
        <v>0</v>
      </c>
      <c r="W30" s="84">
        <f t="shared" si="11"/>
        <v>986896</v>
      </c>
      <c r="Y30" s="113">
        <f t="shared" si="12"/>
        <v>40755</v>
      </c>
      <c r="Z30" s="84">
        <f>+'SuppSch-by Plan TME0312'!AD9</f>
        <v>0</v>
      </c>
      <c r="AA30" s="84">
        <f>+'SuppSch-by Plan TME0312'!AE9</f>
        <v>0</v>
      </c>
      <c r="AB30" s="84">
        <f>+'SuppSch-by Plan TME0312'!AF9</f>
        <v>0</v>
      </c>
      <c r="AC30" s="84">
        <f>+'SuppSch-by Plan TME0312'!AG9</f>
        <v>921445</v>
      </c>
      <c r="AD30" s="84">
        <f>+'SuppSch-by Plan TME0312'!AH9</f>
        <v>27444</v>
      </c>
      <c r="AE30" s="84">
        <v>0</v>
      </c>
      <c r="AF30" s="84">
        <v>0</v>
      </c>
      <c r="AG30" s="84">
        <v>0</v>
      </c>
      <c r="AH30" s="84">
        <f>+'SuppSch-by Plan TME0312'!AI9</f>
        <v>0</v>
      </c>
      <c r="AI30" s="84">
        <f t="shared" si="13"/>
        <v>948889</v>
      </c>
    </row>
    <row r="31" spans="1:37" x14ac:dyDescent="0.2">
      <c r="A31" s="113">
        <f t="shared" si="8"/>
        <v>40786</v>
      </c>
      <c r="B31" s="88">
        <f>+'SuppSch-by Plan TME0312'!B31</f>
        <v>0</v>
      </c>
      <c r="C31" s="88">
        <f>+'SuppSch-by Plan TME0312'!C31</f>
        <v>-12812</v>
      </c>
      <c r="D31" s="122">
        <f t="shared" si="9"/>
        <v>-12812</v>
      </c>
      <c r="F31" s="123"/>
      <c r="G31" s="77"/>
      <c r="H31" s="77"/>
      <c r="I31" s="77"/>
      <c r="J31" s="77"/>
      <c r="K31" s="77"/>
      <c r="M31" s="113">
        <f t="shared" si="10"/>
        <v>40786</v>
      </c>
      <c r="N31" s="84">
        <f>+'SuppSch-by Plan TME0312'!K10</f>
        <v>685912</v>
      </c>
      <c r="O31" s="84">
        <f>+'SuppSch-by Plan TME0312'!L10</f>
        <v>24913</v>
      </c>
      <c r="P31" s="84">
        <f>+'SuppSch-by Plan TME0312'!M10</f>
        <v>57967</v>
      </c>
      <c r="Q31" s="84">
        <f>+'SuppSch-by Plan TME0312'!N10</f>
        <v>588868</v>
      </c>
      <c r="R31" s="84">
        <f>+'SuppSch-by Plan TME0312'!O10</f>
        <v>49736</v>
      </c>
      <c r="S31" s="84">
        <v>0</v>
      </c>
      <c r="T31" s="84">
        <v>0</v>
      </c>
      <c r="U31" s="84">
        <v>0</v>
      </c>
      <c r="V31" s="84">
        <v>0</v>
      </c>
      <c r="W31" s="84">
        <f t="shared" si="11"/>
        <v>1407396</v>
      </c>
      <c r="Y31" s="113">
        <f t="shared" si="12"/>
        <v>40786</v>
      </c>
      <c r="Z31" s="84">
        <f>+'SuppSch-by Plan TME0312'!AD10</f>
        <v>0</v>
      </c>
      <c r="AA31" s="84">
        <f>+'SuppSch-by Plan TME0312'!AE10</f>
        <v>0</v>
      </c>
      <c r="AB31" s="84">
        <f>+'SuppSch-by Plan TME0312'!AF10</f>
        <v>0</v>
      </c>
      <c r="AC31" s="84">
        <f>+'SuppSch-by Plan TME0312'!AG10</f>
        <v>1008601</v>
      </c>
      <c r="AD31" s="84">
        <f>+'SuppSch-by Plan TME0312'!AH10</f>
        <v>9156</v>
      </c>
      <c r="AE31" s="84">
        <v>0</v>
      </c>
      <c r="AF31" s="84">
        <v>0</v>
      </c>
      <c r="AG31" s="84">
        <v>0</v>
      </c>
      <c r="AH31" s="84">
        <f>+'SuppSch-by Plan TME0312'!AI10</f>
        <v>0</v>
      </c>
      <c r="AI31" s="84">
        <f t="shared" si="13"/>
        <v>1017757</v>
      </c>
    </row>
    <row r="32" spans="1:37" x14ac:dyDescent="0.2">
      <c r="A32" s="113">
        <f t="shared" si="8"/>
        <v>40816</v>
      </c>
      <c r="B32" s="88">
        <f>+'SuppSch-by Plan TME0312'!B32</f>
        <v>864</v>
      </c>
      <c r="C32" s="88">
        <f>+'SuppSch-by Plan TME0312'!C32</f>
        <v>-11158</v>
      </c>
      <c r="D32" s="122">
        <f t="shared" si="9"/>
        <v>-10294</v>
      </c>
      <c r="F32" s="123" t="s">
        <v>66</v>
      </c>
      <c r="G32" s="77"/>
      <c r="H32" s="77"/>
      <c r="I32" s="77"/>
      <c r="J32" s="77"/>
      <c r="K32" s="77"/>
      <c r="M32" s="113">
        <f t="shared" si="10"/>
        <v>40816</v>
      </c>
      <c r="N32" s="84">
        <f>+'SuppSch-by Plan TME0312'!K11</f>
        <v>685912</v>
      </c>
      <c r="O32" s="84">
        <f>+'SuppSch-by Plan TME0312'!L11</f>
        <v>24913</v>
      </c>
      <c r="P32" s="84">
        <f>+'SuppSch-by Plan TME0312'!M11</f>
        <v>31340</v>
      </c>
      <c r="Q32" s="84">
        <f>+'SuppSch-by Plan TME0312'!N11</f>
        <v>159822</v>
      </c>
      <c r="R32" s="84">
        <f>+'SuppSch-by Plan TME0312'!O11</f>
        <v>60795</v>
      </c>
      <c r="S32" s="84">
        <v>0</v>
      </c>
      <c r="T32" s="84">
        <v>0</v>
      </c>
      <c r="U32" s="84">
        <v>0</v>
      </c>
      <c r="V32" s="84">
        <v>0</v>
      </c>
      <c r="W32" s="84">
        <f t="shared" si="11"/>
        <v>962782</v>
      </c>
      <c r="Y32" s="113">
        <f t="shared" si="12"/>
        <v>40816</v>
      </c>
      <c r="Z32" s="84">
        <f>+'SuppSch-by Plan TME0312'!AD11</f>
        <v>0</v>
      </c>
      <c r="AA32" s="84">
        <f>+'SuppSch-by Plan TME0312'!AE11</f>
        <v>0</v>
      </c>
      <c r="AB32" s="84">
        <f>+'SuppSch-by Plan TME0312'!AF11</f>
        <v>0</v>
      </c>
      <c r="AC32" s="84">
        <f>+'SuppSch-by Plan TME0312'!AG11</f>
        <v>921215.3</v>
      </c>
      <c r="AD32" s="84">
        <f>+'SuppSch-by Plan TME0312'!AH11</f>
        <v>4360</v>
      </c>
      <c r="AE32" s="84">
        <v>0</v>
      </c>
      <c r="AF32" s="84">
        <v>0</v>
      </c>
      <c r="AG32" s="84">
        <v>0</v>
      </c>
      <c r="AH32" s="84">
        <f>+'SuppSch-by Plan TME0312'!AI11</f>
        <v>16424.7</v>
      </c>
      <c r="AI32" s="84">
        <f t="shared" si="13"/>
        <v>942000</v>
      </c>
    </row>
    <row r="33" spans="1:35" ht="12" thickBot="1" x14ac:dyDescent="0.25">
      <c r="A33" s="113">
        <f t="shared" si="8"/>
        <v>40847</v>
      </c>
      <c r="B33" s="88">
        <f>+'SuppSch-by Plan TME0312'!B33</f>
        <v>0</v>
      </c>
      <c r="C33" s="88">
        <f>+'SuppSch-by Plan TME0312'!C33</f>
        <v>-9565</v>
      </c>
      <c r="D33" s="122">
        <f t="shared" si="9"/>
        <v>-9565</v>
      </c>
      <c r="F33" s="123" t="s">
        <v>67</v>
      </c>
      <c r="G33" s="126">
        <f>+'SuppSch-by Plan TME0312'!L35</f>
        <v>1032514</v>
      </c>
      <c r="H33" s="126">
        <f>+'SuppSch-by Plan TME0312'!M35</f>
        <v>529374</v>
      </c>
      <c r="I33" s="126">
        <f>+'SuppSch-by Plan TME0312'!N35</f>
        <v>691</v>
      </c>
      <c r="J33" s="126">
        <f>+'SuppSch-by Plan TME0312'!O35</f>
        <v>1290572</v>
      </c>
      <c r="K33" s="126">
        <f>+'SuppSch-by Plan TME0312'!P35</f>
        <v>2853151</v>
      </c>
      <c r="M33" s="113">
        <f t="shared" si="10"/>
        <v>40847</v>
      </c>
      <c r="N33" s="84">
        <f>+'SuppSch-by Plan TME0312'!K12</f>
        <v>685912</v>
      </c>
      <c r="O33" s="84">
        <f>+'SuppSch-by Plan TME0312'!L12</f>
        <v>24913</v>
      </c>
      <c r="P33" s="84">
        <f>+'SuppSch-by Plan TME0312'!M12</f>
        <v>94511</v>
      </c>
      <c r="Q33" s="84">
        <f>+'SuppSch-by Plan TME0312'!N12</f>
        <v>229320</v>
      </c>
      <c r="R33" s="84">
        <f>+'SuppSch-by Plan TME0312'!O12</f>
        <v>42883</v>
      </c>
      <c r="S33" s="84">
        <v>0</v>
      </c>
      <c r="T33" s="84">
        <v>0</v>
      </c>
      <c r="U33" s="84">
        <v>0</v>
      </c>
      <c r="V33" s="84">
        <v>0</v>
      </c>
      <c r="W33" s="84">
        <f t="shared" si="11"/>
        <v>1077539</v>
      </c>
      <c r="Y33" s="113">
        <f t="shared" si="12"/>
        <v>40847</v>
      </c>
      <c r="Z33" s="84">
        <f>+'SuppSch-by Plan TME0312'!AD12</f>
        <v>0</v>
      </c>
      <c r="AA33" s="84">
        <f>+'SuppSch-by Plan TME0312'!AE12</f>
        <v>0</v>
      </c>
      <c r="AB33" s="84">
        <f>+'SuppSch-by Plan TME0312'!AF12</f>
        <v>0</v>
      </c>
      <c r="AC33" s="84">
        <f>+'SuppSch-by Plan TME0312'!AG12</f>
        <v>814048.39</v>
      </c>
      <c r="AD33" s="84">
        <f>+'SuppSch-by Plan TME0312'!AH12</f>
        <v>291</v>
      </c>
      <c r="AE33" s="84">
        <v>0</v>
      </c>
      <c r="AF33" s="84">
        <v>0</v>
      </c>
      <c r="AG33" s="84">
        <v>0</v>
      </c>
      <c r="AH33" s="84">
        <f>+'SuppSch-by Plan TME0312'!AI12</f>
        <v>61392.61</v>
      </c>
      <c r="AI33" s="84">
        <f t="shared" si="13"/>
        <v>875732</v>
      </c>
    </row>
    <row r="34" spans="1:35" ht="12" thickTop="1" x14ac:dyDescent="0.2">
      <c r="A34" s="113">
        <f t="shared" si="8"/>
        <v>40877</v>
      </c>
      <c r="B34" s="88">
        <f>+'SuppSch-by Plan TME0312'!B34</f>
        <v>0</v>
      </c>
      <c r="C34" s="88">
        <f>+'SuppSch-by Plan TME0312'!C34</f>
        <v>-4271</v>
      </c>
      <c r="D34" s="122">
        <f t="shared" si="9"/>
        <v>-4271</v>
      </c>
      <c r="M34" s="113">
        <f t="shared" si="10"/>
        <v>40877</v>
      </c>
      <c r="N34" s="84">
        <f>+'SuppSch-by Plan TME0312'!K13</f>
        <v>685912</v>
      </c>
      <c r="O34" s="84">
        <f>+'SuppSch-by Plan TME0312'!L13</f>
        <v>24913</v>
      </c>
      <c r="P34" s="84">
        <f>+'SuppSch-by Plan TME0312'!M13</f>
        <v>82729</v>
      </c>
      <c r="Q34" s="84">
        <f>+'SuppSch-by Plan TME0312'!N13</f>
        <v>364361</v>
      </c>
      <c r="R34" s="84">
        <f>+'SuppSch-by Plan TME0312'!O13</f>
        <v>71765</v>
      </c>
      <c r="S34" s="84">
        <v>0</v>
      </c>
      <c r="T34" s="84">
        <v>0</v>
      </c>
      <c r="U34" s="84">
        <v>0</v>
      </c>
      <c r="V34" s="84">
        <v>0</v>
      </c>
      <c r="W34" s="84">
        <f t="shared" si="11"/>
        <v>1229680</v>
      </c>
      <c r="Y34" s="113">
        <f t="shared" si="12"/>
        <v>40877</v>
      </c>
      <c r="Z34" s="84">
        <f>+'SuppSch-by Plan TME0312'!AD13</f>
        <v>0</v>
      </c>
      <c r="AA34" s="84">
        <f>+'SuppSch-by Plan TME0312'!AE13</f>
        <v>0</v>
      </c>
      <c r="AB34" s="84">
        <f>+'SuppSch-by Plan TME0312'!AF13</f>
        <v>0</v>
      </c>
      <c r="AC34" s="84">
        <f>+'SuppSch-by Plan TME0312'!AG13</f>
        <v>866310</v>
      </c>
      <c r="AD34" s="84">
        <f>+'SuppSch-by Plan TME0312'!AH13</f>
        <v>534</v>
      </c>
      <c r="AE34" s="84">
        <v>0</v>
      </c>
      <c r="AF34" s="84">
        <v>0</v>
      </c>
      <c r="AG34" s="84">
        <v>0</v>
      </c>
      <c r="AH34" s="84">
        <f>+'SuppSch-by Plan TME0312'!AI13</f>
        <v>8480</v>
      </c>
      <c r="AI34" s="84">
        <f t="shared" si="13"/>
        <v>875324</v>
      </c>
    </row>
    <row r="35" spans="1:35" x14ac:dyDescent="0.2">
      <c r="A35" s="113">
        <f t="shared" si="8"/>
        <v>40908</v>
      </c>
      <c r="B35" s="88">
        <f>+'SuppSch-by Plan TME0312'!B35</f>
        <v>0</v>
      </c>
      <c r="C35" s="88">
        <f>+'SuppSch-by Plan TME0312'!C35</f>
        <v>2416</v>
      </c>
      <c r="D35" s="122">
        <f t="shared" si="9"/>
        <v>2416</v>
      </c>
      <c r="M35" s="113">
        <f t="shared" si="10"/>
        <v>40908</v>
      </c>
      <c r="N35" s="84">
        <f>+'SuppSch-by Plan TME0312'!K14</f>
        <v>685912</v>
      </c>
      <c r="O35" s="84">
        <f>+'SuppSch-by Plan TME0312'!L14</f>
        <v>24913</v>
      </c>
      <c r="P35" s="84">
        <f>+'SuppSch-by Plan TME0312'!M14</f>
        <v>78341</v>
      </c>
      <c r="Q35" s="84">
        <f>+'SuppSch-by Plan TME0312'!N14</f>
        <v>279437</v>
      </c>
      <c r="R35" s="84">
        <f>+'SuppSch-by Plan TME0312'!O14</f>
        <v>52081</v>
      </c>
      <c r="S35" s="84">
        <v>0</v>
      </c>
      <c r="T35" s="84">
        <v>0</v>
      </c>
      <c r="U35" s="84">
        <v>0</v>
      </c>
      <c r="V35" s="84">
        <v>0</v>
      </c>
      <c r="W35" s="84">
        <f t="shared" si="11"/>
        <v>1120684</v>
      </c>
      <c r="Y35" s="113">
        <f t="shared" si="12"/>
        <v>40908</v>
      </c>
      <c r="Z35" s="84">
        <f>+'SuppSch-by Plan TME0312'!AD14</f>
        <v>0</v>
      </c>
      <c r="AA35" s="84">
        <f>+'SuppSch-by Plan TME0312'!AE14</f>
        <v>0</v>
      </c>
      <c r="AB35" s="84">
        <f>+'SuppSch-by Plan TME0312'!AF14</f>
        <v>0</v>
      </c>
      <c r="AC35" s="84">
        <f>+'SuppSch-by Plan TME0312'!AG14</f>
        <v>915542.92</v>
      </c>
      <c r="AD35" s="84">
        <f>+'SuppSch-by Plan TME0312'!AH14</f>
        <v>5042</v>
      </c>
      <c r="AE35" s="84">
        <v>0</v>
      </c>
      <c r="AF35" s="84">
        <v>0</v>
      </c>
      <c r="AG35" s="84">
        <v>0</v>
      </c>
      <c r="AH35" s="84">
        <f>+'SuppSch-by Plan TME0312'!AI14</f>
        <v>16258.08</v>
      </c>
      <c r="AI35" s="84">
        <f t="shared" si="13"/>
        <v>936843</v>
      </c>
    </row>
    <row r="36" spans="1:35" x14ac:dyDescent="0.2">
      <c r="A36" s="113">
        <f t="shared" si="8"/>
        <v>40939</v>
      </c>
      <c r="B36" s="88">
        <f>+'SuppSch-by Plan TME0312'!B36</f>
        <v>0</v>
      </c>
      <c r="C36" s="88">
        <f>+'SuppSch-by Plan TME0312'!C36</f>
        <v>-2152</v>
      </c>
      <c r="D36" s="122">
        <f t="shared" si="9"/>
        <v>-2152</v>
      </c>
      <c r="M36" s="113">
        <f t="shared" si="10"/>
        <v>40939</v>
      </c>
      <c r="N36" s="84">
        <f>+'SuppSch-by Plan TME0312'!K15</f>
        <v>685912</v>
      </c>
      <c r="O36" s="84">
        <f>+'SuppSch-by Plan TME0312'!L15</f>
        <v>24293</v>
      </c>
      <c r="P36" s="84">
        <f>+'SuppSch-by Plan TME0312'!M15</f>
        <v>70515</v>
      </c>
      <c r="Q36" s="84">
        <f>+'SuppSch-by Plan TME0312'!N15</f>
        <v>271401</v>
      </c>
      <c r="R36" s="84">
        <f>+'SuppSch-by Plan TME0312'!O15</f>
        <v>40660</v>
      </c>
      <c r="S36" s="84">
        <v>0</v>
      </c>
      <c r="T36" s="84">
        <v>0</v>
      </c>
      <c r="U36" s="84">
        <v>0</v>
      </c>
      <c r="V36" s="84">
        <v>0</v>
      </c>
      <c r="W36" s="84">
        <f t="shared" si="11"/>
        <v>1092781</v>
      </c>
      <c r="Y36" s="113">
        <f t="shared" si="12"/>
        <v>40939</v>
      </c>
      <c r="Z36" s="84">
        <f>+'SuppSch-by Plan TME0312'!AD15</f>
        <v>0</v>
      </c>
      <c r="AA36" s="84">
        <f>+'SuppSch-by Plan TME0312'!AE15</f>
        <v>2407</v>
      </c>
      <c r="AB36" s="84">
        <f>+'SuppSch-by Plan TME0312'!AF15</f>
        <v>0</v>
      </c>
      <c r="AC36" s="84">
        <f>+'SuppSch-by Plan TME0312'!AG15</f>
        <v>893954.2</v>
      </c>
      <c r="AD36" s="84">
        <f>+'SuppSch-by Plan TME0312'!AH15</f>
        <v>3040</v>
      </c>
      <c r="AE36" s="84">
        <v>0</v>
      </c>
      <c r="AF36" s="84">
        <v>0</v>
      </c>
      <c r="AG36" s="84">
        <v>0</v>
      </c>
      <c r="AH36" s="84">
        <f>+'SuppSch-by Plan TME0312'!AI15</f>
        <v>1992.8</v>
      </c>
      <c r="AI36" s="84">
        <f t="shared" si="13"/>
        <v>901394</v>
      </c>
    </row>
    <row r="37" spans="1:35" x14ac:dyDescent="0.2">
      <c r="A37" s="113">
        <f t="shared" si="8"/>
        <v>40968</v>
      </c>
      <c r="B37" s="88">
        <f>+'SuppSch-by Plan TME0312'!B37</f>
        <v>0</v>
      </c>
      <c r="C37" s="88">
        <f>+'SuppSch-by Plan TME0312'!C37</f>
        <v>11946</v>
      </c>
      <c r="D37" s="122">
        <f t="shared" si="9"/>
        <v>11946</v>
      </c>
      <c r="M37" s="113">
        <f t="shared" si="10"/>
        <v>40968</v>
      </c>
      <c r="N37" s="84">
        <f>+'SuppSch-by Plan TME0312'!K16</f>
        <v>685912</v>
      </c>
      <c r="O37" s="84">
        <f>+'SuppSch-by Plan TME0312'!L16</f>
        <v>24293</v>
      </c>
      <c r="P37" s="84">
        <f>+'SuppSch-by Plan TME0312'!M16</f>
        <v>96459</v>
      </c>
      <c r="Q37" s="84">
        <f>+'SuppSch-by Plan TME0312'!N16</f>
        <v>293611</v>
      </c>
      <c r="R37" s="84">
        <f>+'SuppSch-by Plan TME0312'!O16</f>
        <v>77869</v>
      </c>
      <c r="S37" s="84">
        <v>0</v>
      </c>
      <c r="T37" s="84">
        <v>0</v>
      </c>
      <c r="U37" s="84">
        <v>0</v>
      </c>
      <c r="V37" s="84">
        <v>0</v>
      </c>
      <c r="W37" s="84">
        <f t="shared" si="11"/>
        <v>1178144</v>
      </c>
      <c r="Y37" s="113">
        <f t="shared" si="12"/>
        <v>40968</v>
      </c>
      <c r="Z37" s="84">
        <f>+'SuppSch-by Plan TME0312'!AD16</f>
        <v>0</v>
      </c>
      <c r="AA37" s="84">
        <f>+'SuppSch-by Plan TME0312'!AE16</f>
        <v>2407</v>
      </c>
      <c r="AB37" s="84">
        <f>+'SuppSch-by Plan TME0312'!AF16</f>
        <v>0</v>
      </c>
      <c r="AC37" s="84">
        <f>+'SuppSch-by Plan TME0312'!AG16</f>
        <v>609608</v>
      </c>
      <c r="AD37" s="84">
        <f>+'SuppSch-by Plan TME0312'!AH16</f>
        <v>18998</v>
      </c>
      <c r="AE37" s="84">
        <v>0</v>
      </c>
      <c r="AF37" s="84">
        <v>0</v>
      </c>
      <c r="AG37" s="84">
        <v>0</v>
      </c>
      <c r="AH37" s="84">
        <f>+'SuppSch-by Plan TME0312'!AI16</f>
        <v>0</v>
      </c>
      <c r="AI37" s="84">
        <f t="shared" si="13"/>
        <v>631013</v>
      </c>
    </row>
    <row r="38" spans="1:35" ht="13.5" x14ac:dyDescent="0.35">
      <c r="A38" s="113">
        <f t="shared" si="8"/>
        <v>40999</v>
      </c>
      <c r="B38" s="127">
        <f>+'SuppSch-by Plan TME0312'!B38</f>
        <v>887</v>
      </c>
      <c r="C38" s="127">
        <f>+'SuppSch-by Plan TME0312'!C38</f>
        <v>-273473</v>
      </c>
      <c r="D38" s="128">
        <f t="shared" si="9"/>
        <v>-272586</v>
      </c>
      <c r="M38" s="113">
        <f t="shared" si="10"/>
        <v>40999</v>
      </c>
      <c r="N38" s="91">
        <f>+'SuppSch-by Plan TME0312'!K17</f>
        <v>691317</v>
      </c>
      <c r="O38" s="91">
        <f>+'SuppSch-by Plan TME0312'!L17</f>
        <v>24293</v>
      </c>
      <c r="P38" s="91">
        <f>+'SuppSch-by Plan TME0312'!M17</f>
        <v>44167</v>
      </c>
      <c r="Q38" s="91">
        <f>+'SuppSch-by Plan TME0312'!N17</f>
        <v>229139</v>
      </c>
      <c r="R38" s="91">
        <f>+'SuppSch-by Plan TME0312'!O17</f>
        <v>28712</v>
      </c>
      <c r="S38" s="91">
        <v>0</v>
      </c>
      <c r="T38" s="91">
        <v>0</v>
      </c>
      <c r="U38" s="91">
        <v>0</v>
      </c>
      <c r="V38" s="91">
        <v>0</v>
      </c>
      <c r="W38" s="91">
        <f t="shared" si="11"/>
        <v>1017628</v>
      </c>
      <c r="Y38" s="113">
        <f t="shared" si="12"/>
        <v>40999</v>
      </c>
      <c r="Z38" s="91">
        <f>+'SuppSch-by Plan TME0312'!AD17</f>
        <v>0</v>
      </c>
      <c r="AA38" s="91">
        <f>+'SuppSch-by Plan TME0312'!AE17</f>
        <v>2407</v>
      </c>
      <c r="AB38" s="91">
        <f>+'SuppSch-by Plan TME0312'!AF17</f>
        <v>0</v>
      </c>
      <c r="AC38" s="91">
        <f>+'SuppSch-by Plan TME0312'!AG17</f>
        <v>804182.8</v>
      </c>
      <c r="AD38" s="91">
        <f>+'SuppSch-by Plan TME0312'!AH17</f>
        <v>6430</v>
      </c>
      <c r="AE38" s="91">
        <v>0</v>
      </c>
      <c r="AF38" s="91">
        <v>0</v>
      </c>
      <c r="AG38" s="91">
        <v>0</v>
      </c>
      <c r="AH38" s="91">
        <f>+'SuppSch-by Plan TME0312'!AI17</f>
        <v>0</v>
      </c>
      <c r="AI38" s="91">
        <f t="shared" si="13"/>
        <v>813019.8</v>
      </c>
    </row>
    <row r="39" spans="1:35" x14ac:dyDescent="0.2">
      <c r="A39" s="117"/>
      <c r="B39" s="117"/>
      <c r="C39" s="117"/>
      <c r="D39" s="117"/>
      <c r="M39" s="113"/>
      <c r="N39" s="84"/>
      <c r="O39" s="84"/>
      <c r="P39" s="84"/>
      <c r="Q39" s="84"/>
      <c r="R39" s="84"/>
      <c r="S39" s="84"/>
      <c r="T39" s="84"/>
      <c r="U39" s="84"/>
      <c r="V39" s="84"/>
      <c r="W39" s="84"/>
      <c r="Y39" s="113">
        <f t="shared" si="12"/>
        <v>0</v>
      </c>
      <c r="Z39" s="84"/>
      <c r="AA39" s="84"/>
      <c r="AB39" s="84"/>
      <c r="AC39" s="84"/>
      <c r="AD39" s="84"/>
      <c r="AE39" s="84"/>
      <c r="AF39" s="84"/>
      <c r="AG39" s="84"/>
      <c r="AH39" s="84"/>
      <c r="AI39" s="84"/>
    </row>
    <row r="40" spans="1:35" ht="12" thickBot="1" x14ac:dyDescent="0.25">
      <c r="A40" s="113" t="str">
        <f>+'SuppSch-by Plan TME0312'!A40</f>
        <v>Totals</v>
      </c>
      <c r="B40" s="114">
        <f>SUM(B27:B39)</f>
        <v>1751</v>
      </c>
      <c r="C40" s="114">
        <f t="shared" ref="C40:D40" si="14">SUM(C27:C39)</f>
        <v>-280396</v>
      </c>
      <c r="D40" s="114">
        <f t="shared" si="14"/>
        <v>-278645</v>
      </c>
      <c r="M40" s="115" t="str">
        <f t="shared" si="10"/>
        <v>Totals</v>
      </c>
      <c r="N40" s="114">
        <f>SUM(N27:N39)</f>
        <v>8222063</v>
      </c>
      <c r="O40" s="114">
        <f t="shared" ref="O40:W40" si="15">SUM(O27:O39)</f>
        <v>297096</v>
      </c>
      <c r="P40" s="114">
        <f t="shared" si="15"/>
        <v>807830</v>
      </c>
      <c r="Q40" s="114">
        <f t="shared" si="15"/>
        <v>2864923</v>
      </c>
      <c r="R40" s="114">
        <f t="shared" si="15"/>
        <v>562237</v>
      </c>
      <c r="S40" s="114">
        <f t="shared" si="15"/>
        <v>0</v>
      </c>
      <c r="T40" s="114">
        <f t="shared" si="15"/>
        <v>0</v>
      </c>
      <c r="U40" s="114">
        <f t="shared" si="15"/>
        <v>0</v>
      </c>
      <c r="V40" s="114">
        <f t="shared" si="15"/>
        <v>0</v>
      </c>
      <c r="W40" s="114">
        <f t="shared" si="15"/>
        <v>12754149</v>
      </c>
      <c r="Y40" s="115" t="str">
        <f t="shared" si="12"/>
        <v>Totals</v>
      </c>
      <c r="Z40" s="114">
        <f>SUM(Z27:Z39)</f>
        <v>0</v>
      </c>
      <c r="AA40" s="114">
        <f t="shared" ref="AA40:AI40" si="16">SUM(AA27:AA39)</f>
        <v>7221</v>
      </c>
      <c r="AB40" s="114">
        <f t="shared" si="16"/>
        <v>0</v>
      </c>
      <c r="AC40" s="114">
        <f t="shared" si="16"/>
        <v>10230624.609999999</v>
      </c>
      <c r="AD40" s="114">
        <f t="shared" si="16"/>
        <v>93965</v>
      </c>
      <c r="AE40" s="114">
        <f t="shared" si="16"/>
        <v>0</v>
      </c>
      <c r="AF40" s="114">
        <f t="shared" si="16"/>
        <v>0</v>
      </c>
      <c r="AG40" s="114">
        <f t="shared" si="16"/>
        <v>0</v>
      </c>
      <c r="AH40" s="114">
        <f t="shared" si="16"/>
        <v>104548.19</v>
      </c>
      <c r="AI40" s="114">
        <f t="shared" si="16"/>
        <v>10436358.800000001</v>
      </c>
    </row>
    <row r="41" spans="1:35" ht="12" thickTop="1" x14ac:dyDescent="0.2">
      <c r="M41" s="116"/>
      <c r="Y41" s="116"/>
    </row>
    <row r="43" spans="1:35" x14ac:dyDescent="0.2">
      <c r="A43" s="129" t="s">
        <v>54</v>
      </c>
      <c r="B43" s="130"/>
      <c r="C43" s="131"/>
      <c r="D43" s="87"/>
    </row>
    <row r="44" spans="1:35" x14ac:dyDescent="0.2">
      <c r="A44" s="130"/>
      <c r="B44" s="130"/>
      <c r="C44" s="130"/>
      <c r="D44" s="87"/>
    </row>
    <row r="45" spans="1:35" ht="56.25" x14ac:dyDescent="0.2">
      <c r="A45" s="130"/>
      <c r="B45" s="132" t="s">
        <v>55</v>
      </c>
      <c r="C45" s="132" t="s">
        <v>56</v>
      </c>
      <c r="D45" s="133" t="s">
        <v>57</v>
      </c>
      <c r="M45" s="134" t="s">
        <v>102</v>
      </c>
      <c r="N45" s="110" t="s">
        <v>29</v>
      </c>
      <c r="O45" s="110" t="s">
        <v>30</v>
      </c>
      <c r="P45" s="159" t="s">
        <v>31</v>
      </c>
      <c r="Q45" s="159"/>
      <c r="R45" s="159"/>
      <c r="S45" s="111" t="s">
        <v>94</v>
      </c>
      <c r="T45" s="110" t="s">
        <v>97</v>
      </c>
      <c r="U45" s="111" t="s">
        <v>88</v>
      </c>
      <c r="V45" s="110" t="s">
        <v>86</v>
      </c>
      <c r="W45" s="110" t="s">
        <v>39</v>
      </c>
      <c r="Y45" s="134" t="s">
        <v>103</v>
      </c>
      <c r="Z45" s="110" t="s">
        <v>29</v>
      </c>
      <c r="AA45" s="110" t="s">
        <v>30</v>
      </c>
      <c r="AB45" s="159" t="s">
        <v>31</v>
      </c>
      <c r="AC45" s="159"/>
      <c r="AD45" s="159"/>
      <c r="AE45" s="111" t="s">
        <v>94</v>
      </c>
      <c r="AF45" s="110" t="s">
        <v>97</v>
      </c>
      <c r="AG45" s="111" t="s">
        <v>88</v>
      </c>
      <c r="AH45" s="110" t="s">
        <v>86</v>
      </c>
      <c r="AI45" s="110" t="s">
        <v>39</v>
      </c>
    </row>
    <row r="46" spans="1:35" ht="33.75" x14ac:dyDescent="0.2">
      <c r="A46" s="130"/>
      <c r="B46" s="135" t="s">
        <v>85</v>
      </c>
      <c r="C46" s="135" t="s">
        <v>85</v>
      </c>
      <c r="D46" s="133" t="s">
        <v>58</v>
      </c>
      <c r="N46" s="110" t="s">
        <v>34</v>
      </c>
      <c r="O46" s="81"/>
      <c r="P46" s="81" t="s">
        <v>35</v>
      </c>
      <c r="Q46" s="81" t="s">
        <v>36</v>
      </c>
      <c r="R46" s="110" t="s">
        <v>37</v>
      </c>
      <c r="T46" s="111" t="s">
        <v>38</v>
      </c>
      <c r="U46" s="111" t="s">
        <v>87</v>
      </c>
      <c r="Z46" s="110" t="s">
        <v>34</v>
      </c>
      <c r="AA46" s="81"/>
      <c r="AB46" s="81" t="s">
        <v>35</v>
      </c>
      <c r="AC46" s="81" t="s">
        <v>36</v>
      </c>
      <c r="AD46" s="110" t="s">
        <v>37</v>
      </c>
      <c r="AF46" s="111" t="s">
        <v>38</v>
      </c>
      <c r="AG46" s="111" t="s">
        <v>87</v>
      </c>
    </row>
    <row r="47" spans="1:35" x14ac:dyDescent="0.2">
      <c r="M47" s="113">
        <f>+M6</f>
        <v>40663</v>
      </c>
      <c r="N47" s="84">
        <f>+N6+N27</f>
        <v>3901713</v>
      </c>
      <c r="O47" s="84">
        <f t="shared" ref="O47:V47" si="17">+O6+O27</f>
        <v>156682</v>
      </c>
      <c r="P47" s="84">
        <f t="shared" si="17"/>
        <v>259568</v>
      </c>
      <c r="Q47" s="84">
        <f t="shared" si="17"/>
        <v>8575</v>
      </c>
      <c r="R47" s="84">
        <f t="shared" si="17"/>
        <v>670346</v>
      </c>
      <c r="S47" s="84">
        <f t="shared" si="17"/>
        <v>-4862</v>
      </c>
      <c r="T47" s="84">
        <f t="shared" si="17"/>
        <v>0</v>
      </c>
      <c r="U47" s="84">
        <f t="shared" si="17"/>
        <v>0</v>
      </c>
      <c r="V47" s="84">
        <f t="shared" si="17"/>
        <v>0</v>
      </c>
      <c r="W47" s="84">
        <f>SUM(N47:V47)</f>
        <v>4992022</v>
      </c>
      <c r="Y47" s="113">
        <f>+Y6</f>
        <v>40663</v>
      </c>
      <c r="Z47" s="84">
        <f>+Z6+Z27</f>
        <v>0</v>
      </c>
      <c r="AA47" s="84">
        <f t="shared" ref="AA47:AH47" si="18">+AA6+AA27</f>
        <v>5683</v>
      </c>
      <c r="AB47" s="84">
        <f t="shared" si="18"/>
        <v>0</v>
      </c>
      <c r="AC47" s="84">
        <f t="shared" si="18"/>
        <v>649792</v>
      </c>
      <c r="AD47" s="84">
        <f t="shared" si="18"/>
        <v>4553</v>
      </c>
      <c r="AE47" s="84">
        <f t="shared" si="18"/>
        <v>0</v>
      </c>
      <c r="AF47" s="84">
        <f t="shared" si="18"/>
        <v>9235</v>
      </c>
      <c r="AG47" s="84">
        <f t="shared" si="18"/>
        <v>0</v>
      </c>
      <c r="AH47" s="84">
        <f t="shared" si="18"/>
        <v>0</v>
      </c>
      <c r="AI47" s="84">
        <f>SUM(Z47:AH47)</f>
        <v>669263</v>
      </c>
    </row>
    <row r="48" spans="1:35" x14ac:dyDescent="0.2">
      <c r="A48" s="113">
        <f>+'SuppSch-by Plan TME0312'!A48</f>
        <v>40663</v>
      </c>
      <c r="B48" s="104">
        <f>+'SuppSch-by Plan TME0312'!B48</f>
        <v>95882475</v>
      </c>
      <c r="C48" s="103">
        <f>+'SuppSch-by Plan TME0312'!C48</f>
        <v>109820943</v>
      </c>
      <c r="D48" s="136">
        <f>+'SuppSch-by Plan TME0312'!D48</f>
        <v>0.87308005541347433</v>
      </c>
      <c r="M48" s="113">
        <f t="shared" ref="M48:M60" si="19">+M7</f>
        <v>40694</v>
      </c>
      <c r="N48" s="84">
        <f t="shared" ref="N48:V58" si="20">+N7+N28</f>
        <v>3901949</v>
      </c>
      <c r="O48" s="84">
        <f t="shared" si="20"/>
        <v>156682</v>
      </c>
      <c r="P48" s="84">
        <f t="shared" si="20"/>
        <v>457237</v>
      </c>
      <c r="Q48" s="84">
        <f t="shared" si="20"/>
        <v>220476</v>
      </c>
      <c r="R48" s="84">
        <f t="shared" si="20"/>
        <v>331672</v>
      </c>
      <c r="S48" s="84">
        <f t="shared" si="20"/>
        <v>-4862</v>
      </c>
      <c r="T48" s="84">
        <f t="shared" si="20"/>
        <v>0</v>
      </c>
      <c r="U48" s="84">
        <f t="shared" si="20"/>
        <v>0</v>
      </c>
      <c r="V48" s="84">
        <f t="shared" si="20"/>
        <v>0</v>
      </c>
      <c r="W48" s="84">
        <f t="shared" ref="W48:W58" si="21">SUM(N48:V48)</f>
        <v>5063154</v>
      </c>
      <c r="Y48" s="113">
        <f t="shared" ref="Y48:Y60" si="22">+Y7</f>
        <v>40694</v>
      </c>
      <c r="Z48" s="84">
        <f t="shared" ref="Z48:AH58" si="23">+Z7+Z28</f>
        <v>0</v>
      </c>
      <c r="AA48" s="84">
        <f t="shared" si="23"/>
        <v>5683</v>
      </c>
      <c r="AB48" s="84">
        <f t="shared" si="23"/>
        <v>0</v>
      </c>
      <c r="AC48" s="84">
        <f t="shared" si="23"/>
        <v>771651</v>
      </c>
      <c r="AD48" s="84">
        <f t="shared" si="23"/>
        <v>9345</v>
      </c>
      <c r="AE48" s="84">
        <f t="shared" si="23"/>
        <v>0</v>
      </c>
      <c r="AF48" s="84">
        <f t="shared" si="23"/>
        <v>7409</v>
      </c>
      <c r="AG48" s="84">
        <f t="shared" si="23"/>
        <v>0</v>
      </c>
      <c r="AH48" s="84">
        <f t="shared" si="23"/>
        <v>0</v>
      </c>
      <c r="AI48" s="84">
        <f t="shared" ref="AI48:AI58" si="24">SUM(Z48:AH48)</f>
        <v>794088</v>
      </c>
    </row>
    <row r="49" spans="1:35" x14ac:dyDescent="0.2">
      <c r="A49" s="113">
        <f>+'SuppSch-by Plan TME0312'!A49</f>
        <v>40694</v>
      </c>
      <c r="B49" s="97">
        <f>+'SuppSch-by Plan TME0312'!B49</f>
        <v>91980703</v>
      </c>
      <c r="C49" s="87">
        <f>+'SuppSch-by Plan TME0312'!C49</f>
        <v>109257901</v>
      </c>
      <c r="D49" s="136">
        <f>+'SuppSch-by Plan TME0312'!D49</f>
        <v>0.84186774739522041</v>
      </c>
      <c r="M49" s="113">
        <f t="shared" si="19"/>
        <v>40724</v>
      </c>
      <c r="N49" s="84">
        <f t="shared" si="20"/>
        <v>3920254</v>
      </c>
      <c r="O49" s="84">
        <f t="shared" si="20"/>
        <v>156669</v>
      </c>
      <c r="P49" s="84">
        <f t="shared" si="20"/>
        <v>527831</v>
      </c>
      <c r="Q49" s="84">
        <f t="shared" si="20"/>
        <v>56711</v>
      </c>
      <c r="R49" s="84">
        <f t="shared" si="20"/>
        <v>361598</v>
      </c>
      <c r="S49" s="84">
        <f t="shared" si="20"/>
        <v>-4862</v>
      </c>
      <c r="T49" s="84">
        <f t="shared" si="20"/>
        <v>0</v>
      </c>
      <c r="U49" s="84">
        <f t="shared" si="20"/>
        <v>0</v>
      </c>
      <c r="V49" s="84">
        <f t="shared" si="20"/>
        <v>0</v>
      </c>
      <c r="W49" s="84">
        <f t="shared" si="21"/>
        <v>5018201</v>
      </c>
      <c r="Y49" s="113">
        <f t="shared" si="22"/>
        <v>40724</v>
      </c>
      <c r="Z49" s="84">
        <f t="shared" si="23"/>
        <v>0</v>
      </c>
      <c r="AA49" s="84">
        <f t="shared" si="23"/>
        <v>5683</v>
      </c>
      <c r="AB49" s="84">
        <f t="shared" si="23"/>
        <v>0</v>
      </c>
      <c r="AC49" s="84">
        <f t="shared" si="23"/>
        <v>1054274</v>
      </c>
      <c r="AD49" s="84">
        <f t="shared" si="23"/>
        <v>4772</v>
      </c>
      <c r="AE49" s="84">
        <f t="shared" si="23"/>
        <v>0</v>
      </c>
      <c r="AF49" s="84">
        <f t="shared" si="23"/>
        <v>11026</v>
      </c>
      <c r="AG49" s="84">
        <f t="shared" si="23"/>
        <v>0</v>
      </c>
      <c r="AH49" s="84">
        <f t="shared" si="23"/>
        <v>0</v>
      </c>
      <c r="AI49" s="84">
        <f t="shared" si="24"/>
        <v>1075755</v>
      </c>
    </row>
    <row r="50" spans="1:35" x14ac:dyDescent="0.2">
      <c r="A50" s="113">
        <f>+'SuppSch-by Plan TME0312'!A50</f>
        <v>40724</v>
      </c>
      <c r="B50" s="97">
        <f>+'SuppSch-by Plan TME0312'!B50</f>
        <v>107968505</v>
      </c>
      <c r="C50" s="87">
        <f>+'SuppSch-by Plan TME0312'!C50</f>
        <v>127892282</v>
      </c>
      <c r="D50" s="136">
        <f>+'SuppSch-by Plan TME0312'!D50</f>
        <v>0.84421439129532461</v>
      </c>
      <c r="M50" s="113">
        <f t="shared" si="19"/>
        <v>40755</v>
      </c>
      <c r="N50" s="84">
        <f t="shared" si="20"/>
        <v>3939299</v>
      </c>
      <c r="O50" s="84">
        <f t="shared" si="20"/>
        <v>156669</v>
      </c>
      <c r="P50" s="84">
        <f t="shared" si="20"/>
        <v>486595</v>
      </c>
      <c r="Q50" s="84">
        <f t="shared" si="20"/>
        <v>163202</v>
      </c>
      <c r="R50" s="84">
        <f t="shared" si="20"/>
        <v>266870</v>
      </c>
      <c r="S50" s="84">
        <f t="shared" si="20"/>
        <v>-4862</v>
      </c>
      <c r="T50" s="84">
        <f t="shared" si="20"/>
        <v>0</v>
      </c>
      <c r="U50" s="84">
        <f t="shared" si="20"/>
        <v>0</v>
      </c>
      <c r="V50" s="84">
        <f t="shared" si="20"/>
        <v>0</v>
      </c>
      <c r="W50" s="84">
        <f t="shared" si="21"/>
        <v>5007773</v>
      </c>
      <c r="Y50" s="113">
        <f t="shared" si="22"/>
        <v>40755</v>
      </c>
      <c r="Z50" s="84">
        <f t="shared" si="23"/>
        <v>0</v>
      </c>
      <c r="AA50" s="84">
        <f t="shared" si="23"/>
        <v>5683</v>
      </c>
      <c r="AB50" s="84">
        <f t="shared" si="23"/>
        <v>0</v>
      </c>
      <c r="AC50" s="84">
        <f t="shared" si="23"/>
        <v>921445</v>
      </c>
      <c r="AD50" s="84">
        <f t="shared" si="23"/>
        <v>27444</v>
      </c>
      <c r="AE50" s="84">
        <f t="shared" si="23"/>
        <v>0</v>
      </c>
      <c r="AF50" s="84">
        <f t="shared" si="23"/>
        <v>11050</v>
      </c>
      <c r="AG50" s="84">
        <f t="shared" si="23"/>
        <v>0</v>
      </c>
      <c r="AH50" s="84">
        <f t="shared" si="23"/>
        <v>0</v>
      </c>
      <c r="AI50" s="84">
        <f t="shared" si="24"/>
        <v>965622</v>
      </c>
    </row>
    <row r="51" spans="1:35" x14ac:dyDescent="0.2">
      <c r="A51" s="113">
        <f>+'SuppSch-by Plan TME0312'!A51</f>
        <v>40755</v>
      </c>
      <c r="B51" s="97">
        <f>+'SuppSch-by Plan TME0312'!B51</f>
        <v>113758668</v>
      </c>
      <c r="C51" s="87">
        <f>+'SuppSch-by Plan TME0312'!C51</f>
        <v>132738782</v>
      </c>
      <c r="D51" s="136">
        <f>+'SuppSch-by Plan TME0312'!D51</f>
        <v>0.85701154015410508</v>
      </c>
      <c r="M51" s="113">
        <f t="shared" si="19"/>
        <v>40786</v>
      </c>
      <c r="N51" s="84">
        <f t="shared" si="20"/>
        <v>3939299</v>
      </c>
      <c r="O51" s="84">
        <f t="shared" si="20"/>
        <v>156669</v>
      </c>
      <c r="P51" s="84">
        <f t="shared" si="20"/>
        <v>423142</v>
      </c>
      <c r="Q51" s="84">
        <f t="shared" si="20"/>
        <v>588868</v>
      </c>
      <c r="R51" s="84">
        <f t="shared" si="20"/>
        <v>406185</v>
      </c>
      <c r="S51" s="84">
        <f t="shared" si="20"/>
        <v>-4862</v>
      </c>
      <c r="T51" s="84">
        <f t="shared" si="20"/>
        <v>0</v>
      </c>
      <c r="U51" s="84">
        <f t="shared" si="20"/>
        <v>0</v>
      </c>
      <c r="V51" s="84">
        <f t="shared" si="20"/>
        <v>0</v>
      </c>
      <c r="W51" s="84">
        <f t="shared" si="21"/>
        <v>5509301</v>
      </c>
      <c r="Y51" s="113">
        <f t="shared" si="22"/>
        <v>40786</v>
      </c>
      <c r="Z51" s="84">
        <f t="shared" si="23"/>
        <v>0</v>
      </c>
      <c r="AA51" s="84">
        <f t="shared" si="23"/>
        <v>5683</v>
      </c>
      <c r="AB51" s="84">
        <f t="shared" si="23"/>
        <v>0</v>
      </c>
      <c r="AC51" s="84">
        <f t="shared" si="23"/>
        <v>1008601</v>
      </c>
      <c r="AD51" s="84">
        <f t="shared" si="23"/>
        <v>9156</v>
      </c>
      <c r="AE51" s="84">
        <f t="shared" si="23"/>
        <v>0</v>
      </c>
      <c r="AF51" s="84">
        <f t="shared" si="23"/>
        <v>11046</v>
      </c>
      <c r="AG51" s="84">
        <f t="shared" si="23"/>
        <v>0</v>
      </c>
      <c r="AH51" s="84">
        <f t="shared" si="23"/>
        <v>0</v>
      </c>
      <c r="AI51" s="84">
        <f t="shared" si="24"/>
        <v>1034486</v>
      </c>
    </row>
    <row r="52" spans="1:35" x14ac:dyDescent="0.2">
      <c r="A52" s="113">
        <f>+'SuppSch-by Plan TME0312'!A52</f>
        <v>40786</v>
      </c>
      <c r="B52" s="97">
        <f>+'SuppSch-by Plan TME0312'!B52</f>
        <v>123043042</v>
      </c>
      <c r="C52" s="87">
        <f>+'SuppSch-by Plan TME0312'!C52</f>
        <v>141140253</v>
      </c>
      <c r="D52" s="136">
        <f>+'SuppSch-by Plan TME0312'!D52</f>
        <v>0.87177852798662614</v>
      </c>
      <c r="M52" s="113">
        <f t="shared" si="19"/>
        <v>40816</v>
      </c>
      <c r="N52" s="84">
        <f t="shared" si="20"/>
        <v>3939299</v>
      </c>
      <c r="O52" s="84">
        <f t="shared" si="20"/>
        <v>156669</v>
      </c>
      <c r="P52" s="84">
        <f t="shared" si="20"/>
        <v>381719</v>
      </c>
      <c r="Q52" s="84">
        <f t="shared" si="20"/>
        <v>159822</v>
      </c>
      <c r="R52" s="84">
        <f t="shared" si="20"/>
        <v>321753</v>
      </c>
      <c r="S52" s="84">
        <f t="shared" si="20"/>
        <v>-4862</v>
      </c>
      <c r="T52" s="84">
        <f t="shared" si="20"/>
        <v>0</v>
      </c>
      <c r="U52" s="84">
        <f t="shared" si="20"/>
        <v>0</v>
      </c>
      <c r="V52" s="84">
        <f t="shared" si="20"/>
        <v>0</v>
      </c>
      <c r="W52" s="84">
        <f t="shared" si="21"/>
        <v>4954400</v>
      </c>
      <c r="Y52" s="113">
        <f t="shared" si="22"/>
        <v>40816</v>
      </c>
      <c r="Z52" s="84">
        <f t="shared" si="23"/>
        <v>0</v>
      </c>
      <c r="AA52" s="84">
        <f t="shared" si="23"/>
        <v>5683</v>
      </c>
      <c r="AB52" s="84">
        <f t="shared" si="23"/>
        <v>0</v>
      </c>
      <c r="AC52" s="84">
        <f t="shared" si="23"/>
        <v>921215.3</v>
      </c>
      <c r="AD52" s="84">
        <f t="shared" si="23"/>
        <v>4360</v>
      </c>
      <c r="AE52" s="84">
        <f t="shared" si="23"/>
        <v>0</v>
      </c>
      <c r="AF52" s="84">
        <f t="shared" si="23"/>
        <v>7836</v>
      </c>
      <c r="AG52" s="84">
        <f t="shared" si="23"/>
        <v>0</v>
      </c>
      <c r="AH52" s="84">
        <f t="shared" si="23"/>
        <v>16424.7</v>
      </c>
      <c r="AI52" s="84">
        <f t="shared" si="24"/>
        <v>955519</v>
      </c>
    </row>
    <row r="53" spans="1:35" x14ac:dyDescent="0.2">
      <c r="A53" s="113">
        <f>+'SuppSch-by Plan TME0312'!A53</f>
        <v>40816</v>
      </c>
      <c r="B53" s="97">
        <f>+'SuppSch-by Plan TME0312'!B53</f>
        <v>115894324</v>
      </c>
      <c r="C53" s="87">
        <f>+'SuppSch-by Plan TME0312'!C53</f>
        <v>132428088</v>
      </c>
      <c r="D53" s="136">
        <f>+'SuppSch-by Plan TME0312'!D53</f>
        <v>0.87514911489169878</v>
      </c>
      <c r="M53" s="113">
        <f t="shared" si="19"/>
        <v>40847</v>
      </c>
      <c r="N53" s="84">
        <f t="shared" si="20"/>
        <v>3939299</v>
      </c>
      <c r="O53" s="84">
        <f t="shared" si="20"/>
        <v>156669</v>
      </c>
      <c r="P53" s="84">
        <f t="shared" si="20"/>
        <v>371339</v>
      </c>
      <c r="Q53" s="84">
        <f t="shared" si="20"/>
        <v>229320</v>
      </c>
      <c r="R53" s="84">
        <f t="shared" si="20"/>
        <v>174446</v>
      </c>
      <c r="S53" s="84">
        <f t="shared" si="20"/>
        <v>-4862</v>
      </c>
      <c r="T53" s="84">
        <f t="shared" si="20"/>
        <v>0</v>
      </c>
      <c r="U53" s="84">
        <f t="shared" si="20"/>
        <v>0</v>
      </c>
      <c r="V53" s="84">
        <f t="shared" si="20"/>
        <v>0</v>
      </c>
      <c r="W53" s="84">
        <f t="shared" si="21"/>
        <v>4866211</v>
      </c>
      <c r="Y53" s="113">
        <f t="shared" si="22"/>
        <v>40847</v>
      </c>
      <c r="Z53" s="84">
        <f t="shared" si="23"/>
        <v>0</v>
      </c>
      <c r="AA53" s="84">
        <f t="shared" si="23"/>
        <v>5683</v>
      </c>
      <c r="AB53" s="84">
        <f t="shared" si="23"/>
        <v>0</v>
      </c>
      <c r="AC53" s="84">
        <f t="shared" si="23"/>
        <v>814048.39</v>
      </c>
      <c r="AD53" s="84">
        <f t="shared" si="23"/>
        <v>291</v>
      </c>
      <c r="AE53" s="84">
        <f t="shared" si="23"/>
        <v>0</v>
      </c>
      <c r="AF53" s="84">
        <f t="shared" si="23"/>
        <v>10133</v>
      </c>
      <c r="AG53" s="84">
        <f t="shared" si="23"/>
        <v>0</v>
      </c>
      <c r="AH53" s="84">
        <f t="shared" si="23"/>
        <v>61392.61</v>
      </c>
      <c r="AI53" s="84">
        <f t="shared" si="24"/>
        <v>891548</v>
      </c>
    </row>
    <row r="54" spans="1:35" x14ac:dyDescent="0.2">
      <c r="A54" s="113">
        <f>+'SuppSch-by Plan TME0312'!A54</f>
        <v>40847</v>
      </c>
      <c r="B54" s="97">
        <f>+'SuppSch-by Plan TME0312'!B54</f>
        <v>100772017</v>
      </c>
      <c r="C54" s="87">
        <f>+'SuppSch-by Plan TME0312'!C54</f>
        <v>118057368</v>
      </c>
      <c r="D54" s="136">
        <f>+'SuppSch-by Plan TME0312'!D54</f>
        <v>0.85358515700604132</v>
      </c>
      <c r="M54" s="113">
        <f t="shared" si="19"/>
        <v>40877</v>
      </c>
      <c r="N54" s="84">
        <f t="shared" si="20"/>
        <v>3939299</v>
      </c>
      <c r="O54" s="84">
        <f t="shared" si="20"/>
        <v>156669</v>
      </c>
      <c r="P54" s="84">
        <f t="shared" si="20"/>
        <v>434478</v>
      </c>
      <c r="Q54" s="84">
        <f t="shared" si="20"/>
        <v>364361</v>
      </c>
      <c r="R54" s="84">
        <f t="shared" si="20"/>
        <v>304434</v>
      </c>
      <c r="S54" s="84">
        <f t="shared" si="20"/>
        <v>-4862</v>
      </c>
      <c r="T54" s="84">
        <f t="shared" si="20"/>
        <v>0</v>
      </c>
      <c r="U54" s="84">
        <f t="shared" si="20"/>
        <v>0</v>
      </c>
      <c r="V54" s="84">
        <f t="shared" si="20"/>
        <v>0</v>
      </c>
      <c r="W54" s="84">
        <f t="shared" si="21"/>
        <v>5194379</v>
      </c>
      <c r="Y54" s="113">
        <f t="shared" si="22"/>
        <v>40877</v>
      </c>
      <c r="Z54" s="84">
        <f t="shared" si="23"/>
        <v>0</v>
      </c>
      <c r="AA54" s="84">
        <f t="shared" si="23"/>
        <v>5683</v>
      </c>
      <c r="AB54" s="84">
        <f t="shared" si="23"/>
        <v>0</v>
      </c>
      <c r="AC54" s="84">
        <f t="shared" si="23"/>
        <v>866310</v>
      </c>
      <c r="AD54" s="84">
        <f t="shared" si="23"/>
        <v>534</v>
      </c>
      <c r="AE54" s="84">
        <f t="shared" si="23"/>
        <v>0</v>
      </c>
      <c r="AF54" s="84">
        <f t="shared" si="23"/>
        <v>10743</v>
      </c>
      <c r="AG54" s="84">
        <f t="shared" si="23"/>
        <v>0</v>
      </c>
      <c r="AH54" s="84">
        <f t="shared" si="23"/>
        <v>8480</v>
      </c>
      <c r="AI54" s="84">
        <f t="shared" si="24"/>
        <v>891750</v>
      </c>
    </row>
    <row r="55" spans="1:35" x14ac:dyDescent="0.2">
      <c r="A55" s="113">
        <f>+'SuppSch-by Plan TME0312'!A55</f>
        <v>40877</v>
      </c>
      <c r="B55" s="97">
        <f>+'SuppSch-by Plan TME0312'!B55</f>
        <v>89304719</v>
      </c>
      <c r="C55" s="87">
        <f>+'SuppSch-by Plan TME0312'!C55</f>
        <v>103229231</v>
      </c>
      <c r="D55" s="136">
        <f>+'SuppSch-by Plan TME0312'!D55</f>
        <v>0.86511076499252426</v>
      </c>
      <c r="M55" s="113">
        <f t="shared" si="19"/>
        <v>40908</v>
      </c>
      <c r="N55" s="84">
        <f t="shared" si="20"/>
        <v>4008155</v>
      </c>
      <c r="O55" s="84">
        <f t="shared" si="20"/>
        <v>156669</v>
      </c>
      <c r="P55" s="84">
        <f t="shared" si="20"/>
        <v>507453</v>
      </c>
      <c r="Q55" s="84">
        <f t="shared" si="20"/>
        <v>279437</v>
      </c>
      <c r="R55" s="84">
        <f t="shared" si="20"/>
        <v>276465</v>
      </c>
      <c r="S55" s="84">
        <f t="shared" si="20"/>
        <v>-4862</v>
      </c>
      <c r="T55" s="84">
        <f t="shared" si="20"/>
        <v>0</v>
      </c>
      <c r="U55" s="84">
        <f t="shared" si="20"/>
        <v>0</v>
      </c>
      <c r="V55" s="84">
        <f t="shared" si="20"/>
        <v>0</v>
      </c>
      <c r="W55" s="84">
        <f t="shared" si="21"/>
        <v>5223317</v>
      </c>
      <c r="Y55" s="113">
        <f t="shared" si="22"/>
        <v>40908</v>
      </c>
      <c r="Z55" s="84">
        <f t="shared" si="23"/>
        <v>9707</v>
      </c>
      <c r="AA55" s="84">
        <f t="shared" si="23"/>
        <v>5683</v>
      </c>
      <c r="AB55" s="84">
        <f t="shared" si="23"/>
        <v>0</v>
      </c>
      <c r="AC55" s="84">
        <f t="shared" si="23"/>
        <v>915542.92</v>
      </c>
      <c r="AD55" s="84">
        <f t="shared" si="23"/>
        <v>5042</v>
      </c>
      <c r="AE55" s="84">
        <f t="shared" si="23"/>
        <v>0</v>
      </c>
      <c r="AF55" s="84">
        <f t="shared" si="23"/>
        <v>10502</v>
      </c>
      <c r="AG55" s="84">
        <f t="shared" si="23"/>
        <v>0</v>
      </c>
      <c r="AH55" s="84">
        <f t="shared" si="23"/>
        <v>16258.08</v>
      </c>
      <c r="AI55" s="84">
        <f t="shared" si="24"/>
        <v>962735</v>
      </c>
    </row>
    <row r="56" spans="1:35" x14ac:dyDescent="0.2">
      <c r="A56" s="113">
        <f>+'SuppSch-by Plan TME0312'!A56</f>
        <v>40908</v>
      </c>
      <c r="B56" s="97">
        <f>+'SuppSch-by Plan TME0312'!B56</f>
        <v>97878004</v>
      </c>
      <c r="C56" s="87">
        <f>+'SuppSch-by Plan TME0312'!C56</f>
        <v>116619190</v>
      </c>
      <c r="D56" s="136">
        <f>+'SuppSch-by Plan TME0312'!D56</f>
        <v>0.83929586545747747</v>
      </c>
      <c r="M56" s="113">
        <f t="shared" si="19"/>
        <v>40939</v>
      </c>
      <c r="N56" s="84">
        <f t="shared" si="20"/>
        <v>4077011</v>
      </c>
      <c r="O56" s="84">
        <f t="shared" si="20"/>
        <v>149945</v>
      </c>
      <c r="P56" s="84">
        <f t="shared" si="20"/>
        <v>445573</v>
      </c>
      <c r="Q56" s="84">
        <f t="shared" si="20"/>
        <v>271401</v>
      </c>
      <c r="R56" s="84">
        <f t="shared" si="20"/>
        <v>357140</v>
      </c>
      <c r="S56" s="84">
        <f t="shared" si="20"/>
        <v>-4862</v>
      </c>
      <c r="T56" s="84">
        <f t="shared" si="20"/>
        <v>0</v>
      </c>
      <c r="U56" s="84">
        <f t="shared" si="20"/>
        <v>0</v>
      </c>
      <c r="V56" s="84">
        <f t="shared" si="20"/>
        <v>0</v>
      </c>
      <c r="W56" s="84">
        <f t="shared" si="21"/>
        <v>5296208</v>
      </c>
      <c r="Y56" s="113">
        <f t="shared" si="22"/>
        <v>40939</v>
      </c>
      <c r="Z56" s="84">
        <f t="shared" si="23"/>
        <v>19413</v>
      </c>
      <c r="AA56" s="84">
        <f t="shared" si="23"/>
        <v>22157</v>
      </c>
      <c r="AB56" s="84">
        <f t="shared" si="23"/>
        <v>0</v>
      </c>
      <c r="AC56" s="84">
        <f t="shared" si="23"/>
        <v>893954.2</v>
      </c>
      <c r="AD56" s="84">
        <f t="shared" si="23"/>
        <v>3040</v>
      </c>
      <c r="AE56" s="84">
        <f t="shared" si="23"/>
        <v>0</v>
      </c>
      <c r="AF56" s="84">
        <f t="shared" si="23"/>
        <v>12532</v>
      </c>
      <c r="AG56" s="84">
        <f t="shared" si="23"/>
        <v>0</v>
      </c>
      <c r="AH56" s="84">
        <f t="shared" si="23"/>
        <v>1992.8</v>
      </c>
      <c r="AI56" s="84">
        <f t="shared" si="24"/>
        <v>953089</v>
      </c>
    </row>
    <row r="57" spans="1:35" x14ac:dyDescent="0.2">
      <c r="A57" s="113">
        <f>+'SuppSch-by Plan TME0312'!A57</f>
        <v>40939</v>
      </c>
      <c r="B57" s="97">
        <f>+'SuppSch-by Plan TME0312'!B57</f>
        <v>110285253</v>
      </c>
      <c r="C57" s="87">
        <f>+'SuppSch-by Plan TME0312'!C57</f>
        <v>130130828</v>
      </c>
      <c r="D57" s="136">
        <f>+'SuppSch-by Plan TME0312'!D57</f>
        <v>0.84749520690055091</v>
      </c>
      <c r="M57" s="113">
        <f t="shared" si="19"/>
        <v>40968</v>
      </c>
      <c r="N57" s="84">
        <f t="shared" si="20"/>
        <v>4077011</v>
      </c>
      <c r="O57" s="84">
        <f t="shared" si="20"/>
        <v>149945</v>
      </c>
      <c r="P57" s="84">
        <f t="shared" si="20"/>
        <v>391236</v>
      </c>
      <c r="Q57" s="84">
        <f t="shared" si="20"/>
        <v>293611</v>
      </c>
      <c r="R57" s="84">
        <f t="shared" si="20"/>
        <v>406720</v>
      </c>
      <c r="S57" s="84">
        <f t="shared" si="20"/>
        <v>-4862</v>
      </c>
      <c r="T57" s="84">
        <f t="shared" si="20"/>
        <v>0</v>
      </c>
      <c r="U57" s="84">
        <f t="shared" si="20"/>
        <v>0</v>
      </c>
      <c r="V57" s="84">
        <f t="shared" si="20"/>
        <v>0</v>
      </c>
      <c r="W57" s="84">
        <f t="shared" si="21"/>
        <v>5313661</v>
      </c>
      <c r="Y57" s="113">
        <f t="shared" si="22"/>
        <v>40968</v>
      </c>
      <c r="Z57" s="84">
        <f t="shared" si="23"/>
        <v>19413</v>
      </c>
      <c r="AA57" s="84">
        <f t="shared" si="23"/>
        <v>22157</v>
      </c>
      <c r="AB57" s="84">
        <f t="shared" si="23"/>
        <v>0</v>
      </c>
      <c r="AC57" s="84">
        <f t="shared" si="23"/>
        <v>609608</v>
      </c>
      <c r="AD57" s="84">
        <f t="shared" si="23"/>
        <v>18998</v>
      </c>
      <c r="AE57" s="84">
        <f t="shared" si="23"/>
        <v>0</v>
      </c>
      <c r="AF57" s="84">
        <f t="shared" si="23"/>
        <v>11870</v>
      </c>
      <c r="AG57" s="84">
        <f t="shared" si="23"/>
        <v>0</v>
      </c>
      <c r="AH57" s="84">
        <f t="shared" si="23"/>
        <v>0</v>
      </c>
      <c r="AI57" s="84">
        <f t="shared" si="24"/>
        <v>682046</v>
      </c>
    </row>
    <row r="58" spans="1:35" ht="13.5" x14ac:dyDescent="0.35">
      <c r="A58" s="113">
        <f>+'SuppSch-by Plan TME0312'!A58</f>
        <v>40968</v>
      </c>
      <c r="B58" s="97">
        <f>+'SuppSch-by Plan TME0312'!B58</f>
        <v>112626035</v>
      </c>
      <c r="C58" s="87">
        <f>+'SuppSch-by Plan TME0312'!C58</f>
        <v>128746223</v>
      </c>
      <c r="D58" s="136">
        <f>+'SuppSch-by Plan TME0312'!D58</f>
        <v>0.87479098318868742</v>
      </c>
      <c r="M58" s="113">
        <f t="shared" si="19"/>
        <v>40999</v>
      </c>
      <c r="N58" s="91">
        <f t="shared" si="20"/>
        <v>4026658</v>
      </c>
      <c r="O58" s="91">
        <f t="shared" si="20"/>
        <v>149419</v>
      </c>
      <c r="P58" s="91">
        <f t="shared" si="20"/>
        <v>304335</v>
      </c>
      <c r="Q58" s="91">
        <f t="shared" si="20"/>
        <v>229139</v>
      </c>
      <c r="R58" s="91">
        <f t="shared" si="20"/>
        <v>762043</v>
      </c>
      <c r="S58" s="91">
        <f t="shared" si="20"/>
        <v>-4862</v>
      </c>
      <c r="T58" s="91">
        <f t="shared" si="20"/>
        <v>0</v>
      </c>
      <c r="U58" s="91">
        <f t="shared" si="20"/>
        <v>0</v>
      </c>
      <c r="V58" s="91">
        <f t="shared" si="20"/>
        <v>0</v>
      </c>
      <c r="W58" s="91">
        <f t="shared" si="21"/>
        <v>5466732</v>
      </c>
      <c r="Y58" s="113">
        <f t="shared" si="22"/>
        <v>40999</v>
      </c>
      <c r="Z58" s="91">
        <f t="shared" si="23"/>
        <v>19413</v>
      </c>
      <c r="AA58" s="91">
        <f t="shared" si="23"/>
        <v>22157</v>
      </c>
      <c r="AB58" s="91">
        <f t="shared" si="23"/>
        <v>0</v>
      </c>
      <c r="AC58" s="91">
        <f t="shared" si="23"/>
        <v>804182.8</v>
      </c>
      <c r="AD58" s="91">
        <f t="shared" si="23"/>
        <v>6430</v>
      </c>
      <c r="AE58" s="91">
        <f t="shared" si="23"/>
        <v>0</v>
      </c>
      <c r="AF58" s="91">
        <f t="shared" si="23"/>
        <v>10569</v>
      </c>
      <c r="AG58" s="91">
        <f t="shared" si="23"/>
        <v>5524.2</v>
      </c>
      <c r="AH58" s="91">
        <f t="shared" si="23"/>
        <v>0</v>
      </c>
      <c r="AI58" s="91">
        <f t="shared" si="24"/>
        <v>868276</v>
      </c>
    </row>
    <row r="59" spans="1:35" ht="13.5" x14ac:dyDescent="0.35">
      <c r="A59" s="113">
        <f>+'SuppSch-by Plan TME0312'!A59</f>
        <v>40999</v>
      </c>
      <c r="B59" s="86">
        <f>+'SuppSch-by Plan TME0312'!B59</f>
        <v>102350679</v>
      </c>
      <c r="C59" s="86">
        <f>+'SuppSch-by Plan TME0312'!C59</f>
        <v>117314195</v>
      </c>
      <c r="D59" s="136">
        <f>+'SuppSch-by Plan TME0312'!D59</f>
        <v>0.87244922918322032</v>
      </c>
      <c r="M59" s="113"/>
      <c r="N59" s="84"/>
      <c r="O59" s="84"/>
      <c r="P59" s="84"/>
      <c r="Q59" s="84"/>
      <c r="R59" s="84"/>
      <c r="S59" s="84"/>
      <c r="T59" s="84"/>
      <c r="U59" s="84"/>
      <c r="V59" s="84"/>
      <c r="W59" s="84"/>
      <c r="Y59" s="113">
        <f t="shared" si="22"/>
        <v>0</v>
      </c>
      <c r="Z59" s="84"/>
      <c r="AA59" s="84"/>
      <c r="AB59" s="84"/>
      <c r="AC59" s="84"/>
      <c r="AD59" s="84"/>
      <c r="AE59" s="84"/>
      <c r="AF59" s="84"/>
      <c r="AG59" s="84"/>
      <c r="AH59" s="84"/>
      <c r="AI59" s="84"/>
    </row>
    <row r="60" spans="1:35" ht="12" thickBot="1" x14ac:dyDescent="0.25">
      <c r="A60" s="117"/>
      <c r="M60" s="115" t="str">
        <f t="shared" si="19"/>
        <v>Totals</v>
      </c>
      <c r="N60" s="114">
        <f>SUM(N47:N59)</f>
        <v>47609246</v>
      </c>
      <c r="O60" s="114">
        <f t="shared" ref="O60:W60" si="25">SUM(O47:O59)</f>
        <v>1859356</v>
      </c>
      <c r="P60" s="114">
        <f t="shared" si="25"/>
        <v>4990506</v>
      </c>
      <c r="Q60" s="114">
        <f t="shared" si="25"/>
        <v>2864923</v>
      </c>
      <c r="R60" s="114">
        <f t="shared" si="25"/>
        <v>4639672</v>
      </c>
      <c r="S60" s="114">
        <f t="shared" si="25"/>
        <v>-58344</v>
      </c>
      <c r="T60" s="114">
        <f t="shared" si="25"/>
        <v>0</v>
      </c>
      <c r="U60" s="114">
        <f t="shared" si="25"/>
        <v>0</v>
      </c>
      <c r="V60" s="114">
        <f t="shared" si="25"/>
        <v>0</v>
      </c>
      <c r="W60" s="114">
        <f t="shared" si="25"/>
        <v>61905359</v>
      </c>
      <c r="Y60" s="115" t="str">
        <f t="shared" si="22"/>
        <v>Totals</v>
      </c>
      <c r="Z60" s="114">
        <f>SUM(Z47:Z59)</f>
        <v>67946</v>
      </c>
      <c r="AA60" s="114">
        <f t="shared" ref="AA60:AI60" si="26">SUM(AA47:AA59)</f>
        <v>117618</v>
      </c>
      <c r="AB60" s="114">
        <f t="shared" si="26"/>
        <v>0</v>
      </c>
      <c r="AC60" s="114">
        <f t="shared" si="26"/>
        <v>10230624.609999999</v>
      </c>
      <c r="AD60" s="114">
        <f t="shared" si="26"/>
        <v>93965</v>
      </c>
      <c r="AE60" s="114">
        <f t="shared" si="26"/>
        <v>0</v>
      </c>
      <c r="AF60" s="114">
        <f t="shared" si="26"/>
        <v>123951</v>
      </c>
      <c r="AG60" s="114">
        <f t="shared" si="26"/>
        <v>5524.2</v>
      </c>
      <c r="AH60" s="114">
        <f t="shared" si="26"/>
        <v>104548.19</v>
      </c>
      <c r="AI60" s="114">
        <f t="shared" si="26"/>
        <v>10744177</v>
      </c>
    </row>
    <row r="61" spans="1:35" ht="12.75" thickTop="1" thickBot="1" x14ac:dyDescent="0.25">
      <c r="A61" s="113" t="str">
        <f>+'SuppSch-by Plan TME0312'!A61</f>
        <v>Totals</v>
      </c>
      <c r="B61" s="137">
        <f>SUM(B48:B60)</f>
        <v>1261744424</v>
      </c>
      <c r="C61" s="137">
        <f t="shared" ref="C61" si="27">SUM(C48:C60)</f>
        <v>1467375284</v>
      </c>
      <c r="D61" s="102">
        <f>+'SuppSch-by Plan TME0312'!D61</f>
        <v>0.85986484695349419</v>
      </c>
      <c r="M61" s="116"/>
      <c r="Y61" s="116"/>
    </row>
    <row r="62" spans="1:35" ht="12" thickTop="1" x14ac:dyDescent="0.2"/>
    <row r="64" spans="1:35" x14ac:dyDescent="0.2">
      <c r="W64" s="122">
        <f>+W60-C40</f>
        <v>62185755</v>
      </c>
      <c r="AI64" s="138">
        <f>+AI60-B40</f>
        <v>10742426</v>
      </c>
    </row>
    <row r="67" spans="35:35" x14ac:dyDescent="0.2">
      <c r="AI67" s="122">
        <f>+AI60+W60</f>
        <v>72649536</v>
      </c>
    </row>
    <row r="68" spans="35:35" x14ac:dyDescent="0.2">
      <c r="AI68" s="122">
        <f>+AI67-K19</f>
        <v>0</v>
      </c>
    </row>
  </sheetData>
  <mergeCells count="7">
    <mergeCell ref="P45:R45"/>
    <mergeCell ref="AB45:AD45"/>
    <mergeCell ref="D4:F4"/>
    <mergeCell ref="P4:R4"/>
    <mergeCell ref="AB4:AD4"/>
    <mergeCell ref="P25:R25"/>
    <mergeCell ref="AB25:AD25"/>
  </mergeCells>
  <printOptions horizontalCentered="1"/>
  <pageMargins left="0.75" right="0.45" top="1" bottom="0.75" header="0.55000000000000004" footer="0.3"/>
  <pageSetup scale="78" fitToHeight="3" orientation="portrait" r:id="rId1"/>
  <headerFooter>
    <oddHeader>&amp;R&amp;"Times New Roman,Bold"&amp;12Conroy Exhibit P4
Page &amp;P of &amp;N</oddHeader>
  </headerFooter>
  <colBreaks count="2" manualBreakCount="2">
    <brk id="11" max="61" man="1"/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cols>
    <col min="1" max="16384" width="9.140625" style="68"/>
  </cols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98"/>
  <sheetViews>
    <sheetView zoomScaleNormal="100" zoomScaleSheetLayoutView="80" workbookViewId="0">
      <selection activeCell="E17" sqref="E17"/>
    </sheetView>
  </sheetViews>
  <sheetFormatPr defaultColWidth="8" defaultRowHeight="11.25" x14ac:dyDescent="0.2"/>
  <cols>
    <col min="1" max="1" width="11.85546875" style="1" customWidth="1"/>
    <col min="2" max="2" width="13" style="1" bestFit="1" customWidth="1"/>
    <col min="3" max="3" width="13.28515625" style="1" customWidth="1"/>
    <col min="4" max="4" width="11" style="1" customWidth="1"/>
    <col min="5" max="6" width="10.5703125" style="1" customWidth="1"/>
    <col min="7" max="7" width="11" style="1" customWidth="1"/>
    <col min="8" max="8" width="10.28515625" style="1" customWidth="1"/>
    <col min="9" max="9" width="0.85546875" style="1" customWidth="1"/>
    <col min="10" max="10" width="11.42578125" style="1" customWidth="1"/>
    <col min="11" max="11" width="13.28515625" style="1" customWidth="1"/>
    <col min="12" max="12" width="12" style="1" customWidth="1"/>
    <col min="13" max="13" width="11.140625" style="1" customWidth="1"/>
    <col min="14" max="14" width="10.28515625" style="1" customWidth="1"/>
    <col min="15" max="15" width="12.140625" style="1" customWidth="1"/>
    <col min="16" max="16" width="10.5703125" style="1" customWidth="1"/>
    <col min="17" max="17" width="10.140625" style="1" customWidth="1"/>
    <col min="18" max="18" width="0.85546875" style="1" customWidth="1"/>
    <col min="19" max="19" width="11.140625" style="1" customWidth="1"/>
    <col min="20" max="20" width="12.85546875" style="1" customWidth="1"/>
    <col min="21" max="21" width="10.7109375" style="1" customWidth="1"/>
    <col min="22" max="22" width="10.85546875" style="1" customWidth="1"/>
    <col min="23" max="23" width="12.140625" style="1" customWidth="1"/>
    <col min="24" max="25" width="11" style="1" customWidth="1"/>
    <col min="26" max="26" width="10.42578125" style="1" customWidth="1"/>
    <col min="27" max="27" width="11.28515625" style="1" customWidth="1"/>
    <col min="28" max="28" width="1.140625" style="1" customWidth="1"/>
    <col min="29" max="29" width="11.140625" style="1" customWidth="1"/>
    <col min="30" max="30" width="12" style="1" customWidth="1"/>
    <col min="31" max="31" width="10.7109375" style="1" customWidth="1"/>
    <col min="32" max="32" width="8.85546875" style="1" customWidth="1"/>
    <col min="33" max="33" width="10.7109375" style="1" customWidth="1"/>
    <col min="34" max="34" width="9.28515625" style="1" customWidth="1"/>
    <col min="35" max="35" width="10.42578125" style="1" customWidth="1"/>
    <col min="36" max="36" width="10.5703125" style="1" customWidth="1"/>
    <col min="37" max="37" width="4.28515625" style="1" customWidth="1"/>
    <col min="38" max="38" width="6.85546875" style="1" customWidth="1"/>
    <col min="39" max="39" width="11.5703125" style="1" customWidth="1"/>
    <col min="40" max="41" width="10.42578125" style="1" customWidth="1"/>
    <col min="42" max="43" width="9.85546875" style="1" bestFit="1" customWidth="1"/>
    <col min="44" max="45" width="10.5703125" style="1" bestFit="1" customWidth="1"/>
    <col min="46" max="47" width="8" style="1"/>
    <col min="48" max="48" width="11.28515625" style="1" customWidth="1"/>
    <col min="49" max="49" width="9.28515625" style="1" bestFit="1" customWidth="1"/>
    <col min="50" max="50" width="9.85546875" style="1" bestFit="1" customWidth="1"/>
    <col min="51" max="51" width="9" style="1" bestFit="1" customWidth="1"/>
    <col min="52" max="16384" width="8" style="1"/>
  </cols>
  <sheetData>
    <row r="1" spans="1:51" ht="12" x14ac:dyDescent="0.2">
      <c r="A1" s="15" t="s">
        <v>27</v>
      </c>
    </row>
    <row r="2" spans="1:51" x14ac:dyDescent="0.2">
      <c r="A2" s="1" t="s">
        <v>28</v>
      </c>
      <c r="H2" s="157"/>
    </row>
    <row r="3" spans="1:51" x14ac:dyDescent="0.2">
      <c r="H3" s="157"/>
      <c r="W3" s="157"/>
    </row>
    <row r="4" spans="1:51" ht="56.25" customHeight="1" x14ac:dyDescent="0.2">
      <c r="A4" s="7" t="s">
        <v>48</v>
      </c>
      <c r="B4" s="157" t="s">
        <v>29</v>
      </c>
      <c r="C4" s="157" t="s">
        <v>30</v>
      </c>
      <c r="D4" s="164" t="s">
        <v>31</v>
      </c>
      <c r="E4" s="164"/>
      <c r="F4" s="164"/>
      <c r="G4" s="157" t="s">
        <v>94</v>
      </c>
      <c r="H4" s="157" t="s">
        <v>39</v>
      </c>
      <c r="J4" s="7" t="s">
        <v>59</v>
      </c>
      <c r="K4" s="157" t="s">
        <v>29</v>
      </c>
      <c r="L4" s="157" t="s">
        <v>30</v>
      </c>
      <c r="M4" s="164" t="s">
        <v>31</v>
      </c>
      <c r="N4" s="164"/>
      <c r="O4" s="164"/>
      <c r="P4" s="157" t="s">
        <v>32</v>
      </c>
      <c r="Q4" s="157" t="s">
        <v>39</v>
      </c>
      <c r="S4" s="7" t="s">
        <v>75</v>
      </c>
      <c r="T4" s="157" t="s">
        <v>29</v>
      </c>
      <c r="U4" s="157" t="s">
        <v>30</v>
      </c>
      <c r="V4" s="164" t="s">
        <v>31</v>
      </c>
      <c r="W4" s="164"/>
      <c r="X4" s="164"/>
      <c r="Y4" s="157" t="s">
        <v>32</v>
      </c>
      <c r="Z4" s="157" t="s">
        <v>88</v>
      </c>
      <c r="AA4" s="157" t="s">
        <v>39</v>
      </c>
      <c r="AC4" s="7" t="s">
        <v>76</v>
      </c>
      <c r="AD4" s="157" t="s">
        <v>29</v>
      </c>
      <c r="AE4" s="157" t="s">
        <v>30</v>
      </c>
      <c r="AF4" s="164" t="s">
        <v>31</v>
      </c>
      <c r="AG4" s="164"/>
      <c r="AH4" s="164"/>
      <c r="AI4" s="165" t="s">
        <v>86</v>
      </c>
      <c r="AJ4" s="157" t="s">
        <v>39</v>
      </c>
      <c r="AM4" s="161" t="s">
        <v>33</v>
      </c>
      <c r="AN4" s="162"/>
      <c r="AO4" s="163"/>
      <c r="AR4" s="61"/>
      <c r="AS4" s="62"/>
      <c r="AV4" s="160" t="s">
        <v>149</v>
      </c>
      <c r="AW4" s="160"/>
    </row>
    <row r="5" spans="1:51" ht="22.5" customHeight="1" x14ac:dyDescent="0.2">
      <c r="B5" s="157" t="s">
        <v>34</v>
      </c>
      <c r="C5" s="3"/>
      <c r="D5" s="3" t="s">
        <v>35</v>
      </c>
      <c r="E5" s="3" t="s">
        <v>36</v>
      </c>
      <c r="F5" s="157" t="s">
        <v>37</v>
      </c>
      <c r="G5" s="157" t="s">
        <v>38</v>
      </c>
      <c r="H5" s="157"/>
      <c r="K5" s="157" t="s">
        <v>34</v>
      </c>
      <c r="L5" s="3"/>
      <c r="M5" s="3" t="s">
        <v>35</v>
      </c>
      <c r="N5" s="3" t="s">
        <v>36</v>
      </c>
      <c r="O5" s="157" t="s">
        <v>37</v>
      </c>
      <c r="P5" s="157" t="s">
        <v>38</v>
      </c>
      <c r="Q5" s="157"/>
      <c r="T5" s="157" t="s">
        <v>34</v>
      </c>
      <c r="U5" s="3"/>
      <c r="V5" s="3" t="s">
        <v>35</v>
      </c>
      <c r="W5" s="3" t="s">
        <v>36</v>
      </c>
      <c r="X5" s="157" t="s">
        <v>37</v>
      </c>
      <c r="Y5" s="157" t="s">
        <v>38</v>
      </c>
      <c r="Z5" s="157" t="s">
        <v>87</v>
      </c>
      <c r="AA5" s="157"/>
      <c r="AD5" s="157" t="s">
        <v>34</v>
      </c>
      <c r="AE5" s="3"/>
      <c r="AF5" s="3" t="s">
        <v>35</v>
      </c>
      <c r="AG5" s="3" t="s">
        <v>36</v>
      </c>
      <c r="AH5" s="157" t="s">
        <v>37</v>
      </c>
      <c r="AI5" s="157"/>
      <c r="AJ5" s="157"/>
      <c r="AM5" s="42" t="s">
        <v>40</v>
      </c>
      <c r="AN5" s="31" t="s">
        <v>41</v>
      </c>
      <c r="AO5" s="43" t="s">
        <v>42</v>
      </c>
      <c r="AR5" s="66" t="s">
        <v>48</v>
      </c>
      <c r="AS5" s="67" t="s">
        <v>59</v>
      </c>
      <c r="AV5" s="69" t="s">
        <v>150</v>
      </c>
      <c r="AW5" s="69">
        <v>2011</v>
      </c>
      <c r="AX5" s="1" t="s">
        <v>60</v>
      </c>
    </row>
    <row r="6" spans="1:51" ht="11.25" customHeight="1" x14ac:dyDescent="0.2">
      <c r="A6" s="17">
        <v>40663</v>
      </c>
      <c r="B6" s="4">
        <v>3221657</v>
      </c>
      <c r="C6" s="4">
        <v>131769</v>
      </c>
      <c r="D6" s="4">
        <v>259568</v>
      </c>
      <c r="E6" s="4">
        <v>0</v>
      </c>
      <c r="F6" s="4">
        <v>635436</v>
      </c>
      <c r="G6" s="4">
        <v>-4862</v>
      </c>
      <c r="H6" s="4">
        <f>SUM(B6:G6)</f>
        <v>4243568</v>
      </c>
      <c r="J6" s="17">
        <f>+$A$6</f>
        <v>40663</v>
      </c>
      <c r="K6" s="4">
        <v>680056</v>
      </c>
      <c r="L6" s="4">
        <v>24913</v>
      </c>
      <c r="M6" s="4">
        <v>0</v>
      </c>
      <c r="N6" s="4">
        <v>8575</v>
      </c>
      <c r="O6" s="4">
        <v>34910</v>
      </c>
      <c r="P6" s="4">
        <v>0</v>
      </c>
      <c r="Q6" s="4">
        <f>SUM(K6:P6)</f>
        <v>748454</v>
      </c>
      <c r="S6" s="17">
        <f>+$A$6</f>
        <v>40663</v>
      </c>
      <c r="T6" s="4">
        <v>0</v>
      </c>
      <c r="U6" s="6">
        <v>5683</v>
      </c>
      <c r="V6" s="4">
        <v>0</v>
      </c>
      <c r="W6" s="4">
        <v>0</v>
      </c>
      <c r="X6" s="4">
        <v>0</v>
      </c>
      <c r="Y6" s="4">
        <f>+AM6</f>
        <v>9235</v>
      </c>
      <c r="Z6" s="4">
        <v>0</v>
      </c>
      <c r="AA6" s="4">
        <f>SUM(T6:Z6)</f>
        <v>14918</v>
      </c>
      <c r="AC6" s="17">
        <f>+$A$6</f>
        <v>40663</v>
      </c>
      <c r="AD6" s="4">
        <v>0</v>
      </c>
      <c r="AE6" s="4">
        <v>0</v>
      </c>
      <c r="AF6" s="4">
        <v>0</v>
      </c>
      <c r="AG6" s="4">
        <f>649794-2</f>
        <v>649792</v>
      </c>
      <c r="AH6" s="4">
        <v>4553</v>
      </c>
      <c r="AI6" s="4">
        <v>0</v>
      </c>
      <c r="AJ6" s="4">
        <f t="shared" ref="AJ6:AJ19" si="0">SUM(AD6:AI6)</f>
        <v>654345</v>
      </c>
      <c r="AM6" s="18">
        <v>9235</v>
      </c>
      <c r="AN6" s="6">
        <f>ROUND(58345.76/12,0)</f>
        <v>4862</v>
      </c>
      <c r="AO6" s="19">
        <f>+AM6-AN6</f>
        <v>4373</v>
      </c>
      <c r="AR6" s="63">
        <f t="shared" ref="AR6:AR16" si="1">+H6-C27</f>
        <v>4205614</v>
      </c>
      <c r="AS6" s="64">
        <f>+Q6</f>
        <v>748454</v>
      </c>
      <c r="AU6" s="2">
        <f>+AC6</f>
        <v>40663</v>
      </c>
      <c r="AV6" s="8">
        <v>5623331</v>
      </c>
      <c r="AW6" s="8">
        <v>0</v>
      </c>
      <c r="AX6" s="8">
        <f>+AV6+AW6</f>
        <v>5623331</v>
      </c>
    </row>
    <row r="7" spans="1:51" x14ac:dyDescent="0.2">
      <c r="A7" s="17">
        <f t="shared" ref="A7:A17" si="2">EOMONTH(A6,1)</f>
        <v>40694</v>
      </c>
      <c r="B7" s="4">
        <v>3221657</v>
      </c>
      <c r="C7" s="4">
        <v>131769</v>
      </c>
      <c r="D7" s="4">
        <v>369409</v>
      </c>
      <c r="E7" s="4">
        <v>0</v>
      </c>
      <c r="F7" s="4">
        <v>298698</v>
      </c>
      <c r="G7" s="4">
        <v>-4862</v>
      </c>
      <c r="H7" s="4">
        <f>SUM(B7:G7)</f>
        <v>4016671</v>
      </c>
      <c r="J7" s="17">
        <f t="shared" ref="J7:J17" si="3">EOMONTH(J6,1)</f>
        <v>40694</v>
      </c>
      <c r="K7" s="4">
        <v>680292</v>
      </c>
      <c r="L7" s="4">
        <v>24913</v>
      </c>
      <c r="M7" s="4">
        <v>87828</v>
      </c>
      <c r="N7" s="4">
        <v>220476</v>
      </c>
      <c r="O7" s="4">
        <v>32974</v>
      </c>
      <c r="P7" s="4">
        <v>0</v>
      </c>
      <c r="Q7" s="4">
        <f>SUM(K7:P7)</f>
        <v>1046483</v>
      </c>
      <c r="S7" s="17">
        <f t="shared" ref="S7:S17" si="4">EOMONTH(S6,1)</f>
        <v>40694</v>
      </c>
      <c r="T7" s="4">
        <v>0</v>
      </c>
      <c r="U7" s="6">
        <v>5683</v>
      </c>
      <c r="V7" s="4">
        <v>0</v>
      </c>
      <c r="W7" s="4">
        <v>0</v>
      </c>
      <c r="X7" s="4">
        <v>0</v>
      </c>
      <c r="Y7" s="4">
        <f t="shared" ref="Y7:Y17" si="5">+AM7</f>
        <v>7409</v>
      </c>
      <c r="Z7" s="4">
        <v>0</v>
      </c>
      <c r="AA7" s="4">
        <f>SUM(T7:Z7)</f>
        <v>13092</v>
      </c>
      <c r="AC7" s="17">
        <f t="shared" ref="AC7:AC17" si="6">EOMONTH(AC6,1)</f>
        <v>40694</v>
      </c>
      <c r="AD7" s="4">
        <v>0</v>
      </c>
      <c r="AE7" s="4">
        <v>0</v>
      </c>
      <c r="AF7" s="4">
        <v>0</v>
      </c>
      <c r="AG7" s="4">
        <v>771651</v>
      </c>
      <c r="AH7" s="4">
        <v>9345</v>
      </c>
      <c r="AI7" s="4">
        <v>0</v>
      </c>
      <c r="AJ7" s="4">
        <f t="shared" si="0"/>
        <v>780996</v>
      </c>
      <c r="AM7" s="18">
        <v>7409</v>
      </c>
      <c r="AN7" s="6">
        <f>ROUND(58345.76/12,0)</f>
        <v>4862</v>
      </c>
      <c r="AO7" s="19">
        <f>+AM7-AN7</f>
        <v>2547</v>
      </c>
      <c r="AR7" s="63">
        <f t="shared" si="1"/>
        <v>4025166</v>
      </c>
      <c r="AS7" s="64">
        <f t="shared" ref="AS7:AS17" si="7">+Q7</f>
        <v>1046483</v>
      </c>
      <c r="AU7" s="2">
        <f t="shared" ref="AU7:AU17" si="8">+AC7</f>
        <v>40694</v>
      </c>
      <c r="AV7" s="8">
        <v>5865737</v>
      </c>
      <c r="AW7" s="8">
        <v>0</v>
      </c>
      <c r="AX7" s="8">
        <f t="shared" ref="AX7:AX17" si="9">+AV7+AW7</f>
        <v>5865737</v>
      </c>
    </row>
    <row r="8" spans="1:51" x14ac:dyDescent="0.2">
      <c r="A8" s="17">
        <f t="shared" si="2"/>
        <v>40724</v>
      </c>
      <c r="B8" s="4">
        <v>3237152</v>
      </c>
      <c r="C8" s="4">
        <v>131756</v>
      </c>
      <c r="D8" s="4">
        <v>444332</v>
      </c>
      <c r="E8" s="4">
        <v>0</v>
      </c>
      <c r="F8" s="4">
        <v>324141</v>
      </c>
      <c r="G8" s="4">
        <v>-4862</v>
      </c>
      <c r="H8" s="4">
        <f>SUM(B8:G8)</f>
        <v>4132519</v>
      </c>
      <c r="J8" s="17">
        <f t="shared" si="3"/>
        <v>40724</v>
      </c>
      <c r="K8" s="4">
        <v>683102</v>
      </c>
      <c r="L8" s="4">
        <v>24913</v>
      </c>
      <c r="M8" s="4">
        <v>83499</v>
      </c>
      <c r="N8" s="4">
        <v>56711</v>
      </c>
      <c r="O8" s="4">
        <v>37457</v>
      </c>
      <c r="P8" s="4">
        <v>0</v>
      </c>
      <c r="Q8" s="4">
        <f>SUM(K8:P8)</f>
        <v>885682</v>
      </c>
      <c r="S8" s="17">
        <f t="shared" si="4"/>
        <v>40724</v>
      </c>
      <c r="T8" s="4">
        <v>0</v>
      </c>
      <c r="U8" s="6">
        <v>5683</v>
      </c>
      <c r="V8" s="4">
        <v>0</v>
      </c>
      <c r="W8" s="4">
        <v>0</v>
      </c>
      <c r="X8" s="4">
        <v>0</v>
      </c>
      <c r="Y8" s="4">
        <f t="shared" si="5"/>
        <v>11026</v>
      </c>
      <c r="Z8" s="4">
        <v>0</v>
      </c>
      <c r="AA8" s="4">
        <f>SUM(T8:Z8)</f>
        <v>16709</v>
      </c>
      <c r="AC8" s="17">
        <f t="shared" si="6"/>
        <v>40724</v>
      </c>
      <c r="AD8" s="4">
        <v>0</v>
      </c>
      <c r="AE8" s="4">
        <v>0</v>
      </c>
      <c r="AF8" s="4">
        <v>0</v>
      </c>
      <c r="AG8" s="4">
        <f>1054276-2</f>
        <v>1054274</v>
      </c>
      <c r="AH8" s="4">
        <v>4772</v>
      </c>
      <c r="AI8" s="4">
        <v>0</v>
      </c>
      <c r="AJ8" s="4">
        <f t="shared" si="0"/>
        <v>1059046</v>
      </c>
      <c r="AM8" s="18">
        <v>11026</v>
      </c>
      <c r="AN8" s="6">
        <f>ROUND(58345.76/12,0)</f>
        <v>4862</v>
      </c>
      <c r="AO8" s="19">
        <f>+AM8-AN8</f>
        <v>6164</v>
      </c>
      <c r="AR8" s="63">
        <f t="shared" si="1"/>
        <v>4142239</v>
      </c>
      <c r="AS8" s="64">
        <f t="shared" si="7"/>
        <v>885682</v>
      </c>
      <c r="AU8" s="2">
        <f t="shared" si="8"/>
        <v>40724</v>
      </c>
      <c r="AV8" s="8">
        <v>6103676</v>
      </c>
      <c r="AW8" s="8">
        <v>0</v>
      </c>
      <c r="AX8" s="8">
        <f t="shared" si="9"/>
        <v>6103676</v>
      </c>
    </row>
    <row r="9" spans="1:51" x14ac:dyDescent="0.2">
      <c r="A9" s="17">
        <f t="shared" si="2"/>
        <v>40755</v>
      </c>
      <c r="B9" s="6">
        <v>3253387</v>
      </c>
      <c r="C9" s="6">
        <v>131756</v>
      </c>
      <c r="D9" s="6">
        <v>406121</v>
      </c>
      <c r="E9" s="6">
        <v>0</v>
      </c>
      <c r="F9" s="6">
        <v>234475</v>
      </c>
      <c r="G9" s="4">
        <v>-4862</v>
      </c>
      <c r="H9" s="6">
        <f>SUM(B9:G9)</f>
        <v>4020877</v>
      </c>
      <c r="I9" s="44"/>
      <c r="J9" s="45">
        <f t="shared" si="3"/>
        <v>40755</v>
      </c>
      <c r="K9" s="6">
        <v>685912</v>
      </c>
      <c r="L9" s="6">
        <v>24913</v>
      </c>
      <c r="M9" s="6">
        <v>80474</v>
      </c>
      <c r="N9" s="6">
        <v>163202</v>
      </c>
      <c r="O9" s="6">
        <v>32395</v>
      </c>
      <c r="P9" s="6">
        <v>0</v>
      </c>
      <c r="Q9" s="6">
        <f>SUM(K9:P9)</f>
        <v>986896</v>
      </c>
      <c r="R9" s="44"/>
      <c r="S9" s="45">
        <f t="shared" si="4"/>
        <v>40755</v>
      </c>
      <c r="T9" s="6">
        <v>0</v>
      </c>
      <c r="U9" s="6">
        <v>5683</v>
      </c>
      <c r="V9" s="4">
        <v>0</v>
      </c>
      <c r="W9" s="4">
        <v>0</v>
      </c>
      <c r="X9" s="4">
        <v>0</v>
      </c>
      <c r="Y9" s="4">
        <f t="shared" si="5"/>
        <v>11050</v>
      </c>
      <c r="Z9" s="4">
        <v>0</v>
      </c>
      <c r="AA9" s="6">
        <f>SUM(T9:Z9)</f>
        <v>16733</v>
      </c>
      <c r="AB9" s="44"/>
      <c r="AC9" s="45">
        <f t="shared" si="6"/>
        <v>40755</v>
      </c>
      <c r="AD9" s="6">
        <v>0</v>
      </c>
      <c r="AE9" s="6">
        <v>0</v>
      </c>
      <c r="AF9" s="4">
        <v>0</v>
      </c>
      <c r="AG9" s="6">
        <f>921444+1</f>
        <v>921445</v>
      </c>
      <c r="AH9" s="6">
        <v>27444</v>
      </c>
      <c r="AI9" s="4">
        <v>0</v>
      </c>
      <c r="AJ9" s="4">
        <f t="shared" si="0"/>
        <v>948889</v>
      </c>
      <c r="AK9" s="44"/>
      <c r="AM9" s="18">
        <v>11050</v>
      </c>
      <c r="AN9" s="6">
        <f>ROUND(58345.76/12,0)</f>
        <v>4862</v>
      </c>
      <c r="AO9" s="19">
        <f>+AM9-AN9</f>
        <v>6188</v>
      </c>
      <c r="AR9" s="63">
        <f t="shared" si="1"/>
        <v>4021943</v>
      </c>
      <c r="AS9" s="64">
        <f t="shared" si="7"/>
        <v>986896</v>
      </c>
      <c r="AU9" s="2">
        <f t="shared" si="8"/>
        <v>40755</v>
      </c>
      <c r="AV9" s="8">
        <v>5974461</v>
      </c>
      <c r="AW9" s="8">
        <v>0</v>
      </c>
      <c r="AX9" s="8">
        <f t="shared" si="9"/>
        <v>5974461</v>
      </c>
    </row>
    <row r="10" spans="1:51" x14ac:dyDescent="0.2">
      <c r="A10" s="17">
        <f t="shared" si="2"/>
        <v>40786</v>
      </c>
      <c r="B10" s="6">
        <v>3253387</v>
      </c>
      <c r="C10" s="6">
        <v>131756</v>
      </c>
      <c r="D10" s="4">
        <v>365175</v>
      </c>
      <c r="E10" s="4">
        <v>0</v>
      </c>
      <c r="F10" s="4">
        <v>356449</v>
      </c>
      <c r="G10" s="4">
        <v>-4862</v>
      </c>
      <c r="H10" s="4">
        <f t="shared" ref="H10:H19" si="10">SUM(B10:G10)</f>
        <v>4101905</v>
      </c>
      <c r="J10" s="17">
        <f t="shared" si="3"/>
        <v>40786</v>
      </c>
      <c r="K10" s="6">
        <v>685912</v>
      </c>
      <c r="L10" s="6">
        <v>24913</v>
      </c>
      <c r="M10" s="4">
        <v>57967</v>
      </c>
      <c r="N10" s="4">
        <v>588868</v>
      </c>
      <c r="O10" s="4">
        <v>49736</v>
      </c>
      <c r="P10" s="4">
        <v>0</v>
      </c>
      <c r="Q10" s="4">
        <f t="shared" ref="Q10:Q19" si="11">SUM(K10:P10)</f>
        <v>1407396</v>
      </c>
      <c r="S10" s="17">
        <f t="shared" si="4"/>
        <v>40786</v>
      </c>
      <c r="T10" s="4">
        <v>0</v>
      </c>
      <c r="U10" s="6">
        <v>5683</v>
      </c>
      <c r="V10" s="4">
        <v>0</v>
      </c>
      <c r="W10" s="4">
        <v>0</v>
      </c>
      <c r="X10" s="4">
        <v>0</v>
      </c>
      <c r="Y10" s="4">
        <f t="shared" si="5"/>
        <v>11046</v>
      </c>
      <c r="Z10" s="4">
        <v>0</v>
      </c>
      <c r="AA10" s="4">
        <f t="shared" ref="AA10:AA19" si="12">SUM(T10:Z10)</f>
        <v>16729</v>
      </c>
      <c r="AC10" s="17">
        <f t="shared" si="6"/>
        <v>40786</v>
      </c>
      <c r="AD10" s="6">
        <v>0</v>
      </c>
      <c r="AE10" s="6">
        <v>0</v>
      </c>
      <c r="AF10" s="4">
        <v>0</v>
      </c>
      <c r="AG10" s="4">
        <f>1008602-1</f>
        <v>1008601</v>
      </c>
      <c r="AH10" s="4">
        <v>9156</v>
      </c>
      <c r="AI10" s="4">
        <v>0</v>
      </c>
      <c r="AJ10" s="4">
        <f t="shared" si="0"/>
        <v>1017757</v>
      </c>
      <c r="AM10" s="18">
        <v>11046</v>
      </c>
      <c r="AN10" s="6">
        <f t="shared" ref="AN10:AN17" si="13">ROUND(58345.76/12,0)</f>
        <v>4862</v>
      </c>
      <c r="AO10" s="19">
        <f t="shared" ref="AO10:AO17" si="14">+AM10-AN10</f>
        <v>6184</v>
      </c>
      <c r="AR10" s="63">
        <f t="shared" si="1"/>
        <v>4114717</v>
      </c>
      <c r="AS10" s="64">
        <f t="shared" si="7"/>
        <v>1407396</v>
      </c>
      <c r="AU10" s="2">
        <f t="shared" si="8"/>
        <v>40786</v>
      </c>
      <c r="AV10" s="8">
        <v>6556599</v>
      </c>
      <c r="AW10" s="8">
        <v>0</v>
      </c>
      <c r="AX10" s="8">
        <f t="shared" si="9"/>
        <v>6556599</v>
      </c>
    </row>
    <row r="11" spans="1:51" x14ac:dyDescent="0.2">
      <c r="A11" s="17">
        <f t="shared" si="2"/>
        <v>40816</v>
      </c>
      <c r="B11" s="6">
        <v>3253387</v>
      </c>
      <c r="C11" s="6">
        <v>131756</v>
      </c>
      <c r="D11" s="4">
        <v>350379</v>
      </c>
      <c r="E11" s="4">
        <v>0</v>
      </c>
      <c r="F11" s="4">
        <v>260958</v>
      </c>
      <c r="G11" s="4">
        <v>-4862</v>
      </c>
      <c r="H11" s="4">
        <f t="shared" si="10"/>
        <v>3991618</v>
      </c>
      <c r="J11" s="17">
        <f t="shared" si="3"/>
        <v>40816</v>
      </c>
      <c r="K11" s="6">
        <v>685912</v>
      </c>
      <c r="L11" s="6">
        <v>24913</v>
      </c>
      <c r="M11" s="4">
        <v>31340</v>
      </c>
      <c r="N11" s="4">
        <v>159822</v>
      </c>
      <c r="O11" s="4">
        <v>60795</v>
      </c>
      <c r="P11" s="4">
        <v>0</v>
      </c>
      <c r="Q11" s="4">
        <f t="shared" si="11"/>
        <v>962782</v>
      </c>
      <c r="S11" s="17">
        <f t="shared" si="4"/>
        <v>40816</v>
      </c>
      <c r="T11" s="4">
        <v>0</v>
      </c>
      <c r="U11" s="6">
        <v>5683</v>
      </c>
      <c r="V11" s="4">
        <v>0</v>
      </c>
      <c r="W11" s="4">
        <v>0</v>
      </c>
      <c r="X11" s="4">
        <v>0</v>
      </c>
      <c r="Y11" s="4">
        <f t="shared" si="5"/>
        <v>7836</v>
      </c>
      <c r="Z11" s="4">
        <v>0</v>
      </c>
      <c r="AA11" s="4">
        <f t="shared" si="12"/>
        <v>13519</v>
      </c>
      <c r="AC11" s="17">
        <f t="shared" si="6"/>
        <v>40816</v>
      </c>
      <c r="AD11" s="4">
        <v>0</v>
      </c>
      <c r="AE11" s="6">
        <v>0</v>
      </c>
      <c r="AF11" s="4">
        <v>0</v>
      </c>
      <c r="AG11" s="4">
        <f>921215+0.3</f>
        <v>921215.3</v>
      </c>
      <c r="AH11" s="4">
        <v>4360</v>
      </c>
      <c r="AI11" s="4">
        <v>16424.7</v>
      </c>
      <c r="AJ11" s="4">
        <f t="shared" si="0"/>
        <v>942000</v>
      </c>
      <c r="AM11" s="18">
        <v>7836</v>
      </c>
      <c r="AN11" s="6">
        <f t="shared" si="13"/>
        <v>4862</v>
      </c>
      <c r="AO11" s="19">
        <f t="shared" si="14"/>
        <v>2974</v>
      </c>
      <c r="AR11" s="63">
        <f t="shared" si="1"/>
        <v>4002776</v>
      </c>
      <c r="AS11" s="64">
        <f t="shared" si="7"/>
        <v>962782</v>
      </c>
      <c r="AU11" s="2">
        <f t="shared" si="8"/>
        <v>40816</v>
      </c>
      <c r="AV11" s="8">
        <v>5920213</v>
      </c>
      <c r="AW11" s="8">
        <v>0</v>
      </c>
      <c r="AX11" s="8">
        <f t="shared" si="9"/>
        <v>5920213</v>
      </c>
    </row>
    <row r="12" spans="1:51" x14ac:dyDescent="0.2">
      <c r="A12" s="17">
        <f t="shared" si="2"/>
        <v>40847</v>
      </c>
      <c r="B12" s="6">
        <v>3253387</v>
      </c>
      <c r="C12" s="6">
        <v>131756</v>
      </c>
      <c r="D12" s="4">
        <v>276828</v>
      </c>
      <c r="E12" s="4">
        <v>0</v>
      </c>
      <c r="F12" s="4">
        <v>131563</v>
      </c>
      <c r="G12" s="4">
        <v>-4862</v>
      </c>
      <c r="H12" s="4">
        <f t="shared" si="10"/>
        <v>3788672</v>
      </c>
      <c r="J12" s="17">
        <f t="shared" si="3"/>
        <v>40847</v>
      </c>
      <c r="K12" s="6">
        <v>685912</v>
      </c>
      <c r="L12" s="6">
        <v>24913</v>
      </c>
      <c r="M12" s="4">
        <v>94511</v>
      </c>
      <c r="N12" s="4">
        <v>229320</v>
      </c>
      <c r="O12" s="4">
        <v>42883</v>
      </c>
      <c r="P12" s="4">
        <v>0</v>
      </c>
      <c r="Q12" s="4">
        <f t="shared" si="11"/>
        <v>1077539</v>
      </c>
      <c r="S12" s="17">
        <f t="shared" si="4"/>
        <v>40847</v>
      </c>
      <c r="T12" s="4">
        <v>0</v>
      </c>
      <c r="U12" s="6">
        <v>5683</v>
      </c>
      <c r="V12" s="4">
        <v>0</v>
      </c>
      <c r="W12" s="4">
        <v>0</v>
      </c>
      <c r="X12" s="4">
        <v>0</v>
      </c>
      <c r="Y12" s="4">
        <f t="shared" si="5"/>
        <v>10133</v>
      </c>
      <c r="Z12" s="4">
        <v>0</v>
      </c>
      <c r="AA12" s="4">
        <f t="shared" si="12"/>
        <v>15816</v>
      </c>
      <c r="AC12" s="17">
        <f t="shared" si="6"/>
        <v>40847</v>
      </c>
      <c r="AD12" s="4">
        <v>0</v>
      </c>
      <c r="AE12" s="6">
        <v>0</v>
      </c>
      <c r="AF12" s="4">
        <v>0</v>
      </c>
      <c r="AG12" s="4">
        <f>814049-1+0.39</f>
        <v>814048.39</v>
      </c>
      <c r="AH12" s="4">
        <v>291</v>
      </c>
      <c r="AI12" s="4">
        <v>61392.61</v>
      </c>
      <c r="AJ12" s="4">
        <f t="shared" si="0"/>
        <v>875732</v>
      </c>
      <c r="AM12" s="18">
        <v>10133</v>
      </c>
      <c r="AN12" s="6">
        <f t="shared" si="13"/>
        <v>4862</v>
      </c>
      <c r="AO12" s="19">
        <f t="shared" si="14"/>
        <v>5271</v>
      </c>
      <c r="AR12" s="63">
        <f t="shared" si="1"/>
        <v>3798237</v>
      </c>
      <c r="AS12" s="64">
        <f t="shared" si="7"/>
        <v>1077539</v>
      </c>
      <c r="AU12" s="2">
        <f t="shared" si="8"/>
        <v>40847</v>
      </c>
      <c r="AV12" s="8">
        <v>5767324</v>
      </c>
      <c r="AW12" s="8">
        <v>0</v>
      </c>
      <c r="AX12" s="8">
        <f t="shared" si="9"/>
        <v>5767324</v>
      </c>
    </row>
    <row r="13" spans="1:51" x14ac:dyDescent="0.2">
      <c r="A13" s="17">
        <f t="shared" si="2"/>
        <v>40877</v>
      </c>
      <c r="B13" s="6">
        <v>3253387</v>
      </c>
      <c r="C13" s="6">
        <v>131756</v>
      </c>
      <c r="D13" s="4">
        <v>351749</v>
      </c>
      <c r="E13" s="4">
        <v>0</v>
      </c>
      <c r="F13" s="4">
        <v>232669</v>
      </c>
      <c r="G13" s="4">
        <v>-4862</v>
      </c>
      <c r="H13" s="4">
        <f t="shared" si="10"/>
        <v>3964699</v>
      </c>
      <c r="J13" s="17">
        <f t="shared" si="3"/>
        <v>40877</v>
      </c>
      <c r="K13" s="6">
        <v>685912</v>
      </c>
      <c r="L13" s="6">
        <v>24913</v>
      </c>
      <c r="M13" s="4">
        <v>82729</v>
      </c>
      <c r="N13" s="4">
        <v>364361</v>
      </c>
      <c r="O13" s="4">
        <v>71765</v>
      </c>
      <c r="P13" s="4">
        <v>0</v>
      </c>
      <c r="Q13" s="4">
        <f t="shared" si="11"/>
        <v>1229680</v>
      </c>
      <c r="S13" s="17">
        <f t="shared" si="4"/>
        <v>40877</v>
      </c>
      <c r="T13" s="4">
        <v>0</v>
      </c>
      <c r="U13" s="6">
        <v>5683</v>
      </c>
      <c r="V13" s="4">
        <v>0</v>
      </c>
      <c r="W13" s="4">
        <v>0</v>
      </c>
      <c r="X13" s="4">
        <v>0</v>
      </c>
      <c r="Y13" s="4">
        <f t="shared" si="5"/>
        <v>10743</v>
      </c>
      <c r="Z13" s="4">
        <v>0</v>
      </c>
      <c r="AA13" s="4">
        <f t="shared" si="12"/>
        <v>16426</v>
      </c>
      <c r="AC13" s="17">
        <f t="shared" si="6"/>
        <v>40877</v>
      </c>
      <c r="AD13" s="4">
        <v>0</v>
      </c>
      <c r="AE13" s="6">
        <v>0</v>
      </c>
      <c r="AF13" s="4">
        <v>0</v>
      </c>
      <c r="AG13" s="4">
        <v>866310</v>
      </c>
      <c r="AH13" s="4">
        <v>534</v>
      </c>
      <c r="AI13" s="4">
        <v>8480</v>
      </c>
      <c r="AJ13" s="4">
        <f t="shared" si="0"/>
        <v>875324</v>
      </c>
      <c r="AM13" s="18">
        <v>10743</v>
      </c>
      <c r="AN13" s="6">
        <f t="shared" si="13"/>
        <v>4862</v>
      </c>
      <c r="AO13" s="19">
        <f t="shared" si="14"/>
        <v>5881</v>
      </c>
      <c r="AR13" s="63">
        <f t="shared" si="1"/>
        <v>3968970</v>
      </c>
      <c r="AS13" s="64">
        <f t="shared" si="7"/>
        <v>1229680</v>
      </c>
      <c r="AU13" s="2">
        <f t="shared" si="8"/>
        <v>40877</v>
      </c>
      <c r="AV13" s="8">
        <v>6090400</v>
      </c>
      <c r="AW13" s="8">
        <v>0</v>
      </c>
      <c r="AX13" s="8">
        <f t="shared" si="9"/>
        <v>6090400</v>
      </c>
    </row>
    <row r="14" spans="1:51" x14ac:dyDescent="0.2">
      <c r="A14" s="17">
        <f t="shared" si="2"/>
        <v>40908</v>
      </c>
      <c r="B14" s="6">
        <v>3322243</v>
      </c>
      <c r="C14" s="6">
        <v>131756</v>
      </c>
      <c r="D14" s="4">
        <v>429112</v>
      </c>
      <c r="E14" s="4">
        <v>0</v>
      </c>
      <c r="F14" s="4">
        <v>224384</v>
      </c>
      <c r="G14" s="4">
        <v>-4862</v>
      </c>
      <c r="H14" s="4">
        <f t="shared" si="10"/>
        <v>4102633</v>
      </c>
      <c r="J14" s="17">
        <f t="shared" si="3"/>
        <v>40908</v>
      </c>
      <c r="K14" s="6">
        <v>685912</v>
      </c>
      <c r="L14" s="6">
        <v>24913</v>
      </c>
      <c r="M14" s="4">
        <v>78341</v>
      </c>
      <c r="N14" s="4">
        <v>279437</v>
      </c>
      <c r="O14" s="4">
        <v>52081</v>
      </c>
      <c r="P14" s="4">
        <v>0</v>
      </c>
      <c r="Q14" s="4">
        <f t="shared" si="11"/>
        <v>1120684</v>
      </c>
      <c r="S14" s="17">
        <f t="shared" si="4"/>
        <v>40908</v>
      </c>
      <c r="T14" s="4">
        <v>9707</v>
      </c>
      <c r="U14" s="6">
        <v>5683</v>
      </c>
      <c r="V14" s="4">
        <v>0</v>
      </c>
      <c r="W14" s="4">
        <v>0</v>
      </c>
      <c r="X14" s="4">
        <v>0</v>
      </c>
      <c r="Y14" s="4">
        <f t="shared" si="5"/>
        <v>10502</v>
      </c>
      <c r="Z14" s="4">
        <v>0</v>
      </c>
      <c r="AA14" s="4">
        <f t="shared" si="12"/>
        <v>25892</v>
      </c>
      <c r="AC14" s="17">
        <f t="shared" si="6"/>
        <v>40908</v>
      </c>
      <c r="AD14" s="4">
        <v>0</v>
      </c>
      <c r="AE14" s="6">
        <v>0</v>
      </c>
      <c r="AF14" s="4">
        <v>0</v>
      </c>
      <c r="AG14" s="4">
        <f>915543-0.08</f>
        <v>915542.92</v>
      </c>
      <c r="AH14" s="4">
        <v>5042</v>
      </c>
      <c r="AI14" s="4">
        <v>16258.08</v>
      </c>
      <c r="AJ14" s="4">
        <f t="shared" si="0"/>
        <v>936843</v>
      </c>
      <c r="AM14" s="18">
        <v>10502</v>
      </c>
      <c r="AN14" s="6">
        <f t="shared" si="13"/>
        <v>4862</v>
      </c>
      <c r="AO14" s="19">
        <f t="shared" si="14"/>
        <v>5640</v>
      </c>
      <c r="AR14" s="63">
        <f t="shared" si="1"/>
        <v>4100217</v>
      </c>
      <c r="AS14" s="64">
        <f t="shared" si="7"/>
        <v>1120684</v>
      </c>
      <c r="AU14" s="2">
        <f t="shared" si="8"/>
        <v>40908</v>
      </c>
      <c r="AV14" s="8">
        <v>5246793</v>
      </c>
      <c r="AW14" s="8">
        <v>936843</v>
      </c>
      <c r="AX14" s="8">
        <f t="shared" si="9"/>
        <v>6183636</v>
      </c>
    </row>
    <row r="15" spans="1:51" x14ac:dyDescent="0.2">
      <c r="A15" s="17">
        <f t="shared" si="2"/>
        <v>40939</v>
      </c>
      <c r="B15" s="6">
        <v>3391099</v>
      </c>
      <c r="C15" s="6">
        <v>125652</v>
      </c>
      <c r="D15" s="4">
        <v>375058</v>
      </c>
      <c r="E15" s="4">
        <v>0</v>
      </c>
      <c r="F15" s="4">
        <v>316480</v>
      </c>
      <c r="G15" s="4">
        <v>-4862</v>
      </c>
      <c r="H15" s="4">
        <f t="shared" si="10"/>
        <v>4203427</v>
      </c>
      <c r="J15" s="17">
        <f t="shared" si="3"/>
        <v>40939</v>
      </c>
      <c r="K15" s="6">
        <v>685912</v>
      </c>
      <c r="L15" s="6">
        <v>24293</v>
      </c>
      <c r="M15" s="4">
        <v>70515</v>
      </c>
      <c r="N15" s="4">
        <v>271401</v>
      </c>
      <c r="O15" s="4">
        <v>40660</v>
      </c>
      <c r="P15" s="4">
        <v>0</v>
      </c>
      <c r="Q15" s="4">
        <f t="shared" si="11"/>
        <v>1092781</v>
      </c>
      <c r="S15" s="17">
        <f t="shared" si="4"/>
        <v>40939</v>
      </c>
      <c r="T15" s="4">
        <v>19413</v>
      </c>
      <c r="U15" s="6">
        <v>19750</v>
      </c>
      <c r="V15" s="4">
        <v>0</v>
      </c>
      <c r="W15" s="4">
        <v>0</v>
      </c>
      <c r="X15" s="4">
        <v>0</v>
      </c>
      <c r="Y15" s="4">
        <f t="shared" si="5"/>
        <v>12532</v>
      </c>
      <c r="Z15" s="4">
        <v>0</v>
      </c>
      <c r="AA15" s="4">
        <f t="shared" si="12"/>
        <v>51695</v>
      </c>
      <c r="AC15" s="17">
        <f t="shared" si="6"/>
        <v>40939</v>
      </c>
      <c r="AD15" s="4">
        <v>0</v>
      </c>
      <c r="AE15" s="6">
        <v>2407</v>
      </c>
      <c r="AF15" s="4">
        <v>0</v>
      </c>
      <c r="AG15" s="4">
        <f>893952+2.2</f>
        <v>893954.2</v>
      </c>
      <c r="AH15" s="4">
        <v>3040</v>
      </c>
      <c r="AI15" s="4">
        <v>1992.8</v>
      </c>
      <c r="AJ15" s="4">
        <f t="shared" si="0"/>
        <v>901394</v>
      </c>
      <c r="AM15" s="18">
        <f>12531+1</f>
        <v>12532</v>
      </c>
      <c r="AN15" s="6">
        <f t="shared" si="13"/>
        <v>4862</v>
      </c>
      <c r="AO15" s="19">
        <f t="shared" si="14"/>
        <v>7670</v>
      </c>
      <c r="AR15" s="63">
        <f t="shared" si="1"/>
        <v>4205579</v>
      </c>
      <c r="AS15" s="64">
        <f t="shared" si="7"/>
        <v>1092781</v>
      </c>
      <c r="AU15" s="2">
        <f t="shared" si="8"/>
        <v>40939</v>
      </c>
      <c r="AV15" s="8">
        <v>5350057</v>
      </c>
      <c r="AW15" s="8">
        <v>901392</v>
      </c>
      <c r="AX15" s="8">
        <f t="shared" si="9"/>
        <v>6251449</v>
      </c>
      <c r="AY15" s="8"/>
    </row>
    <row r="16" spans="1:51" x14ac:dyDescent="0.2">
      <c r="A16" s="17">
        <f t="shared" si="2"/>
        <v>40968</v>
      </c>
      <c r="B16" s="6">
        <v>3391099</v>
      </c>
      <c r="C16" s="6">
        <v>125652</v>
      </c>
      <c r="D16" s="4">
        <v>294777</v>
      </c>
      <c r="E16" s="4">
        <v>0</v>
      </c>
      <c r="F16" s="4">
        <v>328851</v>
      </c>
      <c r="G16" s="4">
        <v>-4862</v>
      </c>
      <c r="H16" s="4">
        <f t="shared" si="10"/>
        <v>4135517</v>
      </c>
      <c r="J16" s="17">
        <f t="shared" si="3"/>
        <v>40968</v>
      </c>
      <c r="K16" s="6">
        <v>685912</v>
      </c>
      <c r="L16" s="6">
        <v>24293</v>
      </c>
      <c r="M16" s="4">
        <v>96459</v>
      </c>
      <c r="N16" s="4">
        <v>293611</v>
      </c>
      <c r="O16" s="6">
        <v>77869</v>
      </c>
      <c r="P16" s="4">
        <v>0</v>
      </c>
      <c r="Q16" s="4">
        <f t="shared" si="11"/>
        <v>1178144</v>
      </c>
      <c r="S16" s="17">
        <f t="shared" si="4"/>
        <v>40968</v>
      </c>
      <c r="T16" s="4">
        <v>19413</v>
      </c>
      <c r="U16" s="6">
        <v>19750</v>
      </c>
      <c r="V16" s="4">
        <v>0</v>
      </c>
      <c r="W16" s="4">
        <v>0</v>
      </c>
      <c r="X16" s="4">
        <v>0</v>
      </c>
      <c r="Y16" s="4">
        <f t="shared" si="5"/>
        <v>11870</v>
      </c>
      <c r="Z16" s="4">
        <v>0</v>
      </c>
      <c r="AA16" s="4">
        <f t="shared" si="12"/>
        <v>51033</v>
      </c>
      <c r="AC16" s="17">
        <f t="shared" si="6"/>
        <v>40968</v>
      </c>
      <c r="AD16" s="4">
        <v>0</v>
      </c>
      <c r="AE16" s="4">
        <v>2407</v>
      </c>
      <c r="AF16" s="4">
        <v>0</v>
      </c>
      <c r="AG16" s="4">
        <v>609608</v>
      </c>
      <c r="AH16" s="4">
        <v>18998</v>
      </c>
      <c r="AI16" s="4">
        <v>0</v>
      </c>
      <c r="AJ16" s="4">
        <f t="shared" si="0"/>
        <v>631013</v>
      </c>
      <c r="AM16" s="18">
        <f>11869+1</f>
        <v>11870</v>
      </c>
      <c r="AN16" s="6">
        <f t="shared" si="13"/>
        <v>4862</v>
      </c>
      <c r="AO16" s="19">
        <f t="shared" si="14"/>
        <v>7008</v>
      </c>
      <c r="AR16" s="63">
        <f t="shared" si="1"/>
        <v>4123571</v>
      </c>
      <c r="AS16" s="64">
        <f t="shared" si="7"/>
        <v>1178144</v>
      </c>
      <c r="AU16" s="2">
        <f t="shared" si="8"/>
        <v>40968</v>
      </c>
      <c r="AV16" s="8">
        <v>5352748</v>
      </c>
      <c r="AW16" s="8">
        <v>631013</v>
      </c>
      <c r="AX16" s="8">
        <f t="shared" si="9"/>
        <v>5983761</v>
      </c>
    </row>
    <row r="17" spans="1:50 16383:16383" ht="13.5" x14ac:dyDescent="0.35">
      <c r="A17" s="17">
        <f t="shared" si="2"/>
        <v>40999</v>
      </c>
      <c r="B17" s="5">
        <v>3335341</v>
      </c>
      <c r="C17" s="5">
        <v>125126</v>
      </c>
      <c r="D17" s="5">
        <v>260168</v>
      </c>
      <c r="E17" s="5">
        <v>0</v>
      </c>
      <c r="F17" s="5">
        <v>733331</v>
      </c>
      <c r="G17" s="5">
        <v>-4862</v>
      </c>
      <c r="H17" s="5">
        <f t="shared" si="10"/>
        <v>4449104</v>
      </c>
      <c r="J17" s="17">
        <f t="shared" si="3"/>
        <v>40999</v>
      </c>
      <c r="K17" s="5">
        <v>691317</v>
      </c>
      <c r="L17" s="5">
        <v>24293</v>
      </c>
      <c r="M17" s="5">
        <v>44167</v>
      </c>
      <c r="N17" s="9">
        <v>229139</v>
      </c>
      <c r="O17" s="5">
        <v>28712</v>
      </c>
      <c r="P17" s="5">
        <v>0</v>
      </c>
      <c r="Q17" s="5">
        <f t="shared" si="11"/>
        <v>1017628</v>
      </c>
      <c r="S17" s="17">
        <f t="shared" si="4"/>
        <v>40999</v>
      </c>
      <c r="T17" s="5">
        <v>19413</v>
      </c>
      <c r="U17" s="5">
        <v>19750</v>
      </c>
      <c r="V17" s="9">
        <v>0</v>
      </c>
      <c r="W17" s="9">
        <v>0</v>
      </c>
      <c r="X17" s="9">
        <v>0</v>
      </c>
      <c r="Y17" s="9">
        <f t="shared" si="5"/>
        <v>10569</v>
      </c>
      <c r="Z17" s="5">
        <v>5524.2</v>
      </c>
      <c r="AA17" s="5">
        <f t="shared" si="12"/>
        <v>55256.2</v>
      </c>
      <c r="AC17" s="17">
        <f t="shared" si="6"/>
        <v>40999</v>
      </c>
      <c r="AD17" s="5">
        <v>0</v>
      </c>
      <c r="AE17" s="5">
        <v>2407</v>
      </c>
      <c r="AF17" s="5">
        <v>0</v>
      </c>
      <c r="AG17" s="5">
        <f>804182+0.8</f>
        <v>804182.8</v>
      </c>
      <c r="AH17" s="5">
        <v>6430</v>
      </c>
      <c r="AI17" s="5">
        <v>0</v>
      </c>
      <c r="AJ17" s="9">
        <f t="shared" si="0"/>
        <v>813019.8</v>
      </c>
      <c r="AM17" s="20">
        <f>10568+1</f>
        <v>10569</v>
      </c>
      <c r="AN17" s="5">
        <f t="shared" si="13"/>
        <v>4862</v>
      </c>
      <c r="AO17" s="21">
        <f t="shared" si="14"/>
        <v>5707</v>
      </c>
      <c r="AR17" s="63">
        <f>+H17-C38</f>
        <v>4722577</v>
      </c>
      <c r="AS17" s="64">
        <f t="shared" si="7"/>
        <v>1017628</v>
      </c>
      <c r="AU17" s="2">
        <f t="shared" si="8"/>
        <v>40999</v>
      </c>
      <c r="AV17" s="70">
        <v>5794575</v>
      </c>
      <c r="AW17" s="70">
        <v>813019</v>
      </c>
      <c r="AX17" s="8">
        <f t="shared" si="9"/>
        <v>6607594</v>
      </c>
    </row>
    <row r="18" spans="1:50 16383:16383" x14ac:dyDescent="0.2">
      <c r="A18" s="2"/>
      <c r="B18" s="4"/>
      <c r="C18" s="4"/>
      <c r="D18" s="4"/>
      <c r="E18" s="4"/>
      <c r="F18" s="4"/>
      <c r="G18" s="4">
        <v>0</v>
      </c>
      <c r="H18" s="4">
        <f t="shared" si="10"/>
        <v>0</v>
      </c>
      <c r="J18" s="2" t="s">
        <v>43</v>
      </c>
      <c r="K18" s="4"/>
      <c r="L18" s="4"/>
      <c r="M18" s="4"/>
      <c r="N18" s="4"/>
      <c r="O18" s="4"/>
      <c r="P18" s="4">
        <v>0</v>
      </c>
      <c r="Q18" s="4">
        <f t="shared" si="11"/>
        <v>0</v>
      </c>
      <c r="S18" s="2" t="s">
        <v>43</v>
      </c>
      <c r="T18" s="4"/>
      <c r="U18" s="4"/>
      <c r="V18" s="4"/>
      <c r="W18" s="4"/>
      <c r="X18" s="4"/>
      <c r="Y18" s="4">
        <v>0</v>
      </c>
      <c r="Z18" s="4">
        <v>0</v>
      </c>
      <c r="AA18" s="4">
        <f t="shared" si="12"/>
        <v>0</v>
      </c>
      <c r="AC18" s="2" t="s">
        <v>43</v>
      </c>
      <c r="AD18" s="4"/>
      <c r="AE18" s="4"/>
      <c r="AF18" s="4"/>
      <c r="AG18" s="4"/>
      <c r="AH18" s="4"/>
      <c r="AI18" s="4"/>
      <c r="AJ18" s="4">
        <f t="shared" si="0"/>
        <v>0</v>
      </c>
      <c r="AM18" s="22"/>
      <c r="AN18" s="16"/>
      <c r="AO18" s="23"/>
      <c r="AR18" s="22"/>
      <c r="AS18" s="23"/>
      <c r="AV18" s="8">
        <v>69645914</v>
      </c>
      <c r="AW18" s="8">
        <v>3282267</v>
      </c>
      <c r="AX18" s="8">
        <f>SUM(AX6:AX17)</f>
        <v>72928181</v>
      </c>
      <c r="XFC18" s="8">
        <f>SUM(XFC6:XFD17)</f>
        <v>0</v>
      </c>
    </row>
    <row r="19" spans="1:50 16383:16383" ht="12" thickBot="1" x14ac:dyDescent="0.25">
      <c r="A19" s="24" t="s">
        <v>44</v>
      </c>
      <c r="B19" s="11">
        <f t="shared" ref="B19:G19" si="15">SUM(B6:B18)</f>
        <v>39387183</v>
      </c>
      <c r="C19" s="11">
        <f t="shared" si="15"/>
        <v>1562260</v>
      </c>
      <c r="D19" s="11">
        <f t="shared" si="15"/>
        <v>4182676</v>
      </c>
      <c r="E19" s="11">
        <f t="shared" si="15"/>
        <v>0</v>
      </c>
      <c r="F19" s="11">
        <f t="shared" si="15"/>
        <v>4077435</v>
      </c>
      <c r="G19" s="11">
        <f t="shared" si="15"/>
        <v>-58344</v>
      </c>
      <c r="H19" s="11">
        <f t="shared" si="10"/>
        <v>49151210</v>
      </c>
      <c r="J19" s="24" t="s">
        <v>44</v>
      </c>
      <c r="K19" s="11">
        <f t="shared" ref="K19:P19" si="16">SUM(K6:K18)</f>
        <v>8222063</v>
      </c>
      <c r="L19" s="11">
        <f t="shared" si="16"/>
        <v>297096</v>
      </c>
      <c r="M19" s="11">
        <f t="shared" si="16"/>
        <v>807830</v>
      </c>
      <c r="N19" s="11">
        <f t="shared" si="16"/>
        <v>2864923</v>
      </c>
      <c r="O19" s="11">
        <f t="shared" si="16"/>
        <v>562237</v>
      </c>
      <c r="P19" s="11">
        <f t="shared" si="16"/>
        <v>0</v>
      </c>
      <c r="Q19" s="11">
        <f t="shared" si="11"/>
        <v>12754149</v>
      </c>
      <c r="S19" s="24" t="s">
        <v>44</v>
      </c>
      <c r="T19" s="11">
        <f t="shared" ref="T19:Z19" si="17">SUM(T6:T18)</f>
        <v>67946</v>
      </c>
      <c r="U19" s="11">
        <f t="shared" si="17"/>
        <v>110397</v>
      </c>
      <c r="V19" s="11">
        <f t="shared" si="17"/>
        <v>0</v>
      </c>
      <c r="W19" s="11">
        <f t="shared" si="17"/>
        <v>0</v>
      </c>
      <c r="X19" s="11">
        <f t="shared" si="17"/>
        <v>0</v>
      </c>
      <c r="Y19" s="11">
        <f t="shared" si="17"/>
        <v>123951</v>
      </c>
      <c r="Z19" s="11">
        <f t="shared" si="17"/>
        <v>5524.2</v>
      </c>
      <c r="AA19" s="11">
        <f t="shared" si="12"/>
        <v>307818.2</v>
      </c>
      <c r="AC19" s="24" t="s">
        <v>44</v>
      </c>
      <c r="AD19" s="11">
        <f t="shared" ref="AD19:AH19" si="18">SUM(AD6:AD18)</f>
        <v>0</v>
      </c>
      <c r="AE19" s="11">
        <f t="shared" si="18"/>
        <v>7221</v>
      </c>
      <c r="AF19" s="11">
        <f t="shared" si="18"/>
        <v>0</v>
      </c>
      <c r="AG19" s="11">
        <f t="shared" si="18"/>
        <v>10230624.609999999</v>
      </c>
      <c r="AH19" s="11">
        <f t="shared" si="18"/>
        <v>93965</v>
      </c>
      <c r="AI19" s="11">
        <f t="shared" ref="AI19" si="19">SUM(AI6:AI18)</f>
        <v>104548.19</v>
      </c>
      <c r="AJ19" s="11">
        <f t="shared" si="0"/>
        <v>10436358.799999999</v>
      </c>
      <c r="AM19" s="25">
        <f>SUM(AM6:AM18)</f>
        <v>123951</v>
      </c>
      <c r="AN19" s="11">
        <f>SUM(AN6:AN18)</f>
        <v>58344</v>
      </c>
      <c r="AO19" s="26">
        <f>SUM(AO6:AO18)</f>
        <v>65607</v>
      </c>
      <c r="AR19" s="25">
        <f>SUM(AR6:AR18)</f>
        <v>49431606</v>
      </c>
      <c r="AS19" s="65">
        <f>SUM(AS6:AS18)</f>
        <v>12754149</v>
      </c>
    </row>
    <row r="20" spans="1:50 16383:16383" ht="12" thickTop="1" x14ac:dyDescent="0.2">
      <c r="A20" s="2"/>
      <c r="J20" s="2"/>
      <c r="S20" s="2"/>
      <c r="AC20" s="2"/>
      <c r="AM20" s="46"/>
      <c r="AN20" s="47"/>
      <c r="AO20" s="48"/>
      <c r="AR20" s="46"/>
      <c r="AS20" s="48"/>
    </row>
    <row r="21" spans="1:50 16383:16383" x14ac:dyDescent="0.2">
      <c r="A21" s="2" t="s">
        <v>45</v>
      </c>
      <c r="B21" s="4">
        <f>B19*'Req Req TME0312-by plan'!$G$48</f>
        <v>33867654.082224265</v>
      </c>
      <c r="C21" s="4">
        <f>C19*'Req Req TME0312-by plan'!$G$48</f>
        <v>1343332.4558015659</v>
      </c>
      <c r="D21" s="4">
        <f>D19*'Req Req TME0312-by plan'!$G$48</f>
        <v>3596536.0585960532</v>
      </c>
      <c r="E21" s="4">
        <f>E19*'Req Req TME0312-by plan'!$G$48</f>
        <v>0</v>
      </c>
      <c r="F21" s="4">
        <f>F19*'Req Req TME0312-by plan'!$G$48</f>
        <v>3506043.0222378206</v>
      </c>
      <c r="G21" s="4">
        <f>G19*'Req Req TME0312-by plan'!$G$48</f>
        <v>-50167.954630654662</v>
      </c>
      <c r="J21" s="2" t="s">
        <v>45</v>
      </c>
      <c r="K21" s="4">
        <f>K19*'Req Req TME0312-by plan'!$G$48</f>
        <v>7069862.9431369873</v>
      </c>
      <c r="L21" s="4">
        <f>L19*'Req Req TME0312-by plan'!$G$48</f>
        <v>255462.40657049531</v>
      </c>
      <c r="M21" s="4">
        <f>M19*'Req Req TME0312-by plan'!$G$48</f>
        <v>694624.61931444122</v>
      </c>
      <c r="N21" s="4">
        <f>N19*'Req Req TME0312-by plan'!$G$48</f>
        <v>2463446.5769285453</v>
      </c>
      <c r="O21" s="4">
        <f>O19*'Req Req TME0312-by plan'!$G$48</f>
        <v>483447.83195659169</v>
      </c>
      <c r="P21" s="4">
        <f>P19*'Req Req TME0312-by plan'!$G$48</f>
        <v>0</v>
      </c>
      <c r="S21" s="2" t="s">
        <v>45</v>
      </c>
      <c r="T21" s="4">
        <f>T19*'Req Req TME0312-by plan'!$G$48</f>
        <v>58424.376891102118</v>
      </c>
      <c r="U21" s="4">
        <f>U19*'Req Req TME0312-by plan'!$G$48</f>
        <v>94926.4995091249</v>
      </c>
      <c r="V21" s="4">
        <f>V19*'Req Req TME0312-by plan'!$G$48</f>
        <v>0</v>
      </c>
      <c r="W21" s="4">
        <f>W19*'Req Req TME0312-by plan'!$G$48</f>
        <v>0</v>
      </c>
      <c r="X21" s="4">
        <f>X19*'Req Req TME0312-by plan'!$G$48</f>
        <v>0</v>
      </c>
      <c r="Y21" s="4">
        <f>Y19*'Req Req TME0312-by plan'!$G$48</f>
        <v>106581.10764473256</v>
      </c>
      <c r="Z21" s="4">
        <f>Z19*'Req Req TME0312-by plan'!$G$48</f>
        <v>4750.0653875404923</v>
      </c>
      <c r="AC21" s="2" t="s">
        <v>45</v>
      </c>
      <c r="AD21" s="4">
        <f>AD19*'Req Req TME0312-by plan'!$G$48</f>
        <v>0</v>
      </c>
      <c r="AE21" s="4">
        <f>AE19*'Req Req TME0312-by plan'!$G$48</f>
        <v>6209.0840598511813</v>
      </c>
      <c r="AF21" s="4">
        <f>AF19*'Req Req TME0312-by plan'!$G$48</f>
        <v>0</v>
      </c>
      <c r="AG21" s="4">
        <f>AG19*'Req Req TME0312-by plan'!$G$48</f>
        <v>8796954.4645163007</v>
      </c>
      <c r="AH21" s="4">
        <f>AH19*'Req Req TME0312-by plan'!$G$48</f>
        <v>80797.200343985081</v>
      </c>
      <c r="AI21" s="4">
        <f>AI19*'Req Req TME0312-by plan'!$G$48</f>
        <v>89897.313393614837</v>
      </c>
      <c r="AM21" s="4"/>
      <c r="AV21" s="8"/>
    </row>
    <row r="22" spans="1:50 16383:16383" ht="12" x14ac:dyDescent="0.2">
      <c r="A22" s="27" t="s">
        <v>46</v>
      </c>
      <c r="B22" s="16"/>
      <c r="C22" s="16"/>
      <c r="D22" s="16"/>
      <c r="E22" s="16"/>
      <c r="F22" s="16"/>
    </row>
    <row r="23" spans="1:50 16383:16383" x14ac:dyDescent="0.2">
      <c r="A23" s="16" t="s">
        <v>47</v>
      </c>
      <c r="B23" s="16"/>
      <c r="C23" s="16"/>
      <c r="D23" s="16"/>
      <c r="E23" s="16"/>
      <c r="F23" s="16"/>
      <c r="K23" s="8">
        <f t="shared" ref="K23:L23" si="20">+K21+B21</f>
        <v>40937517.025361255</v>
      </c>
      <c r="L23" s="8">
        <f t="shared" si="20"/>
        <v>1598794.8623720612</v>
      </c>
      <c r="M23" s="8">
        <f>+M21+D21</f>
        <v>4291160.6779104946</v>
      </c>
      <c r="N23" s="8">
        <f t="shared" ref="N23:O23" si="21">+N21+E21</f>
        <v>2463446.5769285453</v>
      </c>
      <c r="O23" s="8">
        <f t="shared" si="21"/>
        <v>3989490.854194412</v>
      </c>
      <c r="P23" s="8">
        <f>+P21+G21</f>
        <v>-50167.954630654662</v>
      </c>
      <c r="Y23" s="8">
        <f t="shared" ref="Y23" si="22">+Y21+P21</f>
        <v>106581.10764473256</v>
      </c>
    </row>
    <row r="24" spans="1:50 16383:16383" x14ac:dyDescent="0.2">
      <c r="A24" s="16"/>
      <c r="B24" s="16"/>
      <c r="C24" s="28"/>
      <c r="D24" s="6"/>
      <c r="E24" s="6"/>
      <c r="F24" s="6"/>
    </row>
    <row r="25" spans="1:50 16383:16383" ht="33.75" x14ac:dyDescent="0.2">
      <c r="A25" s="16"/>
      <c r="B25" s="29" t="s">
        <v>49</v>
      </c>
      <c r="C25" s="29" t="s">
        <v>50</v>
      </c>
      <c r="D25" s="30" t="s">
        <v>51</v>
      </c>
      <c r="E25" s="6"/>
      <c r="F25" s="6"/>
      <c r="K25" s="7" t="s">
        <v>61</v>
      </c>
    </row>
    <row r="26" spans="1:50 16383:16383" x14ac:dyDescent="0.2">
      <c r="A26" s="16"/>
      <c r="B26" s="31" t="s">
        <v>52</v>
      </c>
      <c r="C26" s="31" t="s">
        <v>52</v>
      </c>
      <c r="D26" s="6"/>
      <c r="E26" s="6"/>
      <c r="F26" s="6"/>
      <c r="S26" s="2"/>
      <c r="T26" s="8"/>
      <c r="U26" s="8"/>
      <c r="V26" s="8"/>
    </row>
    <row r="27" spans="1:50 16383:16383" ht="12.75" x14ac:dyDescent="0.2">
      <c r="A27" s="17">
        <f t="shared" ref="A27:A36" si="23">A6</f>
        <v>40663</v>
      </c>
      <c r="B27" s="6">
        <v>0</v>
      </c>
      <c r="C27" s="6">
        <v>37954</v>
      </c>
      <c r="D27" s="6">
        <f t="shared" ref="D27:D38" si="24">B27+C27</f>
        <v>37954</v>
      </c>
      <c r="E27" s="6"/>
      <c r="F27" s="6"/>
      <c r="K27" s="7"/>
      <c r="L27" s="49" t="s">
        <v>48</v>
      </c>
      <c r="M27" s="49" t="s">
        <v>59</v>
      </c>
      <c r="N27" s="49" t="s">
        <v>75</v>
      </c>
      <c r="O27" s="49" t="s">
        <v>76</v>
      </c>
      <c r="P27" s="49" t="s">
        <v>39</v>
      </c>
      <c r="S27" s="2"/>
      <c r="T27" s="8"/>
      <c r="U27" s="8"/>
      <c r="V27" s="8"/>
      <c r="AF27" s="8"/>
      <c r="AI27" s="50"/>
      <c r="AM27" s="71">
        <v>2005</v>
      </c>
      <c r="AN27" s="72">
        <v>2006</v>
      </c>
      <c r="AO27" s="71">
        <v>2009</v>
      </c>
      <c r="AP27" s="71">
        <v>2011</v>
      </c>
      <c r="AQ27" s="71" t="s">
        <v>39</v>
      </c>
      <c r="AR27" s="1" t="s">
        <v>151</v>
      </c>
    </row>
    <row r="28" spans="1:50 16383:16383" x14ac:dyDescent="0.2">
      <c r="A28" s="17">
        <f t="shared" si="23"/>
        <v>40694</v>
      </c>
      <c r="B28" s="6">
        <v>0</v>
      </c>
      <c r="C28" s="6">
        <v>-8495</v>
      </c>
      <c r="D28" s="6">
        <f t="shared" si="24"/>
        <v>-8495</v>
      </c>
      <c r="E28" s="6"/>
      <c r="F28" s="6"/>
      <c r="S28" s="2"/>
      <c r="T28" s="8"/>
      <c r="U28" s="8"/>
      <c r="V28" s="8"/>
      <c r="AL28" s="2">
        <f>+AU6</f>
        <v>40663</v>
      </c>
      <c r="AM28" s="8">
        <f>+H6-C27</f>
        <v>4205614</v>
      </c>
      <c r="AN28" s="8">
        <f>+Q6</f>
        <v>748454</v>
      </c>
      <c r="AO28" s="8">
        <f>+AA6-B27</f>
        <v>14918</v>
      </c>
      <c r="AP28" s="8">
        <f>+AJ6</f>
        <v>654345</v>
      </c>
      <c r="AQ28" s="8">
        <f>SUM(AM28:AP28)</f>
        <v>5623331</v>
      </c>
      <c r="AR28" s="8">
        <f>+AV6+AW6</f>
        <v>5623331</v>
      </c>
      <c r="AS28" s="8">
        <f>+AQ28-AR28</f>
        <v>0</v>
      </c>
      <c r="AV28" s="8"/>
      <c r="AW28" s="8"/>
      <c r="AX28" s="8"/>
    </row>
    <row r="29" spans="1:50 16383:16383" x14ac:dyDescent="0.2">
      <c r="A29" s="17">
        <f t="shared" si="23"/>
        <v>40724</v>
      </c>
      <c r="B29" s="6">
        <v>0</v>
      </c>
      <c r="C29" s="6">
        <v>-9720</v>
      </c>
      <c r="D29" s="6">
        <f t="shared" si="24"/>
        <v>-9720</v>
      </c>
      <c r="E29" s="6"/>
      <c r="F29" s="6"/>
      <c r="K29" s="1" t="s">
        <v>62</v>
      </c>
      <c r="L29" s="8">
        <f>ROUND(SUM(D19:F19),0)</f>
        <v>8260111</v>
      </c>
      <c r="M29" s="8">
        <f>ROUND(SUM(M19:O19),0)</f>
        <v>4234990</v>
      </c>
      <c r="N29" s="8">
        <f>ROUND(SUM(V19:Z19)-Y19,0)</f>
        <v>5524</v>
      </c>
      <c r="O29" s="8">
        <f>ROUND(SUM(AF19:AH19),0)</f>
        <v>10324590</v>
      </c>
      <c r="P29" s="8">
        <f>SUM(L29:O29)</f>
        <v>22825215</v>
      </c>
      <c r="S29" s="2"/>
      <c r="T29" s="60">
        <v>1592835</v>
      </c>
      <c r="U29" s="60"/>
      <c r="V29" s="8">
        <f>+T29+U29</f>
        <v>1592835</v>
      </c>
      <c r="X29" s="8">
        <f>SUM(D6:F6)</f>
        <v>895004</v>
      </c>
      <c r="Y29" s="8">
        <f>SUM(M6:O6)</f>
        <v>43485</v>
      </c>
      <c r="Z29" s="8">
        <f>+Z6</f>
        <v>0</v>
      </c>
      <c r="AA29" s="8">
        <f>SUM(AF6:AH6)</f>
        <v>654345</v>
      </c>
      <c r="AC29" s="73">
        <f>SUM(X29:AA29)</f>
        <v>1592834</v>
      </c>
      <c r="AL29" s="2">
        <f t="shared" ref="AL29:AL39" si="25">+AU7</f>
        <v>40694</v>
      </c>
      <c r="AM29" s="8">
        <f t="shared" ref="AM29:AM38" si="26">+H7-C28</f>
        <v>4025166</v>
      </c>
      <c r="AN29" s="8">
        <f t="shared" ref="AN29:AN38" si="27">+Q7</f>
        <v>1046483</v>
      </c>
      <c r="AO29" s="8">
        <f t="shared" ref="AO29:AO38" si="28">+AA7-B28</f>
        <v>13092</v>
      </c>
      <c r="AP29" s="8">
        <f t="shared" ref="AP29:AP38" si="29">+AJ7</f>
        <v>780996</v>
      </c>
      <c r="AQ29" s="8">
        <f t="shared" ref="AQ29:AQ39" si="30">SUM(AM29:AP29)</f>
        <v>5865737</v>
      </c>
      <c r="AR29" s="8">
        <f t="shared" ref="AR29:AR39" si="31">+AV7+AW7</f>
        <v>5865737</v>
      </c>
      <c r="AS29" s="8">
        <f t="shared" ref="AS29:AS39" si="32">+AQ29-AR29</f>
        <v>0</v>
      </c>
      <c r="AV29" s="8"/>
      <c r="AW29" s="8"/>
      <c r="AX29" s="8"/>
    </row>
    <row r="30" spans="1:50 16383:16383" x14ac:dyDescent="0.2">
      <c r="A30" s="17">
        <f t="shared" si="23"/>
        <v>40755</v>
      </c>
      <c r="B30" s="6">
        <v>0</v>
      </c>
      <c r="C30" s="6">
        <v>-1066</v>
      </c>
      <c r="D30" s="6">
        <f t="shared" si="24"/>
        <v>-1066</v>
      </c>
      <c r="E30" s="6"/>
      <c r="F30" s="6"/>
      <c r="K30" s="51"/>
      <c r="S30" s="2"/>
      <c r="T30" s="8">
        <v>1790381</v>
      </c>
      <c r="U30" s="8"/>
      <c r="V30" s="8">
        <f t="shared" ref="V30:V40" si="33">+T30+U30</f>
        <v>1790381</v>
      </c>
      <c r="X30" s="8">
        <f t="shared" ref="X30:X40" si="34">SUM(D7:F7)</f>
        <v>668107</v>
      </c>
      <c r="Y30" s="8">
        <f t="shared" ref="Y30:Y40" si="35">SUM(M7:O7)</f>
        <v>341278</v>
      </c>
      <c r="Z30" s="8">
        <f t="shared" ref="Z30:Z40" si="36">+Z7</f>
        <v>0</v>
      </c>
      <c r="AA30" s="8">
        <f t="shared" ref="AA30:AA40" si="37">SUM(AF7:AH7)</f>
        <v>780996</v>
      </c>
      <c r="AC30" s="73">
        <f t="shared" ref="AC30:AC40" si="38">SUM(X30:AA30)</f>
        <v>1790381</v>
      </c>
      <c r="AL30" s="2">
        <f t="shared" si="25"/>
        <v>40724</v>
      </c>
      <c r="AM30" s="8">
        <f t="shared" si="26"/>
        <v>4142239</v>
      </c>
      <c r="AN30" s="8">
        <f t="shared" si="27"/>
        <v>885682</v>
      </c>
      <c r="AO30" s="8">
        <f t="shared" si="28"/>
        <v>16709</v>
      </c>
      <c r="AP30" s="8">
        <f t="shared" si="29"/>
        <v>1059046</v>
      </c>
      <c r="AQ30" s="8">
        <f t="shared" si="30"/>
        <v>6103676</v>
      </c>
      <c r="AR30" s="8">
        <f t="shared" si="31"/>
        <v>6103676</v>
      </c>
      <c r="AS30" s="8">
        <f t="shared" si="32"/>
        <v>0</v>
      </c>
      <c r="AV30" s="8"/>
      <c r="AW30" s="8"/>
      <c r="AX30" s="8"/>
    </row>
    <row r="31" spans="1:50 16383:16383" x14ac:dyDescent="0.2">
      <c r="A31" s="17">
        <f t="shared" si="23"/>
        <v>40786</v>
      </c>
      <c r="B31" s="6">
        <v>0</v>
      </c>
      <c r="C31" s="6">
        <v>-12812</v>
      </c>
      <c r="D31" s="6">
        <f t="shared" si="24"/>
        <v>-12812</v>
      </c>
      <c r="E31" s="6"/>
      <c r="F31" s="6"/>
      <c r="G31" s="8"/>
      <c r="H31" s="6"/>
      <c r="K31" s="51" t="s">
        <v>63</v>
      </c>
      <c r="L31" s="13"/>
      <c r="M31" s="13"/>
      <c r="N31" s="13"/>
      <c r="O31" s="13"/>
      <c r="P31" s="13"/>
      <c r="S31" s="2"/>
      <c r="T31" s="8">
        <v>2005186</v>
      </c>
      <c r="U31" s="8"/>
      <c r="V31" s="8">
        <f t="shared" si="33"/>
        <v>2005186</v>
      </c>
      <c r="X31" s="8">
        <f t="shared" si="34"/>
        <v>768473</v>
      </c>
      <c r="Y31" s="8">
        <f t="shared" si="35"/>
        <v>177667</v>
      </c>
      <c r="Z31" s="8">
        <f t="shared" si="36"/>
        <v>0</v>
      </c>
      <c r="AA31" s="8">
        <f t="shared" si="37"/>
        <v>1059046</v>
      </c>
      <c r="AC31" s="73">
        <f t="shared" si="38"/>
        <v>2005186</v>
      </c>
      <c r="AL31" s="2">
        <f t="shared" si="25"/>
        <v>40755</v>
      </c>
      <c r="AM31" s="8">
        <f t="shared" si="26"/>
        <v>4021943</v>
      </c>
      <c r="AN31" s="8">
        <f t="shared" si="27"/>
        <v>986896</v>
      </c>
      <c r="AO31" s="8">
        <f t="shared" si="28"/>
        <v>16733</v>
      </c>
      <c r="AP31" s="8">
        <f t="shared" si="29"/>
        <v>948889</v>
      </c>
      <c r="AQ31" s="8">
        <f t="shared" si="30"/>
        <v>5974461</v>
      </c>
      <c r="AR31" s="8">
        <f t="shared" si="31"/>
        <v>5974461</v>
      </c>
      <c r="AS31" s="8">
        <f t="shared" si="32"/>
        <v>0</v>
      </c>
      <c r="AV31" s="8"/>
      <c r="AW31" s="8"/>
      <c r="AX31" s="8"/>
    </row>
    <row r="32" spans="1:50 16383:16383" x14ac:dyDescent="0.2">
      <c r="A32" s="17">
        <f t="shared" si="23"/>
        <v>40816</v>
      </c>
      <c r="B32" s="6">
        <v>864</v>
      </c>
      <c r="C32" s="6">
        <v>-11158</v>
      </c>
      <c r="D32" s="6">
        <f t="shared" si="24"/>
        <v>-10294</v>
      </c>
      <c r="E32" s="6"/>
      <c r="F32" s="6"/>
      <c r="G32" s="8"/>
      <c r="H32" s="6"/>
      <c r="K32" s="1" t="s">
        <v>64</v>
      </c>
      <c r="L32" s="52" t="s">
        <v>65</v>
      </c>
      <c r="M32" s="52" t="s">
        <v>65</v>
      </c>
      <c r="N32" s="52" t="s">
        <v>65</v>
      </c>
      <c r="O32" s="52" t="s">
        <v>65</v>
      </c>
      <c r="P32" s="52" t="s">
        <v>65</v>
      </c>
      <c r="S32" s="2"/>
      <c r="T32" s="8">
        <v>1865556</v>
      </c>
      <c r="U32" s="8"/>
      <c r="V32" s="8">
        <f t="shared" si="33"/>
        <v>1865556</v>
      </c>
      <c r="X32" s="8">
        <f t="shared" si="34"/>
        <v>640596</v>
      </c>
      <c r="Y32" s="8">
        <f t="shared" si="35"/>
        <v>276071</v>
      </c>
      <c r="Z32" s="8">
        <f t="shared" si="36"/>
        <v>0</v>
      </c>
      <c r="AA32" s="8">
        <f t="shared" si="37"/>
        <v>948889</v>
      </c>
      <c r="AC32" s="73">
        <f t="shared" si="38"/>
        <v>1865556</v>
      </c>
      <c r="AL32" s="2">
        <f t="shared" si="25"/>
        <v>40786</v>
      </c>
      <c r="AM32" s="8">
        <f t="shared" si="26"/>
        <v>4114717</v>
      </c>
      <c r="AN32" s="8">
        <f t="shared" si="27"/>
        <v>1407396</v>
      </c>
      <c r="AO32" s="8">
        <f t="shared" si="28"/>
        <v>16729</v>
      </c>
      <c r="AP32" s="8">
        <f t="shared" si="29"/>
        <v>1017757</v>
      </c>
      <c r="AQ32" s="8">
        <f t="shared" si="30"/>
        <v>6556599</v>
      </c>
      <c r="AR32" s="8">
        <f t="shared" si="31"/>
        <v>6556599</v>
      </c>
      <c r="AS32" s="8">
        <f t="shared" si="32"/>
        <v>0</v>
      </c>
      <c r="AV32" s="8"/>
      <c r="AW32" s="8"/>
      <c r="AX32" s="8"/>
    </row>
    <row r="33" spans="1:50" x14ac:dyDescent="0.2">
      <c r="A33" s="17">
        <f t="shared" si="23"/>
        <v>40847</v>
      </c>
      <c r="B33" s="6">
        <v>0</v>
      </c>
      <c r="C33" s="6">
        <v>-9565</v>
      </c>
      <c r="D33" s="6">
        <f t="shared" si="24"/>
        <v>-9565</v>
      </c>
      <c r="E33" s="32"/>
      <c r="F33" s="6"/>
      <c r="G33" s="8"/>
      <c r="H33" s="6"/>
      <c r="S33" s="2"/>
      <c r="T33" s="8">
        <v>2435952</v>
      </c>
      <c r="U33" s="8"/>
      <c r="V33" s="8">
        <f t="shared" si="33"/>
        <v>2435952</v>
      </c>
      <c r="X33" s="8">
        <f t="shared" si="34"/>
        <v>721624</v>
      </c>
      <c r="Y33" s="8">
        <f t="shared" si="35"/>
        <v>696571</v>
      </c>
      <c r="Z33" s="8">
        <f t="shared" si="36"/>
        <v>0</v>
      </c>
      <c r="AA33" s="8">
        <f t="shared" si="37"/>
        <v>1017757</v>
      </c>
      <c r="AC33" s="73">
        <f t="shared" si="38"/>
        <v>2435952</v>
      </c>
      <c r="AL33" s="2">
        <f t="shared" si="25"/>
        <v>40816</v>
      </c>
      <c r="AM33" s="8">
        <f t="shared" si="26"/>
        <v>4002776</v>
      </c>
      <c r="AN33" s="8">
        <f t="shared" si="27"/>
        <v>962782</v>
      </c>
      <c r="AO33" s="8">
        <f t="shared" si="28"/>
        <v>12655</v>
      </c>
      <c r="AP33" s="8">
        <f t="shared" si="29"/>
        <v>942000</v>
      </c>
      <c r="AQ33" s="8">
        <f t="shared" si="30"/>
        <v>5920213</v>
      </c>
      <c r="AR33" s="8">
        <f t="shared" si="31"/>
        <v>5920213</v>
      </c>
      <c r="AS33" s="73">
        <f t="shared" si="32"/>
        <v>0</v>
      </c>
      <c r="AV33" s="8"/>
      <c r="AW33" s="8"/>
      <c r="AX33" s="8"/>
    </row>
    <row r="34" spans="1:50" x14ac:dyDescent="0.2">
      <c r="A34" s="17">
        <f t="shared" si="23"/>
        <v>40877</v>
      </c>
      <c r="B34" s="6">
        <v>0</v>
      </c>
      <c r="C34" s="6">
        <v>-4271</v>
      </c>
      <c r="D34" s="6">
        <f t="shared" si="24"/>
        <v>-4271</v>
      </c>
      <c r="E34" s="6"/>
      <c r="F34" s="6"/>
      <c r="G34" s="8"/>
      <c r="H34" s="6"/>
      <c r="K34" s="1" t="s">
        <v>66</v>
      </c>
      <c r="S34" s="2"/>
      <c r="T34" s="8">
        <v>1788869</v>
      </c>
      <c r="U34" s="8"/>
      <c r="V34" s="8">
        <f t="shared" si="33"/>
        <v>1788869</v>
      </c>
      <c r="X34" s="8">
        <f t="shared" si="34"/>
        <v>611337</v>
      </c>
      <c r="Y34" s="8">
        <f t="shared" si="35"/>
        <v>251957</v>
      </c>
      <c r="Z34" s="8">
        <f t="shared" si="36"/>
        <v>0</v>
      </c>
      <c r="AA34" s="8">
        <f t="shared" si="37"/>
        <v>925575.3</v>
      </c>
      <c r="AC34" s="73">
        <f t="shared" si="38"/>
        <v>1788869.3</v>
      </c>
      <c r="AL34" s="2">
        <f t="shared" si="25"/>
        <v>40847</v>
      </c>
      <c r="AM34" s="8">
        <f t="shared" si="26"/>
        <v>3798237</v>
      </c>
      <c r="AN34" s="8">
        <f t="shared" si="27"/>
        <v>1077539</v>
      </c>
      <c r="AO34" s="8">
        <f t="shared" si="28"/>
        <v>15816</v>
      </c>
      <c r="AP34" s="8">
        <f t="shared" si="29"/>
        <v>875732</v>
      </c>
      <c r="AQ34" s="8">
        <f t="shared" si="30"/>
        <v>5767324</v>
      </c>
      <c r="AR34" s="8">
        <f t="shared" si="31"/>
        <v>5767324</v>
      </c>
      <c r="AS34" s="74">
        <f t="shared" si="32"/>
        <v>0</v>
      </c>
      <c r="AV34" s="8"/>
      <c r="AW34" s="8"/>
      <c r="AX34" s="8"/>
    </row>
    <row r="35" spans="1:50" ht="12" thickBot="1" x14ac:dyDescent="0.25">
      <c r="A35" s="17">
        <f t="shared" si="23"/>
        <v>40908</v>
      </c>
      <c r="B35" s="6">
        <v>0</v>
      </c>
      <c r="C35" s="6">
        <v>2416</v>
      </c>
      <c r="D35" s="6">
        <f t="shared" si="24"/>
        <v>2416</v>
      </c>
      <c r="E35" s="33"/>
      <c r="F35" s="6"/>
      <c r="G35" s="8"/>
      <c r="H35" s="6"/>
      <c r="K35" s="1" t="s">
        <v>67</v>
      </c>
      <c r="L35" s="53">
        <f>ROUND(L29/8,0)</f>
        <v>1032514</v>
      </c>
      <c r="M35" s="53">
        <f>ROUND(M29/8,0)</f>
        <v>529374</v>
      </c>
      <c r="N35" s="53">
        <f>ROUND(N29/8,0)</f>
        <v>691</v>
      </c>
      <c r="O35" s="53">
        <f>ROUND(O29/8,0)-2</f>
        <v>1290572</v>
      </c>
      <c r="P35" s="53">
        <f>ROUND(P29/8,0)-1</f>
        <v>2853151</v>
      </c>
      <c r="S35" s="2"/>
      <c r="T35" s="8">
        <v>1589445</v>
      </c>
      <c r="U35" s="8"/>
      <c r="V35" s="8">
        <f t="shared" si="33"/>
        <v>1589445</v>
      </c>
      <c r="X35" s="8">
        <f t="shared" si="34"/>
        <v>408391</v>
      </c>
      <c r="Y35" s="8">
        <f t="shared" si="35"/>
        <v>366714</v>
      </c>
      <c r="Z35" s="8">
        <f t="shared" si="36"/>
        <v>0</v>
      </c>
      <c r="AA35" s="8">
        <f t="shared" si="37"/>
        <v>814339.39</v>
      </c>
      <c r="AC35" s="73">
        <f t="shared" si="38"/>
        <v>1589444.3900000001</v>
      </c>
      <c r="AL35" s="2">
        <f t="shared" si="25"/>
        <v>40877</v>
      </c>
      <c r="AM35" s="8">
        <f t="shared" si="26"/>
        <v>3968970</v>
      </c>
      <c r="AN35" s="8">
        <f t="shared" si="27"/>
        <v>1229680</v>
      </c>
      <c r="AO35" s="8">
        <f t="shared" si="28"/>
        <v>16426</v>
      </c>
      <c r="AP35" s="8">
        <f t="shared" si="29"/>
        <v>875324</v>
      </c>
      <c r="AQ35" s="8">
        <f t="shared" si="30"/>
        <v>6090400</v>
      </c>
      <c r="AR35" s="8">
        <f t="shared" si="31"/>
        <v>6090400</v>
      </c>
      <c r="AS35" s="74">
        <f t="shared" si="32"/>
        <v>0</v>
      </c>
      <c r="AV35" s="8"/>
      <c r="AW35" s="8"/>
      <c r="AX35" s="8"/>
    </row>
    <row r="36" spans="1:50" ht="12" thickTop="1" x14ac:dyDescent="0.2">
      <c r="A36" s="17">
        <f t="shared" si="23"/>
        <v>40939</v>
      </c>
      <c r="B36" s="6">
        <v>0</v>
      </c>
      <c r="C36" s="6">
        <v>-2152</v>
      </c>
      <c r="D36" s="6">
        <f t="shared" si="24"/>
        <v>-2152</v>
      </c>
      <c r="E36" s="6"/>
      <c r="F36" s="6"/>
      <c r="G36" s="8"/>
      <c r="H36" s="6"/>
      <c r="S36" s="2"/>
      <c r="T36" s="8">
        <v>1970117</v>
      </c>
      <c r="U36" s="8"/>
      <c r="V36" s="8">
        <f t="shared" si="33"/>
        <v>1970117</v>
      </c>
      <c r="X36" s="8">
        <f t="shared" si="34"/>
        <v>584418</v>
      </c>
      <c r="Y36" s="8">
        <f t="shared" si="35"/>
        <v>518855</v>
      </c>
      <c r="Z36" s="8">
        <f t="shared" si="36"/>
        <v>0</v>
      </c>
      <c r="AA36" s="8">
        <f t="shared" si="37"/>
        <v>866844</v>
      </c>
      <c r="AC36" s="73">
        <f t="shared" si="38"/>
        <v>1970117</v>
      </c>
      <c r="AL36" s="2">
        <f t="shared" si="25"/>
        <v>40908</v>
      </c>
      <c r="AM36" s="8">
        <f t="shared" si="26"/>
        <v>4100217</v>
      </c>
      <c r="AN36" s="8">
        <f t="shared" si="27"/>
        <v>1120684</v>
      </c>
      <c r="AO36" s="8">
        <f t="shared" si="28"/>
        <v>25892</v>
      </c>
      <c r="AP36" s="8">
        <f t="shared" si="29"/>
        <v>936843</v>
      </c>
      <c r="AQ36" s="8">
        <f t="shared" si="30"/>
        <v>6183636</v>
      </c>
      <c r="AR36" s="8">
        <f t="shared" si="31"/>
        <v>6183636</v>
      </c>
      <c r="AS36" s="74">
        <f t="shared" si="32"/>
        <v>0</v>
      </c>
      <c r="AV36" s="8"/>
      <c r="AW36" s="8"/>
      <c r="AX36" s="8"/>
    </row>
    <row r="37" spans="1:50" ht="12.75" x14ac:dyDescent="0.2">
      <c r="A37" s="166">
        <v>40968</v>
      </c>
      <c r="B37" s="6">
        <v>0</v>
      </c>
      <c r="C37" s="6">
        <v>11946</v>
      </c>
      <c r="D37" s="6">
        <f t="shared" si="24"/>
        <v>11946</v>
      </c>
      <c r="E37" s="6"/>
      <c r="F37" s="6" t="s">
        <v>92</v>
      </c>
      <c r="G37" s="8"/>
      <c r="H37" s="6"/>
      <c r="S37" s="2"/>
      <c r="T37" s="8">
        <v>1063355</v>
      </c>
      <c r="U37" s="8">
        <v>920584.76</v>
      </c>
      <c r="V37" s="8">
        <f t="shared" si="33"/>
        <v>1983939.76</v>
      </c>
      <c r="X37" s="8">
        <f t="shared" si="34"/>
        <v>653496</v>
      </c>
      <c r="Y37" s="8">
        <f t="shared" si="35"/>
        <v>409859</v>
      </c>
      <c r="Z37" s="8">
        <f t="shared" si="36"/>
        <v>0</v>
      </c>
      <c r="AA37" s="8">
        <f t="shared" si="37"/>
        <v>920584.92</v>
      </c>
      <c r="AC37" s="73">
        <f t="shared" si="38"/>
        <v>1983939.92</v>
      </c>
      <c r="AL37" s="2">
        <f t="shared" si="25"/>
        <v>40939</v>
      </c>
      <c r="AM37" s="8">
        <f t="shared" si="26"/>
        <v>4205579</v>
      </c>
      <c r="AN37" s="8">
        <f t="shared" si="27"/>
        <v>1092781</v>
      </c>
      <c r="AO37" s="8">
        <f t="shared" si="28"/>
        <v>51695</v>
      </c>
      <c r="AP37" s="8">
        <f t="shared" si="29"/>
        <v>901394</v>
      </c>
      <c r="AQ37" s="8">
        <f t="shared" si="30"/>
        <v>6251449</v>
      </c>
      <c r="AR37" s="8">
        <f t="shared" si="31"/>
        <v>6251449</v>
      </c>
      <c r="AS37" s="74">
        <f t="shared" si="32"/>
        <v>0</v>
      </c>
      <c r="AV37" s="8"/>
      <c r="AW37" s="8"/>
      <c r="AX37" s="8"/>
    </row>
    <row r="38" spans="1:50" ht="12.75" x14ac:dyDescent="0.2">
      <c r="A38" s="166">
        <v>40999</v>
      </c>
      <c r="B38" s="59">
        <v>887</v>
      </c>
      <c r="C38" s="59">
        <f>12693+E38</f>
        <v>-273473</v>
      </c>
      <c r="D38" s="59">
        <f t="shared" si="24"/>
        <v>-272586</v>
      </c>
      <c r="E38" s="6">
        <v>-286166</v>
      </c>
      <c r="F38" s="6" t="s">
        <v>91</v>
      </c>
      <c r="T38" s="8">
        <v>1074115</v>
      </c>
      <c r="U38" s="8">
        <v>896992.22999999986</v>
      </c>
      <c r="V38" s="8">
        <f t="shared" si="33"/>
        <v>1971107.23</v>
      </c>
      <c r="X38" s="8">
        <f t="shared" si="34"/>
        <v>691538</v>
      </c>
      <c r="Y38" s="8">
        <f t="shared" si="35"/>
        <v>382576</v>
      </c>
      <c r="Z38" s="8">
        <f t="shared" si="36"/>
        <v>0</v>
      </c>
      <c r="AA38" s="8">
        <f t="shared" si="37"/>
        <v>896994.2</v>
      </c>
      <c r="AC38" s="73">
        <f t="shared" si="38"/>
        <v>1971108.2</v>
      </c>
      <c r="AL38" s="2">
        <f t="shared" si="25"/>
        <v>40968</v>
      </c>
      <c r="AM38" s="8">
        <f t="shared" si="26"/>
        <v>4123571</v>
      </c>
      <c r="AN38" s="8">
        <f t="shared" si="27"/>
        <v>1178144</v>
      </c>
      <c r="AO38" s="8">
        <f t="shared" si="28"/>
        <v>51033</v>
      </c>
      <c r="AP38" s="8">
        <f t="shared" si="29"/>
        <v>631013</v>
      </c>
      <c r="AQ38" s="8">
        <f t="shared" si="30"/>
        <v>5983761</v>
      </c>
      <c r="AR38" s="8">
        <f t="shared" si="31"/>
        <v>5983761</v>
      </c>
      <c r="AS38" s="74">
        <f t="shared" si="32"/>
        <v>0</v>
      </c>
      <c r="AV38" s="8"/>
      <c r="AW38" s="8"/>
      <c r="AX38" s="8"/>
    </row>
    <row r="39" spans="1:50" x14ac:dyDescent="0.2">
      <c r="A39" s="16"/>
      <c r="B39" s="16"/>
      <c r="C39" s="16"/>
      <c r="D39" s="16"/>
      <c r="E39" s="16"/>
      <c r="F39" s="6"/>
      <c r="T39" s="8">
        <v>1091566</v>
      </c>
      <c r="U39" s="8">
        <v>628606.38</v>
      </c>
      <c r="V39" s="8">
        <f t="shared" si="33"/>
        <v>1720172.38</v>
      </c>
      <c r="X39" s="8">
        <f t="shared" si="34"/>
        <v>623628</v>
      </c>
      <c r="Y39" s="8">
        <f t="shared" si="35"/>
        <v>467939</v>
      </c>
      <c r="Z39" s="8">
        <f t="shared" si="36"/>
        <v>0</v>
      </c>
      <c r="AA39" s="8">
        <f t="shared" si="37"/>
        <v>628606</v>
      </c>
      <c r="AC39" s="73">
        <f t="shared" si="38"/>
        <v>1720173</v>
      </c>
      <c r="AL39" s="2">
        <f t="shared" si="25"/>
        <v>40999</v>
      </c>
      <c r="AM39" s="70">
        <f t="shared" ref="AM39" si="39">+H17-C38</f>
        <v>4722577</v>
      </c>
      <c r="AN39" s="70">
        <f t="shared" ref="AN39" si="40">+Q17</f>
        <v>1017628</v>
      </c>
      <c r="AO39" s="70">
        <f t="shared" ref="AO39" si="41">+AA17-B38</f>
        <v>54369.2</v>
      </c>
      <c r="AP39" s="70">
        <f t="shared" ref="AP39" si="42">+AJ17</f>
        <v>813019.8</v>
      </c>
      <c r="AQ39" s="70">
        <f t="shared" si="30"/>
        <v>6607594</v>
      </c>
      <c r="AR39" s="70">
        <f t="shared" si="31"/>
        <v>6607594</v>
      </c>
      <c r="AS39" s="75">
        <f t="shared" si="32"/>
        <v>0</v>
      </c>
      <c r="AV39" s="8"/>
      <c r="AW39" s="8"/>
      <c r="AX39" s="8"/>
    </row>
    <row r="40" spans="1:50" ht="12" thickBot="1" x14ac:dyDescent="0.25">
      <c r="A40" s="24" t="s">
        <v>44</v>
      </c>
      <c r="B40" s="11">
        <f>SUM(B27:B39)</f>
        <v>1751</v>
      </c>
      <c r="C40" s="11">
        <f>SUM(C27:C39)</f>
        <v>-280396</v>
      </c>
      <c r="D40" s="11">
        <f>SUM(D27:D39)</f>
        <v>-278645</v>
      </c>
      <c r="E40" s="6"/>
      <c r="F40" s="6"/>
      <c r="T40" s="8">
        <v>1301042</v>
      </c>
      <c r="U40" s="8">
        <v>810611.89</v>
      </c>
      <c r="V40" s="8">
        <f t="shared" si="33"/>
        <v>2111653.89</v>
      </c>
      <c r="X40" s="70">
        <f t="shared" si="34"/>
        <v>993499</v>
      </c>
      <c r="Y40" s="70">
        <f t="shared" si="35"/>
        <v>302018</v>
      </c>
      <c r="Z40" s="70">
        <f t="shared" si="36"/>
        <v>5524.2</v>
      </c>
      <c r="AA40" s="70">
        <f t="shared" si="37"/>
        <v>810612.8</v>
      </c>
      <c r="AC40" s="73">
        <f t="shared" si="38"/>
        <v>2111654</v>
      </c>
      <c r="AM40" s="8">
        <f>SUM(AM28:AM39)</f>
        <v>49431606</v>
      </c>
      <c r="AN40" s="8">
        <f t="shared" ref="AN40:AR40" si="43">SUM(AN28:AN39)</f>
        <v>12754149</v>
      </c>
      <c r="AO40" s="8">
        <f t="shared" si="43"/>
        <v>306067.20000000001</v>
      </c>
      <c r="AP40" s="8">
        <f t="shared" si="43"/>
        <v>10436358.800000001</v>
      </c>
      <c r="AQ40" s="8">
        <f t="shared" si="43"/>
        <v>72928181</v>
      </c>
      <c r="AR40" s="8">
        <f t="shared" si="43"/>
        <v>72928181</v>
      </c>
      <c r="AS40" s="8">
        <f>SUM(AS28:AS39)</f>
        <v>0</v>
      </c>
      <c r="AV40" s="8"/>
      <c r="AW40" s="8"/>
      <c r="AX40" s="8"/>
    </row>
    <row r="41" spans="1:50" ht="12" thickTop="1" x14ac:dyDescent="0.2">
      <c r="A41" s="16"/>
      <c r="B41" s="16"/>
      <c r="C41" s="16"/>
      <c r="D41" s="6"/>
      <c r="E41" s="6"/>
      <c r="F41" s="6"/>
      <c r="T41" s="60">
        <f>SUM(T29:T40)</f>
        <v>19568419</v>
      </c>
      <c r="U41" s="60">
        <f t="shared" ref="U41:V41" si="44">SUM(U29:U40)</f>
        <v>3256795.26</v>
      </c>
      <c r="V41" s="60">
        <f t="shared" si="44"/>
        <v>22825214.260000002</v>
      </c>
      <c r="X41" s="60">
        <f t="shared" ref="X41:AC41" si="45">SUM(X29:X40)</f>
        <v>8260111</v>
      </c>
      <c r="Y41" s="60">
        <f t="shared" si="45"/>
        <v>4234990</v>
      </c>
      <c r="Z41" s="60">
        <f t="shared" si="45"/>
        <v>5524.2</v>
      </c>
      <c r="AA41" s="60">
        <f t="shared" si="45"/>
        <v>10324589.609999999</v>
      </c>
      <c r="AC41" s="73">
        <f t="shared" si="45"/>
        <v>22825214.809999999</v>
      </c>
      <c r="AM41" s="8"/>
      <c r="AN41" s="8"/>
      <c r="AO41" s="8"/>
      <c r="AP41" s="8"/>
    </row>
    <row r="42" spans="1:50" ht="12" x14ac:dyDescent="0.2">
      <c r="A42" s="34" t="s">
        <v>53</v>
      </c>
      <c r="B42" s="16"/>
      <c r="C42" s="16"/>
      <c r="D42" s="6"/>
      <c r="E42" s="6"/>
      <c r="F42" s="6"/>
      <c r="V42" s="76">
        <f>+P29-V41</f>
        <v>0.73999999836087227</v>
      </c>
      <c r="W42" s="157"/>
      <c r="AA42" s="60">
        <f>SUM(X41:AA41)</f>
        <v>22825214.809999999</v>
      </c>
      <c r="AG42" s="157"/>
    </row>
    <row r="43" spans="1:50" x14ac:dyDescent="0.2">
      <c r="A43" s="16" t="s">
        <v>54</v>
      </c>
      <c r="B43" s="16"/>
      <c r="C43" s="28"/>
      <c r="D43" s="6"/>
      <c r="E43" s="6"/>
      <c r="F43" s="6"/>
      <c r="V43" s="1">
        <f>ROUND(V42/8,0)</f>
        <v>0</v>
      </c>
    </row>
    <row r="44" spans="1:50" x14ac:dyDescent="0.2">
      <c r="A44" s="16"/>
      <c r="B44" s="16"/>
      <c r="C44" s="16"/>
      <c r="D44" s="6"/>
      <c r="E44" s="6"/>
      <c r="F44" s="6"/>
    </row>
    <row r="45" spans="1:50" ht="75.75" customHeight="1" x14ac:dyDescent="0.2">
      <c r="A45" s="16"/>
      <c r="B45" s="29" t="s">
        <v>55</v>
      </c>
      <c r="C45" s="29" t="s">
        <v>56</v>
      </c>
      <c r="D45" s="35" t="s">
        <v>57</v>
      </c>
      <c r="E45" s="6"/>
      <c r="F45" s="6"/>
      <c r="G45" s="157"/>
    </row>
    <row r="46" spans="1:50" ht="26.25" customHeight="1" x14ac:dyDescent="0.2">
      <c r="A46" s="16"/>
      <c r="B46" s="31" t="s">
        <v>85</v>
      </c>
      <c r="C46" s="31" t="s">
        <v>85</v>
      </c>
      <c r="D46" s="35" t="s">
        <v>58</v>
      </c>
      <c r="E46" s="6"/>
      <c r="F46" s="6"/>
      <c r="G46" s="31"/>
    </row>
    <row r="47" spans="1:50" x14ac:dyDescent="0.2">
      <c r="A47" s="16"/>
      <c r="B47" s="16"/>
      <c r="C47" s="16"/>
      <c r="D47" s="6"/>
      <c r="E47" s="6"/>
    </row>
    <row r="48" spans="1:50" x14ac:dyDescent="0.2">
      <c r="A48" s="17">
        <f t="shared" ref="A48:A59" si="46">A27</f>
        <v>40663</v>
      </c>
      <c r="B48" s="12">
        <v>95882475</v>
      </c>
      <c r="C48" s="36">
        <v>109820943</v>
      </c>
      <c r="D48" s="14">
        <f t="shared" ref="D48:D59" si="47">B48/C48</f>
        <v>0.87308005541347433</v>
      </c>
      <c r="E48" s="6"/>
      <c r="F48" s="17"/>
      <c r="G48" s="12"/>
      <c r="J48" s="8"/>
      <c r="M48" s="41"/>
      <c r="N48" s="4"/>
      <c r="O48" s="4"/>
      <c r="Z48" s="4"/>
      <c r="AK48" s="39"/>
    </row>
    <row r="49" spans="1:37" x14ac:dyDescent="0.2">
      <c r="A49" s="17">
        <f t="shared" si="46"/>
        <v>40694</v>
      </c>
      <c r="B49" s="8">
        <v>91980703</v>
      </c>
      <c r="C49" s="6">
        <v>109257901</v>
      </c>
      <c r="D49" s="14">
        <f t="shared" si="47"/>
        <v>0.84186774739522041</v>
      </c>
      <c r="E49" s="6"/>
      <c r="F49" s="17"/>
      <c r="G49" s="8"/>
      <c r="J49" s="57"/>
      <c r="K49" s="55"/>
      <c r="L49" s="55"/>
      <c r="M49" s="55"/>
      <c r="N49" s="55"/>
      <c r="O49" s="55"/>
      <c r="P49" s="16"/>
      <c r="Q49" s="55"/>
      <c r="R49" s="16"/>
      <c r="S49" s="16"/>
      <c r="T49" s="16"/>
      <c r="U49" s="16"/>
      <c r="V49" s="16"/>
      <c r="W49" s="16"/>
      <c r="X49" s="16"/>
      <c r="Y49" s="16"/>
      <c r="Z49" s="4"/>
      <c r="AK49" s="39"/>
    </row>
    <row r="50" spans="1:37" x14ac:dyDescent="0.2">
      <c r="A50" s="17">
        <f t="shared" si="46"/>
        <v>40724</v>
      </c>
      <c r="B50" s="8">
        <v>107968505</v>
      </c>
      <c r="C50" s="6">
        <v>127892282</v>
      </c>
      <c r="D50" s="14">
        <f t="shared" si="47"/>
        <v>0.84421439129532461</v>
      </c>
      <c r="E50" s="6"/>
      <c r="F50" s="17"/>
      <c r="G50" s="8"/>
      <c r="J50" s="56"/>
      <c r="K50" s="57"/>
      <c r="L50" s="57"/>
      <c r="M50" s="57"/>
      <c r="N50" s="57"/>
      <c r="O50" s="57"/>
      <c r="P50" s="57"/>
      <c r="Q50" s="6"/>
      <c r="R50" s="16"/>
      <c r="S50" s="57"/>
      <c r="T50" s="16"/>
      <c r="U50" s="16"/>
      <c r="V50" s="6"/>
      <c r="W50" s="6"/>
      <c r="X50" s="16"/>
      <c r="Y50" s="16"/>
      <c r="Z50" s="4"/>
      <c r="AK50" s="39"/>
    </row>
    <row r="51" spans="1:37" x14ac:dyDescent="0.2">
      <c r="A51" s="17">
        <f t="shared" si="46"/>
        <v>40755</v>
      </c>
      <c r="B51" s="8">
        <v>113758668</v>
      </c>
      <c r="C51" s="6">
        <v>132738782</v>
      </c>
      <c r="D51" s="14">
        <f t="shared" si="47"/>
        <v>0.85701154015410508</v>
      </c>
      <c r="E51" s="6"/>
      <c r="F51" s="17"/>
      <c r="G51" s="8"/>
      <c r="J51" s="56"/>
      <c r="K51" s="57"/>
      <c r="L51" s="57"/>
      <c r="M51" s="57"/>
      <c r="N51" s="57"/>
      <c r="O51" s="57"/>
      <c r="P51" s="57"/>
      <c r="Q51" s="6"/>
      <c r="R51" s="16"/>
      <c r="S51" s="57"/>
      <c r="T51" s="16"/>
      <c r="U51" s="16"/>
      <c r="V51" s="6"/>
      <c r="W51" s="6"/>
      <c r="X51" s="16"/>
      <c r="Y51" s="16"/>
      <c r="Z51" s="4"/>
      <c r="AK51" s="39"/>
    </row>
    <row r="52" spans="1:37" x14ac:dyDescent="0.2">
      <c r="A52" s="17">
        <f t="shared" si="46"/>
        <v>40786</v>
      </c>
      <c r="B52" s="8">
        <v>123043042</v>
      </c>
      <c r="C52" s="6">
        <v>141140253</v>
      </c>
      <c r="D52" s="14">
        <f t="shared" si="47"/>
        <v>0.87177852798662614</v>
      </c>
      <c r="E52" s="6"/>
      <c r="F52" s="17"/>
      <c r="G52" s="8"/>
      <c r="J52" s="56"/>
      <c r="K52" s="57"/>
      <c r="L52" s="57"/>
      <c r="M52" s="57"/>
      <c r="N52" s="57"/>
      <c r="O52" s="57"/>
      <c r="P52" s="57"/>
      <c r="Q52" s="6"/>
      <c r="R52" s="16"/>
      <c r="S52" s="57"/>
      <c r="T52" s="16"/>
      <c r="U52" s="16"/>
      <c r="V52" s="6"/>
      <c r="W52" s="6"/>
      <c r="X52" s="16"/>
      <c r="Y52" s="16"/>
      <c r="Z52" s="4"/>
      <c r="AK52" s="39"/>
    </row>
    <row r="53" spans="1:37" x14ac:dyDescent="0.2">
      <c r="A53" s="17">
        <f t="shared" si="46"/>
        <v>40816</v>
      </c>
      <c r="B53" s="8">
        <v>115894324</v>
      </c>
      <c r="C53" s="6">
        <v>132428088</v>
      </c>
      <c r="D53" s="14">
        <f t="shared" si="47"/>
        <v>0.87514911489169878</v>
      </c>
      <c r="E53" s="6"/>
      <c r="F53" s="17"/>
      <c r="G53" s="8"/>
      <c r="J53" s="56"/>
      <c r="K53" s="57"/>
      <c r="L53" s="57"/>
      <c r="M53" s="57"/>
      <c r="N53" s="57"/>
      <c r="O53" s="57"/>
      <c r="P53" s="57"/>
      <c r="Q53" s="6"/>
      <c r="R53" s="16"/>
      <c r="S53" s="57"/>
      <c r="T53" s="16"/>
      <c r="U53" s="16"/>
      <c r="V53" s="6"/>
      <c r="W53" s="6"/>
      <c r="X53" s="16"/>
      <c r="Y53" s="16"/>
      <c r="Z53" s="4"/>
      <c r="AK53" s="39"/>
    </row>
    <row r="54" spans="1:37" x14ac:dyDescent="0.2">
      <c r="A54" s="17">
        <f t="shared" si="46"/>
        <v>40847</v>
      </c>
      <c r="B54" s="8">
        <v>100772017</v>
      </c>
      <c r="C54" s="6">
        <v>118057368</v>
      </c>
      <c r="D54" s="14">
        <f t="shared" si="47"/>
        <v>0.85358515700604132</v>
      </c>
      <c r="E54" s="6"/>
      <c r="F54" s="17"/>
      <c r="G54" s="8"/>
      <c r="J54" s="56"/>
      <c r="K54" s="57"/>
      <c r="L54" s="57"/>
      <c r="M54" s="57"/>
      <c r="N54" s="57"/>
      <c r="O54" s="57"/>
      <c r="P54" s="57"/>
      <c r="Q54" s="6"/>
      <c r="R54" s="16"/>
      <c r="S54" s="57"/>
      <c r="T54" s="57"/>
      <c r="U54" s="16"/>
      <c r="V54" s="6"/>
      <c r="W54" s="6"/>
      <c r="X54" s="16"/>
      <c r="Y54" s="16"/>
      <c r="Z54" s="4"/>
      <c r="AK54" s="39"/>
    </row>
    <row r="55" spans="1:37" x14ac:dyDescent="0.2">
      <c r="A55" s="17">
        <f t="shared" si="46"/>
        <v>40877</v>
      </c>
      <c r="B55" s="8">
        <v>89304719</v>
      </c>
      <c r="C55" s="6">
        <v>103229231</v>
      </c>
      <c r="D55" s="14">
        <f t="shared" si="47"/>
        <v>0.86511076499252426</v>
      </c>
      <c r="E55" s="6"/>
      <c r="F55" s="17"/>
      <c r="G55" s="8"/>
      <c r="J55" s="56"/>
      <c r="K55" s="57"/>
      <c r="L55" s="57"/>
      <c r="M55" s="57"/>
      <c r="N55" s="57"/>
      <c r="O55" s="57"/>
      <c r="P55" s="57"/>
      <c r="Q55" s="6"/>
      <c r="R55" s="16"/>
      <c r="S55" s="57"/>
      <c r="T55" s="57"/>
      <c r="U55" s="16"/>
      <c r="V55" s="6"/>
      <c r="W55" s="6"/>
      <c r="X55" s="16"/>
      <c r="Y55" s="16"/>
      <c r="Z55" s="4"/>
      <c r="AK55" s="39"/>
    </row>
    <row r="56" spans="1:37" x14ac:dyDescent="0.2">
      <c r="A56" s="17">
        <f t="shared" si="46"/>
        <v>40908</v>
      </c>
      <c r="B56" s="8">
        <v>97878004</v>
      </c>
      <c r="C56" s="6">
        <v>116619190</v>
      </c>
      <c r="D56" s="14">
        <f t="shared" si="47"/>
        <v>0.83929586545747747</v>
      </c>
      <c r="E56" s="14"/>
      <c r="F56" s="17"/>
      <c r="G56" s="8"/>
      <c r="J56" s="56"/>
      <c r="K56" s="57"/>
      <c r="L56" s="57"/>
      <c r="M56" s="57"/>
      <c r="N56" s="57"/>
      <c r="O56" s="57"/>
      <c r="P56" s="57"/>
      <c r="Q56" s="6"/>
      <c r="R56" s="16"/>
      <c r="S56" s="57"/>
      <c r="T56" s="57"/>
      <c r="U56" s="16"/>
      <c r="V56" s="6"/>
      <c r="W56" s="6"/>
      <c r="X56" s="16"/>
      <c r="Y56" s="16"/>
      <c r="Z56" s="4"/>
      <c r="AK56" s="39"/>
    </row>
    <row r="57" spans="1:37" x14ac:dyDescent="0.2">
      <c r="A57" s="17">
        <f t="shared" si="46"/>
        <v>40939</v>
      </c>
      <c r="B57" s="8">
        <v>110285253</v>
      </c>
      <c r="C57" s="6">
        <v>130130828</v>
      </c>
      <c r="D57" s="14">
        <f t="shared" si="47"/>
        <v>0.84749520690055091</v>
      </c>
      <c r="E57" s="6"/>
      <c r="F57" s="17"/>
      <c r="G57" s="8"/>
      <c r="J57" s="56"/>
      <c r="K57" s="57"/>
      <c r="L57" s="57"/>
      <c r="M57" s="57"/>
      <c r="N57" s="57"/>
      <c r="O57" s="57"/>
      <c r="P57" s="57"/>
      <c r="Q57" s="6"/>
      <c r="R57" s="16"/>
      <c r="S57" s="57"/>
      <c r="T57" s="57"/>
      <c r="U57" s="16"/>
      <c r="V57" s="6"/>
      <c r="W57" s="6"/>
      <c r="X57" s="16"/>
      <c r="Y57" s="16"/>
      <c r="Z57" s="4"/>
      <c r="AK57" s="39"/>
    </row>
    <row r="58" spans="1:37" x14ac:dyDescent="0.2">
      <c r="A58" s="17">
        <f t="shared" si="46"/>
        <v>40968</v>
      </c>
      <c r="B58" s="8">
        <v>112626035</v>
      </c>
      <c r="C58" s="6">
        <v>128746223</v>
      </c>
      <c r="D58" s="14">
        <f t="shared" si="47"/>
        <v>0.87479098318868742</v>
      </c>
      <c r="E58" s="6"/>
      <c r="F58" s="17"/>
      <c r="G58" s="8"/>
      <c r="J58" s="56"/>
      <c r="K58" s="57"/>
      <c r="L58" s="57"/>
      <c r="M58" s="57"/>
      <c r="N58" s="57"/>
      <c r="O58" s="57"/>
      <c r="P58" s="57"/>
      <c r="Q58" s="6"/>
      <c r="R58" s="16"/>
      <c r="S58" s="57"/>
      <c r="T58" s="57"/>
      <c r="U58" s="16"/>
      <c r="V58" s="6"/>
      <c r="W58" s="6"/>
      <c r="X58" s="16"/>
      <c r="Y58" s="16"/>
      <c r="Z58" s="4"/>
      <c r="AK58" s="39"/>
    </row>
    <row r="59" spans="1:37" ht="13.5" x14ac:dyDescent="0.35">
      <c r="A59" s="17">
        <f t="shared" si="46"/>
        <v>40999</v>
      </c>
      <c r="B59" s="5">
        <v>102350679</v>
      </c>
      <c r="C59" s="5">
        <v>117314195</v>
      </c>
      <c r="D59" s="14">
        <f t="shared" si="47"/>
        <v>0.87244922918322032</v>
      </c>
      <c r="E59" s="6"/>
      <c r="F59" s="17"/>
      <c r="G59" s="37"/>
      <c r="J59" s="56"/>
      <c r="K59" s="57"/>
      <c r="L59" s="57"/>
      <c r="M59" s="57"/>
      <c r="N59" s="57"/>
      <c r="O59" s="57"/>
      <c r="P59" s="57"/>
      <c r="Q59" s="6"/>
      <c r="R59" s="16"/>
      <c r="S59" s="57"/>
      <c r="T59" s="16"/>
      <c r="U59" s="16"/>
      <c r="V59" s="6"/>
      <c r="W59" s="6"/>
      <c r="X59" s="16"/>
      <c r="Y59" s="16"/>
      <c r="Z59" s="4"/>
      <c r="AK59" s="39"/>
    </row>
    <row r="60" spans="1:37" x14ac:dyDescent="0.2">
      <c r="A60" s="17"/>
      <c r="C60" s="6"/>
      <c r="D60" s="14"/>
      <c r="E60" s="6"/>
      <c r="F60" s="16"/>
      <c r="G60" s="4"/>
      <c r="J60" s="56"/>
      <c r="K60" s="57"/>
      <c r="L60" s="57"/>
      <c r="M60" s="57"/>
      <c r="N60" s="57"/>
      <c r="O60" s="57"/>
      <c r="P60" s="57"/>
      <c r="Q60" s="6"/>
      <c r="R60" s="16"/>
      <c r="S60" s="57"/>
      <c r="T60" s="16"/>
      <c r="U60" s="16"/>
      <c r="V60" s="6"/>
      <c r="W60" s="6"/>
      <c r="X60" s="16"/>
      <c r="Y60" s="16"/>
    </row>
    <row r="61" spans="1:37" ht="12" thickBot="1" x14ac:dyDescent="0.25">
      <c r="A61" s="24" t="s">
        <v>44</v>
      </c>
      <c r="B61" s="38">
        <f t="shared" ref="B61" si="48">SUM(B48:B59)</f>
        <v>1261744424</v>
      </c>
      <c r="C61" s="38">
        <f>SUM(C48:C59)</f>
        <v>1467375284</v>
      </c>
      <c r="D61" s="10">
        <f>B61/C61</f>
        <v>0.85986484695349419</v>
      </c>
      <c r="E61" s="6"/>
      <c r="F61" s="6"/>
      <c r="G61" s="4"/>
      <c r="J61" s="56"/>
      <c r="K61" s="57"/>
      <c r="L61" s="57"/>
      <c r="M61" s="57"/>
      <c r="N61" s="57"/>
      <c r="O61" s="57"/>
      <c r="P61" s="57"/>
      <c r="Q61" s="6"/>
      <c r="R61" s="16"/>
      <c r="S61" s="57"/>
      <c r="T61" s="16"/>
      <c r="U61" s="16"/>
      <c r="V61" s="6"/>
      <c r="W61" s="6"/>
      <c r="X61" s="16"/>
      <c r="Y61" s="16"/>
      <c r="AK61" s="39"/>
    </row>
    <row r="62" spans="1:37" ht="12" thickTop="1" x14ac:dyDescent="0.2">
      <c r="A62" s="16"/>
      <c r="B62" s="16"/>
      <c r="C62" s="16"/>
      <c r="D62" s="16"/>
      <c r="E62" s="6"/>
      <c r="F62" s="6"/>
      <c r="G62" s="4"/>
      <c r="J62" s="16"/>
      <c r="K62" s="57"/>
      <c r="L62" s="57"/>
      <c r="M62" s="57"/>
      <c r="N62" s="16"/>
      <c r="O62" s="16"/>
      <c r="P62" s="16"/>
      <c r="Q62" s="6"/>
      <c r="R62" s="16"/>
      <c r="S62" s="58"/>
      <c r="T62" s="16"/>
      <c r="U62" s="16"/>
      <c r="V62" s="6"/>
      <c r="W62" s="6"/>
      <c r="X62" s="16"/>
      <c r="Y62" s="16"/>
      <c r="AC62" s="39"/>
    </row>
    <row r="63" spans="1:37" x14ac:dyDescent="0.2">
      <c r="E63" s="6"/>
      <c r="F63" s="6"/>
      <c r="G63" s="4"/>
      <c r="J63" s="16"/>
      <c r="K63" s="57"/>
      <c r="L63" s="57"/>
      <c r="M63" s="57"/>
      <c r="N63" s="57"/>
      <c r="O63" s="57"/>
      <c r="P63" s="57"/>
      <c r="Q63" s="57"/>
      <c r="R63" s="16"/>
      <c r="S63" s="16"/>
      <c r="T63" s="16"/>
      <c r="U63" s="16"/>
      <c r="V63" s="16"/>
      <c r="Z63" s="6"/>
      <c r="AA63" s="36"/>
      <c r="AK63" s="36"/>
    </row>
    <row r="64" spans="1:37" x14ac:dyDescent="0.2">
      <c r="A64" s="16"/>
      <c r="B64" s="16"/>
      <c r="C64" s="16"/>
      <c r="D64" s="6"/>
      <c r="E64" s="6"/>
      <c r="F64" s="6"/>
      <c r="G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33" x14ac:dyDescent="0.2">
      <c r="A65" s="16"/>
      <c r="B65" s="16"/>
      <c r="C65" s="16"/>
      <c r="D65" s="6"/>
      <c r="E65" s="6"/>
      <c r="F65" s="6"/>
      <c r="G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8"/>
      <c r="AG65" s="8"/>
    </row>
    <row r="66" spans="1:33" x14ac:dyDescent="0.2">
      <c r="C66" s="36"/>
      <c r="G66" s="4"/>
    </row>
    <row r="67" spans="1:33" x14ac:dyDescent="0.2">
      <c r="B67" s="12"/>
      <c r="C67" s="6"/>
      <c r="D67" s="40"/>
      <c r="E67" s="4"/>
      <c r="F67" s="4"/>
      <c r="G67" s="4"/>
    </row>
    <row r="68" spans="1:33" x14ac:dyDescent="0.2">
      <c r="B68" s="8"/>
      <c r="C68" s="6"/>
      <c r="D68" s="40"/>
      <c r="E68" s="4"/>
      <c r="F68" s="4"/>
      <c r="G68" s="4"/>
    </row>
    <row r="69" spans="1:33" x14ac:dyDescent="0.2">
      <c r="B69" s="8"/>
      <c r="C69" s="6"/>
      <c r="D69" s="41"/>
      <c r="E69" s="4"/>
      <c r="F69" s="4"/>
      <c r="G69" s="8"/>
    </row>
    <row r="70" spans="1:33" x14ac:dyDescent="0.2">
      <c r="B70" s="8"/>
      <c r="C70" s="6"/>
      <c r="G70" s="8"/>
    </row>
    <row r="71" spans="1:33" x14ac:dyDescent="0.2">
      <c r="B71" s="8"/>
      <c r="C71" s="6"/>
      <c r="G71" s="8"/>
    </row>
    <row r="72" spans="1:33" x14ac:dyDescent="0.2">
      <c r="B72" s="8"/>
      <c r="C72" s="6"/>
      <c r="G72" s="8"/>
    </row>
    <row r="73" spans="1:33" x14ac:dyDescent="0.2">
      <c r="B73" s="8"/>
      <c r="C73" s="6"/>
      <c r="G73" s="8"/>
    </row>
    <row r="74" spans="1:33" x14ac:dyDescent="0.2">
      <c r="B74" s="8"/>
      <c r="C74" s="6"/>
      <c r="G74" s="8"/>
    </row>
    <row r="75" spans="1:33" x14ac:dyDescent="0.2">
      <c r="B75" s="8"/>
      <c r="C75" s="6"/>
      <c r="G75" s="8"/>
    </row>
    <row r="76" spans="1:33" x14ac:dyDescent="0.2">
      <c r="B76" s="8"/>
      <c r="C76" s="6"/>
      <c r="G76" s="8"/>
    </row>
    <row r="77" spans="1:33" ht="13.5" x14ac:dyDescent="0.35">
      <c r="B77" s="8"/>
      <c r="C77" s="5"/>
      <c r="G77" s="8"/>
    </row>
    <row r="78" spans="1:33" x14ac:dyDescent="0.2">
      <c r="B78" s="54"/>
      <c r="G78" s="8"/>
    </row>
    <row r="79" spans="1:33" x14ac:dyDescent="0.2">
      <c r="G79" s="54"/>
    </row>
    <row r="86" spans="1:6" x14ac:dyDescent="0.2">
      <c r="A86" s="16"/>
      <c r="B86" s="16"/>
      <c r="C86" s="16"/>
      <c r="D86" s="16"/>
      <c r="E86" s="16"/>
      <c r="F86" s="16"/>
    </row>
    <row r="87" spans="1:6" x14ac:dyDescent="0.2">
      <c r="A87" s="16"/>
      <c r="B87" s="16"/>
      <c r="C87" s="16"/>
      <c r="D87" s="16"/>
      <c r="E87" s="16"/>
      <c r="F87" s="16"/>
    </row>
    <row r="88" spans="1:6" x14ac:dyDescent="0.2">
      <c r="A88" s="16"/>
      <c r="B88" s="16"/>
      <c r="C88" s="16"/>
      <c r="D88" s="16"/>
      <c r="E88" s="16"/>
      <c r="F88" s="16"/>
    </row>
    <row r="89" spans="1:6" x14ac:dyDescent="0.2">
      <c r="A89" s="16"/>
      <c r="B89" s="16"/>
      <c r="C89" s="16"/>
      <c r="D89" s="16"/>
      <c r="E89" s="16"/>
      <c r="F89" s="16"/>
    </row>
    <row r="90" spans="1:6" x14ac:dyDescent="0.2">
      <c r="A90" s="16"/>
      <c r="B90" s="16"/>
      <c r="C90" s="16"/>
      <c r="D90" s="16"/>
      <c r="E90" s="16"/>
      <c r="F90" s="16"/>
    </row>
    <row r="91" spans="1:6" x14ac:dyDescent="0.2">
      <c r="A91" s="16"/>
      <c r="B91" s="16"/>
      <c r="C91" s="16"/>
      <c r="D91" s="16"/>
      <c r="E91" s="16"/>
      <c r="F91" s="16"/>
    </row>
    <row r="92" spans="1:6" x14ac:dyDescent="0.2">
      <c r="A92" s="16"/>
      <c r="B92" s="16"/>
      <c r="C92" s="16"/>
      <c r="D92" s="16"/>
      <c r="E92" s="16"/>
      <c r="F92" s="16"/>
    </row>
    <row r="93" spans="1:6" x14ac:dyDescent="0.2">
      <c r="A93" s="16"/>
      <c r="B93" s="16"/>
      <c r="C93" s="16"/>
      <c r="D93" s="16"/>
      <c r="E93" s="16"/>
      <c r="F93" s="16"/>
    </row>
    <row r="94" spans="1:6" x14ac:dyDescent="0.2">
      <c r="A94" s="16"/>
      <c r="B94" s="16"/>
      <c r="C94" s="16"/>
      <c r="D94" s="16"/>
      <c r="E94" s="16"/>
      <c r="F94" s="16"/>
    </row>
    <row r="95" spans="1:6" x14ac:dyDescent="0.2">
      <c r="A95" s="16"/>
      <c r="B95" s="16"/>
      <c r="C95" s="16"/>
      <c r="D95" s="16"/>
      <c r="E95" s="16"/>
      <c r="F95" s="16"/>
    </row>
    <row r="96" spans="1:6" x14ac:dyDescent="0.2">
      <c r="A96" s="16"/>
      <c r="B96" s="16"/>
      <c r="C96" s="16"/>
      <c r="D96" s="16"/>
      <c r="E96" s="16"/>
      <c r="F96" s="16"/>
    </row>
    <row r="97" spans="1:6" x14ac:dyDescent="0.2">
      <c r="A97" s="16"/>
      <c r="B97" s="16"/>
      <c r="C97" s="16"/>
      <c r="D97" s="16"/>
      <c r="E97" s="16"/>
      <c r="F97" s="16"/>
    </row>
    <row r="98" spans="1:6" x14ac:dyDescent="0.2">
      <c r="A98" s="16"/>
      <c r="B98" s="16"/>
      <c r="C98" s="16"/>
      <c r="D98" s="16"/>
      <c r="E98" s="16"/>
      <c r="F98" s="16"/>
    </row>
  </sheetData>
  <mergeCells count="6">
    <mergeCell ref="AV4:AW4"/>
    <mergeCell ref="AM4:AO4"/>
    <mergeCell ref="AF4:AH4"/>
    <mergeCell ref="D4:F4"/>
    <mergeCell ref="M4:O4"/>
    <mergeCell ref="V4:X4"/>
  </mergeCells>
  <phoneticPr fontId="2" type="noConversion"/>
  <printOptions horizontalCentered="1"/>
  <pageMargins left="0.75" right="0.45" top="0.74" bottom="0.49" header="0.5" footer="0.5"/>
  <pageSetup scale="80" fitToHeight="4" orientation="portrait" r:id="rId1"/>
  <headerFooter alignWithMargins="0">
    <oddHeader>&amp;R&amp;"Times New Roman,Bold"&amp;10Attachment to Response to Question No. 6(a)(c)
Page &amp;P of &amp;N
Conroy</oddHeader>
  </headerFooter>
  <colBreaks count="3" manualBreakCount="3">
    <brk id="8" max="60" man="1"/>
    <brk id="17" max="60" man="1"/>
    <brk id="27" max="60" man="1"/>
  </colBreaks>
  <ignoredErrors>
    <ignoredError sqref="H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Req Req TME0312-by plan</vt:lpstr>
      <vt:lpstr>SuppSch RB TME0312</vt:lpstr>
      <vt:lpstr>SuppSch TME 0312</vt:lpstr>
      <vt:lpstr>Not filed==&gt;</vt:lpstr>
      <vt:lpstr>SuppSch-by Plan TME0312</vt:lpstr>
      <vt:lpstr>'Req Req TME0312-by plan'!Print_Area</vt:lpstr>
      <vt:lpstr>'SuppSch RB TME0312'!Print_Area</vt:lpstr>
      <vt:lpstr>'SuppSch TME 0312'!Print_Area</vt:lpstr>
      <vt:lpstr>'SuppSch-by Plan TME0312'!Print_Area</vt:lpstr>
      <vt:lpstr>'Req Req TME0312-by plan'!Print_Titles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2012-08-14T02:43:01Z</dcterms:created>
  <dcterms:modified xsi:type="dcterms:W3CDTF">2012-08-14T02:43:10Z</dcterms:modified>
</cp:coreProperties>
</file>