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 userName="Carol Foxworthy" reservationPassword="C6AD"/>
  <workbookPr codeName="ThisWorkbook"/>
  <bookViews>
    <workbookView xWindow="25530" yWindow="90" windowWidth="22125" windowHeight="12030" activeTab="5"/>
  </bookViews>
  <sheets>
    <sheet name="As Filed" sheetId="1" r:id="rId1"/>
    <sheet name="As Proposed" sheetId="10" r:id="rId2"/>
    <sheet name="Form A As Filed" sheetId="11" r:id="rId3"/>
    <sheet name="Form A As Proposed" sheetId="12" r:id="rId4"/>
    <sheet name="Change in Form A" sheetId="13" r:id="rId5"/>
    <sheet name="1.01" sheetId="14" r:id="rId6"/>
  </sheets>
  <externalReferences>
    <externalReference r:id="rId7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Fill" hidden="1">#REF!</definedName>
    <definedName name="_xlnm._FilterDatabase" localSheetId="0" hidden="1">'As Filed'!$B$1:$B$161</definedName>
    <definedName name="_Order1" hidden="1">0</definedName>
    <definedName name="_Order2" hidden="1">0</definedName>
    <definedName name="Choices_Wrapper">[0]!Choices_Wrapper</definedName>
    <definedName name="Comp">[0]!Comp</definedName>
    <definedName name="_xlnm.Database">'As Filed'!$A$6:$BQ$84</definedName>
    <definedName name="DataFWP">#REF!</definedName>
    <definedName name="DataWPS">#REF!</definedName>
    <definedName name="_xlnm.Print_Area" localSheetId="5">'1.01'!$A$3:$F$38</definedName>
    <definedName name="_xlnm.Print_Area" localSheetId="0">'As Filed'!#REF!</definedName>
    <definedName name="_xlnm.Print_Titles" localSheetId="0">'As Filed'!$A:$A,'As Filed'!$1:$5</definedName>
    <definedName name="test">[0]!test</definedName>
  </definedNames>
  <calcPr calcId="125725" calcMode="manual" iterate="1" iterateCount="1"/>
</workbook>
</file>

<file path=xl/calcChain.xml><?xml version="1.0" encoding="utf-8"?>
<calcChain xmlns="http://schemas.openxmlformats.org/spreadsheetml/2006/main">
  <c r="D37" i="14"/>
  <c r="F37"/>
  <c r="O32"/>
  <c r="O31"/>
  <c r="O30"/>
  <c r="O29"/>
  <c r="O28"/>
  <c r="O27"/>
  <c r="O26"/>
  <c r="O25"/>
  <c r="O24"/>
  <c r="O23"/>
  <c r="O22"/>
  <c r="O21"/>
  <c r="O33" s="1"/>
  <c r="O35" s="1"/>
  <c r="H31"/>
  <c r="M33"/>
  <c r="M35" s="1"/>
  <c r="H32"/>
  <c r="H30"/>
  <c r="H29"/>
  <c r="H28"/>
  <c r="H27"/>
  <c r="H26"/>
  <c r="H25"/>
  <c r="H24"/>
  <c r="H23"/>
  <c r="H22"/>
  <c r="H21"/>
  <c r="F33"/>
  <c r="F35" s="1"/>
  <c r="K31"/>
  <c r="K32"/>
  <c r="N68" i="12"/>
  <c r="H33" i="14" l="1"/>
  <c r="H35" s="1"/>
  <c r="K33" l="1"/>
  <c r="K35" s="1"/>
  <c r="D33"/>
  <c r="D35" s="1"/>
  <c r="B12"/>
  <c r="F5"/>
  <c r="F4"/>
  <c r="F3"/>
  <c r="N8" i="13" l="1"/>
  <c r="M8"/>
  <c r="L8"/>
  <c r="K8"/>
  <c r="J8"/>
  <c r="I8"/>
  <c r="H8"/>
  <c r="G8"/>
  <c r="F8"/>
  <c r="E8"/>
  <c r="D8"/>
  <c r="C8"/>
  <c r="D64" i="12" l="1"/>
  <c r="D66" s="1"/>
  <c r="D68" s="1"/>
  <c r="C64"/>
  <c r="C66" s="1"/>
  <c r="C68" s="1"/>
  <c r="N57" i="13"/>
  <c r="L57"/>
  <c r="J57"/>
  <c r="H57"/>
  <c r="F57"/>
  <c r="D57"/>
  <c r="D65"/>
  <c r="C65"/>
  <c r="N54"/>
  <c r="M54"/>
  <c r="M57" s="1"/>
  <c r="L54"/>
  <c r="K54"/>
  <c r="K57" s="1"/>
  <c r="J54"/>
  <c r="I54"/>
  <c r="I57" s="1"/>
  <c r="H54"/>
  <c r="G54"/>
  <c r="G57" s="1"/>
  <c r="F54"/>
  <c r="E54"/>
  <c r="E57" s="1"/>
  <c r="D54"/>
  <c r="C54"/>
  <c r="N14"/>
  <c r="M14"/>
  <c r="L14"/>
  <c r="K14"/>
  <c r="J14"/>
  <c r="I14"/>
  <c r="H14"/>
  <c r="G14"/>
  <c r="F14"/>
  <c r="E14"/>
  <c r="D14"/>
  <c r="C14"/>
  <c r="N13"/>
  <c r="M13"/>
  <c r="L13"/>
  <c r="K13"/>
  <c r="J13"/>
  <c r="I13"/>
  <c r="H13"/>
  <c r="G13"/>
  <c r="F13"/>
  <c r="E13"/>
  <c r="D13"/>
  <c r="C13"/>
  <c r="D1"/>
  <c r="E65" i="12"/>
  <c r="C62"/>
  <c r="C48"/>
  <c r="C47"/>
  <c r="C46"/>
  <c r="C43"/>
  <c r="C42"/>
  <c r="C42" i="13" s="1"/>
  <c r="C41" i="12"/>
  <c r="C40"/>
  <c r="C31"/>
  <c r="C30"/>
  <c r="C25"/>
  <c r="C24"/>
  <c r="C23"/>
  <c r="D22"/>
  <c r="C22"/>
  <c r="C21"/>
  <c r="C21" i="13" s="1"/>
  <c r="C17" i="12"/>
  <c r="C16"/>
  <c r="C16" i="13" s="1"/>
  <c r="C15" i="12"/>
  <c r="C29"/>
  <c r="C32" s="1"/>
  <c r="C63"/>
  <c r="D8"/>
  <c r="E1"/>
  <c r="D1"/>
  <c r="N21" i="11"/>
  <c r="M21"/>
  <c r="L21"/>
  <c r="K21"/>
  <c r="J21"/>
  <c r="I21"/>
  <c r="H21"/>
  <c r="G21"/>
  <c r="E21"/>
  <c r="D21"/>
  <c r="C21"/>
  <c r="F21"/>
  <c r="F97"/>
  <c r="F96"/>
  <c r="F95"/>
  <c r="F94"/>
  <c r="P34" i="1"/>
  <c r="O34"/>
  <c r="Q34" s="1"/>
  <c r="N25" i="11"/>
  <c r="M25"/>
  <c r="L25"/>
  <c r="K25"/>
  <c r="J25"/>
  <c r="I25"/>
  <c r="H25"/>
  <c r="G25"/>
  <c r="F25"/>
  <c r="E25"/>
  <c r="D25"/>
  <c r="C25"/>
  <c r="N24"/>
  <c r="M24"/>
  <c r="L24"/>
  <c r="K24"/>
  <c r="J24"/>
  <c r="I24"/>
  <c r="H24"/>
  <c r="G24"/>
  <c r="F24"/>
  <c r="E24"/>
  <c r="D24"/>
  <c r="C24"/>
  <c r="N65"/>
  <c r="M65"/>
  <c r="L65"/>
  <c r="K65"/>
  <c r="J65"/>
  <c r="I65"/>
  <c r="H65"/>
  <c r="G65"/>
  <c r="F65"/>
  <c r="E65"/>
  <c r="D62"/>
  <c r="D63" s="1"/>
  <c r="C62"/>
  <c r="C63" s="1"/>
  <c r="N62"/>
  <c r="M62"/>
  <c r="L62"/>
  <c r="K62"/>
  <c r="J62"/>
  <c r="I62"/>
  <c r="H62"/>
  <c r="G62"/>
  <c r="F62"/>
  <c r="E62"/>
  <c r="N43"/>
  <c r="M43"/>
  <c r="L43"/>
  <c r="K43"/>
  <c r="J43"/>
  <c r="I43"/>
  <c r="H43"/>
  <c r="G43"/>
  <c r="F43"/>
  <c r="E43"/>
  <c r="D43"/>
  <c r="N42"/>
  <c r="M42"/>
  <c r="L42"/>
  <c r="K42"/>
  <c r="J42"/>
  <c r="I42"/>
  <c r="H42"/>
  <c r="G42"/>
  <c r="F42"/>
  <c r="E42"/>
  <c r="D42"/>
  <c r="N41"/>
  <c r="M41"/>
  <c r="L41"/>
  <c r="K41"/>
  <c r="J41"/>
  <c r="I41"/>
  <c r="H41"/>
  <c r="G41"/>
  <c r="F41"/>
  <c r="E41"/>
  <c r="D41"/>
  <c r="N40"/>
  <c r="M40"/>
  <c r="L40"/>
  <c r="K40"/>
  <c r="J40"/>
  <c r="I40"/>
  <c r="H40"/>
  <c r="G40"/>
  <c r="F40"/>
  <c r="E40"/>
  <c r="D40"/>
  <c r="N30"/>
  <c r="M30"/>
  <c r="L30"/>
  <c r="K30"/>
  <c r="J30"/>
  <c r="I30"/>
  <c r="H30"/>
  <c r="G30"/>
  <c r="F30"/>
  <c r="E30"/>
  <c r="D30"/>
  <c r="D8"/>
  <c r="N55"/>
  <c r="M55"/>
  <c r="M57" s="1"/>
  <c r="L55"/>
  <c r="K55"/>
  <c r="J55"/>
  <c r="I55"/>
  <c r="I57" s="1"/>
  <c r="H55"/>
  <c r="H57" s="1"/>
  <c r="G55"/>
  <c r="G57" s="1"/>
  <c r="F55"/>
  <c r="F57" s="1"/>
  <c r="E55"/>
  <c r="E57" s="1"/>
  <c r="D55"/>
  <c r="D57" s="1"/>
  <c r="C55"/>
  <c r="C57" s="1"/>
  <c r="N48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D47"/>
  <c r="N46"/>
  <c r="M46"/>
  <c r="L46"/>
  <c r="K46"/>
  <c r="J46"/>
  <c r="I46"/>
  <c r="H46"/>
  <c r="G46"/>
  <c r="F46"/>
  <c r="E46"/>
  <c r="D46"/>
  <c r="C48"/>
  <c r="C47"/>
  <c r="C43"/>
  <c r="C42"/>
  <c r="C46"/>
  <c r="C41"/>
  <c r="C40"/>
  <c r="C31"/>
  <c r="C30"/>
  <c r="C29"/>
  <c r="C32" s="1"/>
  <c r="C23"/>
  <c r="C22"/>
  <c r="C15"/>
  <c r="C17"/>
  <c r="C16"/>
  <c r="L57"/>
  <c r="D1"/>
  <c r="E1" s="1"/>
  <c r="F1" s="1"/>
  <c r="G1" s="1"/>
  <c r="H1" s="1"/>
  <c r="I1" s="1"/>
  <c r="J1" s="1"/>
  <c r="K1" s="1"/>
  <c r="L1" s="1"/>
  <c r="M1" s="1"/>
  <c r="N1" s="1"/>
  <c r="N31" s="1"/>
  <c r="D66"/>
  <c r="C66"/>
  <c r="BM31" i="10"/>
  <c r="BL31"/>
  <c r="N31"/>
  <c r="BK31" s="1"/>
  <c r="BM30"/>
  <c r="BL30"/>
  <c r="N30"/>
  <c r="BK30" s="1"/>
  <c r="BM29"/>
  <c r="BL29"/>
  <c r="N29"/>
  <c r="BK29" s="1"/>
  <c r="BM28"/>
  <c r="BL28"/>
  <c r="N28"/>
  <c r="BK28" s="1"/>
  <c r="BM27"/>
  <c r="BL27"/>
  <c r="BK27"/>
  <c r="N27"/>
  <c r="BM26"/>
  <c r="BL26"/>
  <c r="N26"/>
  <c r="BK26" s="1"/>
  <c r="BM25"/>
  <c r="BL25"/>
  <c r="BK25"/>
  <c r="BD25"/>
  <c r="N25"/>
  <c r="BM24"/>
  <c r="BK24"/>
  <c r="AW24"/>
  <c r="O24"/>
  <c r="BL24" s="1"/>
  <c r="N24"/>
  <c r="BM23"/>
  <c r="BK23"/>
  <c r="AW23"/>
  <c r="O23"/>
  <c r="BL23" s="1"/>
  <c r="N23"/>
  <c r="BM22"/>
  <c r="BL22"/>
  <c r="O22"/>
  <c r="N22"/>
  <c r="BK22" s="1"/>
  <c r="BM21"/>
  <c r="BL21"/>
  <c r="BH21"/>
  <c r="AW21"/>
  <c r="N55" i="12"/>
  <c r="N21" i="10"/>
  <c r="E21"/>
  <c r="B21"/>
  <c r="BK21" s="1"/>
  <c r="BM20"/>
  <c r="BL20"/>
  <c r="BK20"/>
  <c r="BH20"/>
  <c r="BN20" s="1"/>
  <c r="AW20"/>
  <c r="N20"/>
  <c r="BM19"/>
  <c r="BL19"/>
  <c r="BK19"/>
  <c r="BG19" s="1"/>
  <c r="BF19" s="1"/>
  <c r="AW19"/>
  <c r="BU18"/>
  <c r="BT18"/>
  <c r="BM18"/>
  <c r="BL18"/>
  <c r="BK18"/>
  <c r="L55" i="12"/>
  <c r="BU17" i="10"/>
  <c r="BT17"/>
  <c r="BM17"/>
  <c r="BL17"/>
  <c r="BK17"/>
  <c r="AW17"/>
  <c r="BN19" s="1"/>
  <c r="K55" i="12"/>
  <c r="BM16" i="10"/>
  <c r="BL16"/>
  <c r="BK16"/>
  <c r="AW16"/>
  <c r="I55" i="12"/>
  <c r="BT15" i="10"/>
  <c r="BU15" s="1"/>
  <c r="BM15"/>
  <c r="BL15"/>
  <c r="BK15"/>
  <c r="AW15"/>
  <c r="BN17" s="1"/>
  <c r="BM14"/>
  <c r="BL14"/>
  <c r="BK14"/>
  <c r="H55" i="12"/>
  <c r="BM13" i="10"/>
  <c r="BL13"/>
  <c r="BK13"/>
  <c r="G55" i="12"/>
  <c r="BM12" i="10"/>
  <c r="BL12"/>
  <c r="BK12"/>
  <c r="AW12"/>
  <c r="F55" i="12"/>
  <c r="BM11" i="10"/>
  <c r="BK11"/>
  <c r="AR11"/>
  <c r="D55" i="12"/>
  <c r="AI11" i="10"/>
  <c r="Y11"/>
  <c r="Q11"/>
  <c r="BL11" s="1"/>
  <c r="P11"/>
  <c r="BM10"/>
  <c r="BL10"/>
  <c r="AE10"/>
  <c r="BK10" s="1"/>
  <c r="B10"/>
  <c r="BM9"/>
  <c r="BL9"/>
  <c r="BK9"/>
  <c r="AX9"/>
  <c r="AW9"/>
  <c r="C55" i="12"/>
  <c r="E9" i="10"/>
  <c r="B9"/>
  <c r="BM8"/>
  <c r="BL8"/>
  <c r="BK8"/>
  <c r="AX8"/>
  <c r="BM7"/>
  <c r="BL7"/>
  <c r="F7"/>
  <c r="BK7" s="1"/>
  <c r="BG7" s="1"/>
  <c r="BF7" s="1"/>
  <c r="BM6"/>
  <c r="BL6"/>
  <c r="BK6"/>
  <c r="BG6" s="1"/>
  <c r="BF6" s="1"/>
  <c r="H5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AK5" s="1"/>
  <c r="AL5" s="1"/>
  <c r="AM5" s="1"/>
  <c r="AN5" s="1"/>
  <c r="AO5" s="1"/>
  <c r="AP5" s="1"/>
  <c r="AQ5" s="1"/>
  <c r="AR5" s="1"/>
  <c r="AS5" s="1"/>
  <c r="AT5" s="1"/>
  <c r="AU5" s="1"/>
  <c r="AV5" s="1"/>
  <c r="AW5" s="1"/>
  <c r="AX5" s="1"/>
  <c r="AY5" s="1"/>
  <c r="AZ5" s="1"/>
  <c r="BA5" s="1"/>
  <c r="BB5" s="1"/>
  <c r="BC5" s="1"/>
  <c r="BD5" s="1"/>
  <c r="BE5" s="1"/>
  <c r="BF5" s="1"/>
  <c r="BG5" s="1"/>
  <c r="BH5" s="1"/>
  <c r="BI5" s="1"/>
  <c r="BJ5" s="1"/>
  <c r="BK5" s="1"/>
  <c r="BL5" s="1"/>
  <c r="BM5" s="1"/>
  <c r="BN5" s="1"/>
  <c r="BO5" s="1"/>
  <c r="BP5" s="1"/>
  <c r="BQ5" s="1"/>
  <c r="E5"/>
  <c r="F5" s="1"/>
  <c r="G5" s="1"/>
  <c r="D5"/>
  <c r="B5"/>
  <c r="C5" s="1"/>
  <c r="BM31" i="1"/>
  <c r="BL31"/>
  <c r="C30" i="13" l="1"/>
  <c r="C48"/>
  <c r="C24"/>
  <c r="C40"/>
  <c r="C46"/>
  <c r="E65"/>
  <c r="C17"/>
  <c r="C23"/>
  <c r="C31"/>
  <c r="C62"/>
  <c r="C63" s="1"/>
  <c r="C15"/>
  <c r="C25"/>
  <c r="C41"/>
  <c r="C47"/>
  <c r="C64"/>
  <c r="C66" s="1"/>
  <c r="C68" s="1"/>
  <c r="C44" i="12"/>
  <c r="C56" s="1"/>
  <c r="C43" i="13"/>
  <c r="C44" s="1"/>
  <c r="C18" i="12"/>
  <c r="D64" i="13"/>
  <c r="D66" s="1"/>
  <c r="D68" s="1"/>
  <c r="C29"/>
  <c r="C32" s="1"/>
  <c r="C69" i="12"/>
  <c r="F55" i="13"/>
  <c r="F57" i="12"/>
  <c r="N57"/>
  <c r="N55" i="13"/>
  <c r="C57" i="12"/>
  <c r="C57" i="13" s="1"/>
  <c r="C55"/>
  <c r="G55"/>
  <c r="G57" i="12"/>
  <c r="H57"/>
  <c r="H55" i="13"/>
  <c r="D57" i="12"/>
  <c r="D55" i="13"/>
  <c r="K57" i="12"/>
  <c r="K55" i="13"/>
  <c r="I57" i="12"/>
  <c r="I55" i="13"/>
  <c r="L55"/>
  <c r="L57" i="12"/>
  <c r="E55"/>
  <c r="C22" i="13"/>
  <c r="C26" s="1"/>
  <c r="J55" i="12"/>
  <c r="BH30" i="10"/>
  <c r="C26" i="12"/>
  <c r="M55"/>
  <c r="BH24" i="10"/>
  <c r="BH28"/>
  <c r="E25" i="12"/>
  <c r="E25" i="13" s="1"/>
  <c r="E24" i="12"/>
  <c r="E24" i="13" s="1"/>
  <c r="E23" i="12"/>
  <c r="E23" i="13" s="1"/>
  <c r="E22" i="12"/>
  <c r="E21"/>
  <c r="E21" i="13" s="1"/>
  <c r="E17" i="12"/>
  <c r="E16"/>
  <c r="E16" i="13" s="1"/>
  <c r="E15" i="12"/>
  <c r="E29"/>
  <c r="F1"/>
  <c r="E62"/>
  <c r="E62" i="13" s="1"/>
  <c r="E47" i="12"/>
  <c r="E47" i="13" s="1"/>
  <c r="E43" i="12"/>
  <c r="E43" i="13" s="1"/>
  <c r="E41" i="12"/>
  <c r="E41" i="13" s="1"/>
  <c r="E31" i="12"/>
  <c r="E31" i="13" s="1"/>
  <c r="G65" i="12"/>
  <c r="G65" i="13" s="1"/>
  <c r="E48" i="12"/>
  <c r="E48" i="13" s="1"/>
  <c r="E46" i="12"/>
  <c r="E46" i="13" s="1"/>
  <c r="E42" i="12"/>
  <c r="E42" i="13" s="1"/>
  <c r="E40" i="12"/>
  <c r="E40" i="13" s="1"/>
  <c r="E30" i="12"/>
  <c r="E30" i="13" s="1"/>
  <c r="F65" i="12"/>
  <c r="F65" i="13" s="1"/>
  <c r="D62" i="12"/>
  <c r="D48"/>
  <c r="D48" i="13" s="1"/>
  <c r="D47" i="12"/>
  <c r="D47" i="13" s="1"/>
  <c r="D46" i="12"/>
  <c r="D46" i="13" s="1"/>
  <c r="D43" i="12"/>
  <c r="D43" i="13" s="1"/>
  <c r="D42" i="12"/>
  <c r="D42" i="13" s="1"/>
  <c r="D41" i="12"/>
  <c r="D41" i="13" s="1"/>
  <c r="D40" i="12"/>
  <c r="D31"/>
  <c r="D30"/>
  <c r="D30" i="13" s="1"/>
  <c r="D29" i="12"/>
  <c r="C33"/>
  <c r="D15"/>
  <c r="D15" i="13" s="1"/>
  <c r="D16" i="12"/>
  <c r="D23"/>
  <c r="D17"/>
  <c r="D24"/>
  <c r="D24" i="13" s="1"/>
  <c r="E1"/>
  <c r="D21" i="12"/>
  <c r="D21" i="13" s="1"/>
  <c r="D25" i="12"/>
  <c r="D25" i="13" s="1"/>
  <c r="C26" i="11"/>
  <c r="J57"/>
  <c r="N57"/>
  <c r="K57"/>
  <c r="M44"/>
  <c r="M56" s="1"/>
  <c r="M58" s="1"/>
  <c r="M49" s="1"/>
  <c r="M50" s="1"/>
  <c r="M52" s="1"/>
  <c r="D68"/>
  <c r="D69" s="1"/>
  <c r="K44"/>
  <c r="K56" s="1"/>
  <c r="I44"/>
  <c r="I56" s="1"/>
  <c r="I58" s="1"/>
  <c r="I49" s="1"/>
  <c r="I50" s="1"/>
  <c r="C33"/>
  <c r="J16"/>
  <c r="J17"/>
  <c r="I16"/>
  <c r="E17"/>
  <c r="M17"/>
  <c r="I15"/>
  <c r="E22"/>
  <c r="I22"/>
  <c r="M22"/>
  <c r="E23"/>
  <c r="I23"/>
  <c r="M23"/>
  <c r="D29"/>
  <c r="D32" s="1"/>
  <c r="H29"/>
  <c r="H32" s="1"/>
  <c r="L29"/>
  <c r="L32" s="1"/>
  <c r="D31"/>
  <c r="H31"/>
  <c r="L31"/>
  <c r="N44"/>
  <c r="N56" s="1"/>
  <c r="N58" s="1"/>
  <c r="N49" s="1"/>
  <c r="N50" s="1"/>
  <c r="D16"/>
  <c r="H16"/>
  <c r="L16"/>
  <c r="D17"/>
  <c r="H17"/>
  <c r="L17"/>
  <c r="D15"/>
  <c r="H15"/>
  <c r="L15"/>
  <c r="D22"/>
  <c r="D22" i="13" s="1"/>
  <c r="H22" i="11"/>
  <c r="L22"/>
  <c r="D23"/>
  <c r="H23"/>
  <c r="L23"/>
  <c r="G29"/>
  <c r="G32" s="1"/>
  <c r="K29"/>
  <c r="K32" s="1"/>
  <c r="G31"/>
  <c r="K31"/>
  <c r="F16"/>
  <c r="N16"/>
  <c r="F17"/>
  <c r="N17"/>
  <c r="F15"/>
  <c r="J15"/>
  <c r="N15"/>
  <c r="F22"/>
  <c r="J22"/>
  <c r="N22"/>
  <c r="F23"/>
  <c r="J23"/>
  <c r="N23"/>
  <c r="E29"/>
  <c r="E32" s="1"/>
  <c r="I29"/>
  <c r="I32" s="1"/>
  <c r="M29"/>
  <c r="M32" s="1"/>
  <c r="E31"/>
  <c r="I31"/>
  <c r="M31"/>
  <c r="E16"/>
  <c r="M16"/>
  <c r="I17"/>
  <c r="E15"/>
  <c r="M15"/>
  <c r="D44"/>
  <c r="D56" s="1"/>
  <c r="D58" s="1"/>
  <c r="D49" s="1"/>
  <c r="D50" s="1"/>
  <c r="H44"/>
  <c r="H56" s="1"/>
  <c r="H58" s="1"/>
  <c r="H49" s="1"/>
  <c r="H50" s="1"/>
  <c r="H52" s="1"/>
  <c r="L44"/>
  <c r="L56" s="1"/>
  <c r="C68"/>
  <c r="C69" s="1"/>
  <c r="G16"/>
  <c r="K16"/>
  <c r="G17"/>
  <c r="K17"/>
  <c r="G15"/>
  <c r="K15"/>
  <c r="G22"/>
  <c r="K22"/>
  <c r="G23"/>
  <c r="K23"/>
  <c r="F29"/>
  <c r="F32" s="1"/>
  <c r="J29"/>
  <c r="J32" s="1"/>
  <c r="N29"/>
  <c r="N32" s="1"/>
  <c r="N33" s="1"/>
  <c r="F31"/>
  <c r="J31"/>
  <c r="C18"/>
  <c r="C44"/>
  <c r="L58"/>
  <c r="L49" s="1"/>
  <c r="L50" s="1"/>
  <c r="F44"/>
  <c r="F56" s="1"/>
  <c r="F58" s="1"/>
  <c r="F49" s="1"/>
  <c r="F50" s="1"/>
  <c r="J44"/>
  <c r="J56" s="1"/>
  <c r="G44"/>
  <c r="G56" s="1"/>
  <c r="BN9" i="10"/>
  <c r="BT7"/>
  <c r="BU7" s="1"/>
  <c r="BN8"/>
  <c r="BG8" s="1"/>
  <c r="BF8" s="1"/>
  <c r="BT6"/>
  <c r="BU6" s="1"/>
  <c r="BN21"/>
  <c r="BT19"/>
  <c r="BU19" s="1"/>
  <c r="BG21"/>
  <c r="BF21" s="1"/>
  <c r="BH22"/>
  <c r="BG20"/>
  <c r="BF20" s="1"/>
  <c r="E44" i="11"/>
  <c r="E56" s="1"/>
  <c r="E58" s="1"/>
  <c r="E49" s="1"/>
  <c r="E50" s="1"/>
  <c r="BG9" i="10"/>
  <c r="BF9" s="1"/>
  <c r="BH27"/>
  <c r="BH26"/>
  <c r="BH31"/>
  <c r="BG17"/>
  <c r="BH23"/>
  <c r="BH25"/>
  <c r="BH29"/>
  <c r="G58" i="11"/>
  <c r="G49" s="1"/>
  <c r="G50" s="1"/>
  <c r="N31" i="1"/>
  <c r="BK31" s="1"/>
  <c r="D23" i="13" l="1"/>
  <c r="D29"/>
  <c r="E29"/>
  <c r="D31"/>
  <c r="D17"/>
  <c r="E17"/>
  <c r="D16"/>
  <c r="E15"/>
  <c r="E22"/>
  <c r="C69"/>
  <c r="C58" i="12"/>
  <c r="C18" i="13"/>
  <c r="C33"/>
  <c r="D63" i="12"/>
  <c r="D69" s="1"/>
  <c r="D62" i="13"/>
  <c r="D63" s="1"/>
  <c r="D69" s="1"/>
  <c r="M57" i="12"/>
  <c r="M55" i="13"/>
  <c r="J55"/>
  <c r="J57" i="12"/>
  <c r="D44"/>
  <c r="D56" s="1"/>
  <c r="D58" s="1"/>
  <c r="D40" i="13"/>
  <c r="D44" s="1"/>
  <c r="D56" s="1"/>
  <c r="E57" i="12"/>
  <c r="E55" i="13"/>
  <c r="D26"/>
  <c r="D18"/>
  <c r="E32" i="12"/>
  <c r="E33" s="1"/>
  <c r="E44"/>
  <c r="F1" i="13"/>
  <c r="D32"/>
  <c r="D26" i="12"/>
  <c r="D18"/>
  <c r="D32"/>
  <c r="D33" s="1"/>
  <c r="F97"/>
  <c r="F95"/>
  <c r="H65"/>
  <c r="H65" i="13" s="1"/>
  <c r="F62" i="12"/>
  <c r="F62" i="13" s="1"/>
  <c r="F48" i="12"/>
  <c r="F48" i="13" s="1"/>
  <c r="F47" i="12"/>
  <c r="F47" i="13" s="1"/>
  <c r="F46" i="12"/>
  <c r="F46" i="13" s="1"/>
  <c r="F43" i="12"/>
  <c r="F43" i="13" s="1"/>
  <c r="F42" i="12"/>
  <c r="F42" i="13" s="1"/>
  <c r="F41" i="12"/>
  <c r="F41" i="13" s="1"/>
  <c r="F40" i="12"/>
  <c r="F40" i="13" s="1"/>
  <c r="F31" i="12"/>
  <c r="F31" i="13" s="1"/>
  <c r="F30" i="12"/>
  <c r="F30" i="13" s="1"/>
  <c r="F29" i="12"/>
  <c r="F29" i="13" s="1"/>
  <c r="F22" i="12"/>
  <c r="F22" i="13" s="1"/>
  <c r="F24" i="12"/>
  <c r="F24" i="13" s="1"/>
  <c r="F94" i="12"/>
  <c r="F25"/>
  <c r="F25" i="13" s="1"/>
  <c r="F21" i="12"/>
  <c r="F21" i="13" s="1"/>
  <c r="G1" i="12"/>
  <c r="F96"/>
  <c r="F17"/>
  <c r="F17" i="13" s="1"/>
  <c r="F23" i="12"/>
  <c r="F23" i="13" s="1"/>
  <c r="F16" i="12"/>
  <c r="F16" i="13" s="1"/>
  <c r="F15" i="12"/>
  <c r="F15" i="13" s="1"/>
  <c r="E26" i="12"/>
  <c r="E18"/>
  <c r="F26" i="11"/>
  <c r="N26"/>
  <c r="E33"/>
  <c r="D26"/>
  <c r="K58"/>
  <c r="K49" s="1"/>
  <c r="K50" s="1"/>
  <c r="K52" s="1"/>
  <c r="K5" s="1"/>
  <c r="M64" s="1"/>
  <c r="M66" s="1"/>
  <c r="J58"/>
  <c r="J49" s="1"/>
  <c r="J50" s="1"/>
  <c r="J52" s="1"/>
  <c r="I18"/>
  <c r="I26"/>
  <c r="H26"/>
  <c r="E26"/>
  <c r="G18"/>
  <c r="G26"/>
  <c r="K26"/>
  <c r="J26"/>
  <c r="F18"/>
  <c r="L26"/>
  <c r="M26"/>
  <c r="J18"/>
  <c r="K18"/>
  <c r="N18"/>
  <c r="L18"/>
  <c r="D18"/>
  <c r="M18"/>
  <c r="H18"/>
  <c r="I33"/>
  <c r="E18"/>
  <c r="C56"/>
  <c r="C58" s="1"/>
  <c r="C49" s="1"/>
  <c r="C50" s="1"/>
  <c r="C52" s="1"/>
  <c r="L52"/>
  <c r="L70" s="1"/>
  <c r="L71" s="1"/>
  <c r="L33"/>
  <c r="I52"/>
  <c r="I70" s="1"/>
  <c r="I71" s="1"/>
  <c r="F52"/>
  <c r="F70" s="1"/>
  <c r="F71" s="1"/>
  <c r="D52"/>
  <c r="D5" s="1"/>
  <c r="F64" s="1"/>
  <c r="F66" s="1"/>
  <c r="G33"/>
  <c r="M33"/>
  <c r="N52"/>
  <c r="N5" s="1"/>
  <c r="G52"/>
  <c r="G5" s="1"/>
  <c r="I64" s="1"/>
  <c r="I66" s="1"/>
  <c r="H33"/>
  <c r="F33"/>
  <c r="J33"/>
  <c r="D33"/>
  <c r="K33"/>
  <c r="E52"/>
  <c r="E5" s="1"/>
  <c r="G64" s="1"/>
  <c r="G66" s="1"/>
  <c r="BN10" i="10"/>
  <c r="BG10" s="1"/>
  <c r="BF10" s="1"/>
  <c r="BT8"/>
  <c r="BU8" s="1"/>
  <c r="BN22"/>
  <c r="BG22" s="1"/>
  <c r="BF22" s="1"/>
  <c r="BT20"/>
  <c r="BU20" s="1"/>
  <c r="M5" i="11"/>
  <c r="M70"/>
  <c r="M71" s="1"/>
  <c r="BN11" i="10"/>
  <c r="BG11" s="1"/>
  <c r="BF11" s="1"/>
  <c r="BT9"/>
  <c r="BU9" s="1"/>
  <c r="H5" i="11"/>
  <c r="J64" s="1"/>
  <c r="J66" s="1"/>
  <c r="H70"/>
  <c r="H71" s="1"/>
  <c r="BT21" i="10"/>
  <c r="BU21" s="1"/>
  <c r="BN23"/>
  <c r="BG23" s="1"/>
  <c r="BF23" s="1"/>
  <c r="D33" i="13" l="1"/>
  <c r="C56"/>
  <c r="C49" i="12"/>
  <c r="C50" s="1"/>
  <c r="C52" s="1"/>
  <c r="C5" s="1"/>
  <c r="C58" i="13"/>
  <c r="C49" s="1"/>
  <c r="C50" s="1"/>
  <c r="C52" s="1"/>
  <c r="C5" s="1"/>
  <c r="D49" i="12"/>
  <c r="D50" s="1"/>
  <c r="D52" s="1"/>
  <c r="D70" s="1"/>
  <c r="D58" i="13"/>
  <c r="D49"/>
  <c r="D50" s="1"/>
  <c r="D52" s="1"/>
  <c r="D70" s="1"/>
  <c r="C70"/>
  <c r="D5" i="12"/>
  <c r="F26"/>
  <c r="F18"/>
  <c r="F32"/>
  <c r="F33" s="1"/>
  <c r="E64"/>
  <c r="F44"/>
  <c r="E56"/>
  <c r="E58" s="1"/>
  <c r="E26" i="13"/>
  <c r="E18"/>
  <c r="F95"/>
  <c r="G1"/>
  <c r="F97"/>
  <c r="F96"/>
  <c r="F94"/>
  <c r="G25" i="12"/>
  <c r="G25" i="13" s="1"/>
  <c r="G24" i="12"/>
  <c r="G24" i="13" s="1"/>
  <c r="G23" i="12"/>
  <c r="G23" i="13" s="1"/>
  <c r="G22" i="12"/>
  <c r="G22" i="13" s="1"/>
  <c r="G21" i="12"/>
  <c r="G21" i="13" s="1"/>
  <c r="G17" i="12"/>
  <c r="G17" i="13" s="1"/>
  <c r="G16" i="12"/>
  <c r="G16" i="13" s="1"/>
  <c r="I65" i="12"/>
  <c r="I65" i="13" s="1"/>
  <c r="G48" i="12"/>
  <c r="G48" i="13" s="1"/>
  <c r="G46" i="12"/>
  <c r="G46" i="13" s="1"/>
  <c r="G42" i="12"/>
  <c r="G42" i="13" s="1"/>
  <c r="G40" i="12"/>
  <c r="G40" i="13" s="1"/>
  <c r="G30" i="12"/>
  <c r="G30" i="13" s="1"/>
  <c r="G15" i="12"/>
  <c r="G15" i="13" s="1"/>
  <c r="G62" i="12"/>
  <c r="G62" i="13" s="1"/>
  <c r="G47" i="12"/>
  <c r="G47" i="13" s="1"/>
  <c r="G31" i="12"/>
  <c r="G31" i="13" s="1"/>
  <c r="H1" i="12"/>
  <c r="G43"/>
  <c r="G43" i="13" s="1"/>
  <c r="G41" i="12"/>
  <c r="G41" i="13" s="1"/>
  <c r="G29" i="12"/>
  <c r="G29" i="13" s="1"/>
  <c r="E32"/>
  <c r="E33" s="1"/>
  <c r="E44"/>
  <c r="L5" i="11"/>
  <c r="N64" s="1"/>
  <c r="N66" s="1"/>
  <c r="J70"/>
  <c r="J71" s="1"/>
  <c r="J72" s="1"/>
  <c r="J5"/>
  <c r="L64" s="1"/>
  <c r="L66" s="1"/>
  <c r="F5"/>
  <c r="H64" s="1"/>
  <c r="H66" s="1"/>
  <c r="I5"/>
  <c r="K64" s="1"/>
  <c r="K66" s="1"/>
  <c r="C70"/>
  <c r="C5"/>
  <c r="E64" s="1"/>
  <c r="E66" s="1"/>
  <c r="N70"/>
  <c r="N71" s="1"/>
  <c r="K70"/>
  <c r="K71" s="1"/>
  <c r="D70"/>
  <c r="D71" s="1"/>
  <c r="G70"/>
  <c r="G71" s="1"/>
  <c r="E70"/>
  <c r="E71" s="1"/>
  <c r="BV10" i="10"/>
  <c r="BW10" s="1"/>
  <c r="BT22"/>
  <c r="BU22" s="1"/>
  <c r="BN24"/>
  <c r="BG24" s="1"/>
  <c r="BF24" s="1"/>
  <c r="BT10"/>
  <c r="BU10" s="1"/>
  <c r="BN12"/>
  <c r="BG12" s="1"/>
  <c r="BF12" s="1"/>
  <c r="BT11"/>
  <c r="BU11" s="1"/>
  <c r="BN13"/>
  <c r="BG13" s="1"/>
  <c r="BF13" s="1"/>
  <c r="M72" i="11"/>
  <c r="F72"/>
  <c r="L72"/>
  <c r="BT23" i="10"/>
  <c r="BU23" s="1"/>
  <c r="BN25"/>
  <c r="BG25" s="1"/>
  <c r="BF25" s="1"/>
  <c r="H72" i="11"/>
  <c r="I72"/>
  <c r="BM30" i="1"/>
  <c r="BL30"/>
  <c r="N30"/>
  <c r="BK30" s="1"/>
  <c r="AO10"/>
  <c r="AO9"/>
  <c r="AO8"/>
  <c r="AO7"/>
  <c r="AO6"/>
  <c r="C70" i="12" l="1"/>
  <c r="C71" s="1"/>
  <c r="C71" i="13" s="1"/>
  <c r="C72" s="1"/>
  <c r="C73" s="1"/>
  <c r="C35" s="1"/>
  <c r="C37" s="1"/>
  <c r="C4" s="1"/>
  <c r="D5"/>
  <c r="E49" i="12"/>
  <c r="E50" s="1"/>
  <c r="E52" s="1"/>
  <c r="E5" s="1"/>
  <c r="E58" i="13"/>
  <c r="C72" i="12"/>
  <c r="C73" s="1"/>
  <c r="C35" s="1"/>
  <c r="C37" s="1"/>
  <c r="C4" s="1"/>
  <c r="C7" s="1"/>
  <c r="E66"/>
  <c r="E64" i="13"/>
  <c r="E66" s="1"/>
  <c r="F32"/>
  <c r="F33" s="1"/>
  <c r="F56" i="12"/>
  <c r="F58" s="1"/>
  <c r="E56" i="13"/>
  <c r="G32" i="12"/>
  <c r="G33" s="1"/>
  <c r="F26" i="13"/>
  <c r="F18"/>
  <c r="D71" i="12"/>
  <c r="H1" i="13"/>
  <c r="G44"/>
  <c r="J65" i="12"/>
  <c r="J65" i="13" s="1"/>
  <c r="H62" i="12"/>
  <c r="H62" i="13" s="1"/>
  <c r="H48" i="12"/>
  <c r="H48" i="13" s="1"/>
  <c r="H47" i="12"/>
  <c r="H47" i="13" s="1"/>
  <c r="H46" i="12"/>
  <c r="H46" i="13" s="1"/>
  <c r="H43" i="12"/>
  <c r="H43" i="13" s="1"/>
  <c r="H42" i="12"/>
  <c r="H42" i="13" s="1"/>
  <c r="H41" i="12"/>
  <c r="H41" i="13" s="1"/>
  <c r="H40" i="12"/>
  <c r="H31"/>
  <c r="H31" i="13" s="1"/>
  <c r="H30" i="12"/>
  <c r="H30" i="13" s="1"/>
  <c r="H29" i="12"/>
  <c r="H29" i="13" s="1"/>
  <c r="H23" i="12"/>
  <c r="H23" i="13" s="1"/>
  <c r="H16" i="12"/>
  <c r="H16" i="13" s="1"/>
  <c r="H25" i="12"/>
  <c r="H25" i="13" s="1"/>
  <c r="H22" i="12"/>
  <c r="H22" i="13" s="1"/>
  <c r="H15" i="12"/>
  <c r="H15" i="13" s="1"/>
  <c r="H21" i="12"/>
  <c r="H21" i="13" s="1"/>
  <c r="H24" i="12"/>
  <c r="H24" i="13" s="1"/>
  <c r="H17" i="12"/>
  <c r="H17" i="13" s="1"/>
  <c r="I1" i="12"/>
  <c r="G26"/>
  <c r="G18"/>
  <c r="F64"/>
  <c r="G44"/>
  <c r="F44" i="13"/>
  <c r="C71" i="11"/>
  <c r="C72" s="1"/>
  <c r="C73" s="1"/>
  <c r="C35" s="1"/>
  <c r="C37" s="1"/>
  <c r="C4" s="1"/>
  <c r="C7" s="1"/>
  <c r="C9" s="1"/>
  <c r="E61" s="1"/>
  <c r="G72"/>
  <c r="D72"/>
  <c r="D73" s="1"/>
  <c r="D35" s="1"/>
  <c r="D37" s="1"/>
  <c r="D4" s="1"/>
  <c r="D7" s="1"/>
  <c r="D9" s="1"/>
  <c r="F61" s="1"/>
  <c r="K72"/>
  <c r="N72"/>
  <c r="E72"/>
  <c r="BN27" i="10"/>
  <c r="BG27" s="1"/>
  <c r="BF27" s="1"/>
  <c r="BT25"/>
  <c r="BU25" s="1"/>
  <c r="BT13"/>
  <c r="BU13" s="1"/>
  <c r="BN15"/>
  <c r="BG15" s="1"/>
  <c r="BN26"/>
  <c r="BG26" s="1"/>
  <c r="BF26" s="1"/>
  <c r="BT24"/>
  <c r="BU24" s="1"/>
  <c r="BT12"/>
  <c r="BU12" s="1"/>
  <c r="BN14"/>
  <c r="BG14" s="1"/>
  <c r="BF14" s="1"/>
  <c r="C9" i="12" l="1"/>
  <c r="C7" i="13"/>
  <c r="E70" i="12"/>
  <c r="E49" i="13"/>
  <c r="E50" s="1"/>
  <c r="E52" s="1"/>
  <c r="F49" i="12"/>
  <c r="F50" s="1"/>
  <c r="F52" s="1"/>
  <c r="F5" s="1"/>
  <c r="F58" i="13"/>
  <c r="H44" i="12"/>
  <c r="H56" s="1"/>
  <c r="H58" s="1"/>
  <c r="H40" i="13"/>
  <c r="H44" s="1"/>
  <c r="F66" i="12"/>
  <c r="F64" i="13"/>
  <c r="F66" s="1"/>
  <c r="D72" i="12"/>
  <c r="D73" s="1"/>
  <c r="D35" s="1"/>
  <c r="D37" s="1"/>
  <c r="D4" s="1"/>
  <c r="D7" s="1"/>
  <c r="D71" i="13"/>
  <c r="D72" s="1"/>
  <c r="D73" s="1"/>
  <c r="D35" s="1"/>
  <c r="D37" s="1"/>
  <c r="D4" s="1"/>
  <c r="F70" i="12"/>
  <c r="E5" i="13"/>
  <c r="E70"/>
  <c r="G26"/>
  <c r="G18"/>
  <c r="G32"/>
  <c r="G33" s="1"/>
  <c r="G64" i="12"/>
  <c r="G56"/>
  <c r="G58" s="1"/>
  <c r="I1" i="13"/>
  <c r="I25" i="12"/>
  <c r="I25" i="13" s="1"/>
  <c r="I24" i="12"/>
  <c r="I24" i="13" s="1"/>
  <c r="I23" i="12"/>
  <c r="I23" i="13" s="1"/>
  <c r="I22" i="12"/>
  <c r="I22" i="13" s="1"/>
  <c r="I21" i="12"/>
  <c r="I21" i="13" s="1"/>
  <c r="I17" i="12"/>
  <c r="I17" i="13" s="1"/>
  <c r="I16" i="12"/>
  <c r="I16" i="13" s="1"/>
  <c r="I15" i="12"/>
  <c r="I15" i="13" s="1"/>
  <c r="J1" i="12"/>
  <c r="K65"/>
  <c r="K65" i="13" s="1"/>
  <c r="I48" i="12"/>
  <c r="I48" i="13" s="1"/>
  <c r="I46" i="12"/>
  <c r="I46" i="13" s="1"/>
  <c r="I42" i="12"/>
  <c r="I42" i="13" s="1"/>
  <c r="I40" i="12"/>
  <c r="I40" i="13" s="1"/>
  <c r="I30" i="12"/>
  <c r="I30" i="13" s="1"/>
  <c r="I62" i="12"/>
  <c r="I62" i="13" s="1"/>
  <c r="I47" i="12"/>
  <c r="I47" i="13" s="1"/>
  <c r="I43" i="12"/>
  <c r="I43" i="13" s="1"/>
  <c r="I41" i="12"/>
  <c r="I41" i="13" s="1"/>
  <c r="I31" i="12"/>
  <c r="I31" i="13" s="1"/>
  <c r="I29" i="12"/>
  <c r="I29" i="13" s="1"/>
  <c r="G56"/>
  <c r="E71" i="12"/>
  <c r="E71" i="13" s="1"/>
  <c r="F56"/>
  <c r="H26" i="12"/>
  <c r="H18"/>
  <c r="H32"/>
  <c r="H33" s="1"/>
  <c r="E63" i="11"/>
  <c r="E68"/>
  <c r="F63"/>
  <c r="F68"/>
  <c r="BT26" i="10"/>
  <c r="BU26" s="1"/>
  <c r="BN28"/>
  <c r="BG28" s="1"/>
  <c r="BF28" s="1"/>
  <c r="BN29"/>
  <c r="BG29" s="1"/>
  <c r="BF29" s="1"/>
  <c r="BT27"/>
  <c r="BU27" s="1"/>
  <c r="BT14"/>
  <c r="BU14" s="1"/>
  <c r="BN16"/>
  <c r="BG16" s="1"/>
  <c r="BF16" s="1"/>
  <c r="BM29" i="1"/>
  <c r="BL29"/>
  <c r="D9" i="12" l="1"/>
  <c r="D7" i="13"/>
  <c r="E61" i="12"/>
  <c r="C9" i="13"/>
  <c r="E61" s="1"/>
  <c r="G49"/>
  <c r="G50" s="1"/>
  <c r="G52" s="1"/>
  <c r="G70" s="1"/>
  <c r="H49" i="12"/>
  <c r="H50" s="1"/>
  <c r="H52" s="1"/>
  <c r="H5" s="1"/>
  <c r="H58" i="13"/>
  <c r="F49"/>
  <c r="F50" s="1"/>
  <c r="F52" s="1"/>
  <c r="G49" i="12"/>
  <c r="G50" s="1"/>
  <c r="G52" s="1"/>
  <c r="G70" s="1"/>
  <c r="G58" i="13"/>
  <c r="E72"/>
  <c r="E72" i="12"/>
  <c r="G66"/>
  <c r="G64" i="13"/>
  <c r="G66" s="1"/>
  <c r="F70"/>
  <c r="F5"/>
  <c r="J1"/>
  <c r="H56"/>
  <c r="H49" s="1"/>
  <c r="H50" s="1"/>
  <c r="H52" s="1"/>
  <c r="F71" i="12"/>
  <c r="I32"/>
  <c r="I33" s="1"/>
  <c r="L65"/>
  <c r="L65" i="13" s="1"/>
  <c r="J62" i="12"/>
  <c r="J62" i="13" s="1"/>
  <c r="J48" i="12"/>
  <c r="J48" i="13" s="1"/>
  <c r="J47" i="12"/>
  <c r="J47" i="13" s="1"/>
  <c r="J46" i="12"/>
  <c r="J46" i="13" s="1"/>
  <c r="J43" i="12"/>
  <c r="J43" i="13" s="1"/>
  <c r="J42" i="12"/>
  <c r="J42" i="13" s="1"/>
  <c r="J41" i="12"/>
  <c r="J41" i="13" s="1"/>
  <c r="J40" i="12"/>
  <c r="J31"/>
  <c r="J31" i="13" s="1"/>
  <c r="J30" i="12"/>
  <c r="J30" i="13" s="1"/>
  <c r="J29" i="12"/>
  <c r="J29" i="13" s="1"/>
  <c r="J24" i="12"/>
  <c r="J24" i="13" s="1"/>
  <c r="J17" i="12"/>
  <c r="J17" i="13" s="1"/>
  <c r="J22" i="12"/>
  <c r="J22" i="13" s="1"/>
  <c r="J15" i="12"/>
  <c r="J15" i="13" s="1"/>
  <c r="J25" i="12"/>
  <c r="J25" i="13" s="1"/>
  <c r="J23" i="12"/>
  <c r="J23" i="13" s="1"/>
  <c r="J16" i="12"/>
  <c r="J16" i="13" s="1"/>
  <c r="K1" i="12"/>
  <c r="J21"/>
  <c r="J21" i="13" s="1"/>
  <c r="H64" i="12"/>
  <c r="H26" i="13"/>
  <c r="H18"/>
  <c r="I26" i="12"/>
  <c r="I18"/>
  <c r="H32" i="13"/>
  <c r="H33" s="1"/>
  <c r="I44" i="12"/>
  <c r="E69" i="11"/>
  <c r="E73" s="1"/>
  <c r="E35" s="1"/>
  <c r="E37" s="1"/>
  <c r="E4" s="1"/>
  <c r="E7" s="1"/>
  <c r="E9" s="1"/>
  <c r="G61" s="1"/>
  <c r="F69"/>
  <c r="F73" s="1"/>
  <c r="F35" s="1"/>
  <c r="F37" s="1"/>
  <c r="F4" s="1"/>
  <c r="F7" s="1"/>
  <c r="F9" s="1"/>
  <c r="H61" s="1"/>
  <c r="BN18" i="10"/>
  <c r="BG18" s="1"/>
  <c r="BT16"/>
  <c r="BU16" s="1"/>
  <c r="BN31"/>
  <c r="BG31" s="1"/>
  <c r="BF31" s="1"/>
  <c r="BT29"/>
  <c r="BU29" s="1"/>
  <c r="BV22"/>
  <c r="BW22" s="1"/>
  <c r="BT28"/>
  <c r="BU28" s="1"/>
  <c r="BN30"/>
  <c r="BG30" s="1"/>
  <c r="BF30" s="1"/>
  <c r="N29" i="1"/>
  <c r="BK29" s="1"/>
  <c r="E63" i="13" l="1"/>
  <c r="E68"/>
  <c r="G5" i="12"/>
  <c r="F61"/>
  <c r="D9" i="13"/>
  <c r="F61" s="1"/>
  <c r="E63" i="12"/>
  <c r="E68"/>
  <c r="E69" s="1"/>
  <c r="E73" s="1"/>
  <c r="E35" s="1"/>
  <c r="E37" s="1"/>
  <c r="E4" s="1"/>
  <c r="E7" s="1"/>
  <c r="G5" i="13"/>
  <c r="H70" i="12"/>
  <c r="H71" s="1"/>
  <c r="F72"/>
  <c r="F71" i="13"/>
  <c r="F72" s="1"/>
  <c r="J44" i="12"/>
  <c r="J56" s="1"/>
  <c r="J58" s="1"/>
  <c r="J40" i="13"/>
  <c r="H66" i="12"/>
  <c r="H64" i="13"/>
  <c r="H70"/>
  <c r="H5"/>
  <c r="J26" i="12"/>
  <c r="J18"/>
  <c r="I26" i="13"/>
  <c r="I18"/>
  <c r="J64" i="12"/>
  <c r="G71"/>
  <c r="I44" i="13"/>
  <c r="I56" i="12"/>
  <c r="I58" s="1"/>
  <c r="I32" i="13"/>
  <c r="I33" s="1"/>
  <c r="K25" i="12"/>
  <c r="K25" i="13" s="1"/>
  <c r="K24" i="12"/>
  <c r="K24" i="13" s="1"/>
  <c r="K23" i="12"/>
  <c r="K23" i="13" s="1"/>
  <c r="K22" i="12"/>
  <c r="K22" i="13" s="1"/>
  <c r="K21" i="12"/>
  <c r="K21" i="13" s="1"/>
  <c r="K17" i="12"/>
  <c r="K17" i="13" s="1"/>
  <c r="K16" i="12"/>
  <c r="K16" i="13" s="1"/>
  <c r="K15" i="12"/>
  <c r="K15" i="13" s="1"/>
  <c r="K62" i="12"/>
  <c r="K62" i="13" s="1"/>
  <c r="K47" i="12"/>
  <c r="K47" i="13" s="1"/>
  <c r="K43" i="12"/>
  <c r="K43" i="13" s="1"/>
  <c r="K41" i="12"/>
  <c r="K41" i="13" s="1"/>
  <c r="K31" i="12"/>
  <c r="K31" i="13" s="1"/>
  <c r="K29" i="12"/>
  <c r="K29" i="13" s="1"/>
  <c r="K48" i="12"/>
  <c r="K48" i="13" s="1"/>
  <c r="K46" i="12"/>
  <c r="K46" i="13" s="1"/>
  <c r="K30" i="12"/>
  <c r="K30" i="13" s="1"/>
  <c r="M65" i="12"/>
  <c r="M65" i="13" s="1"/>
  <c r="K42" i="12"/>
  <c r="K42" i="13" s="1"/>
  <c r="K40" i="12"/>
  <c r="L1"/>
  <c r="J32"/>
  <c r="J33" s="1"/>
  <c r="K1" i="13"/>
  <c r="H66"/>
  <c r="I64" i="12"/>
  <c r="H63" i="11"/>
  <c r="H69" s="1"/>
  <c r="H73" s="1"/>
  <c r="H35" s="1"/>
  <c r="H37" s="1"/>
  <c r="H4" s="1"/>
  <c r="H7" s="1"/>
  <c r="H9" s="1"/>
  <c r="J61" s="1"/>
  <c r="J68" s="1"/>
  <c r="H68"/>
  <c r="G63"/>
  <c r="G68"/>
  <c r="BM28" i="1"/>
  <c r="BL28"/>
  <c r="N28"/>
  <c r="BK28" s="1"/>
  <c r="N27"/>
  <c r="E9" i="12" l="1"/>
  <c r="E7" i="13"/>
  <c r="F63"/>
  <c r="F68"/>
  <c r="E69"/>
  <c r="E73" s="1"/>
  <c r="E35" s="1"/>
  <c r="E37" s="1"/>
  <c r="E4" s="1"/>
  <c r="F63" i="12"/>
  <c r="F68"/>
  <c r="J49"/>
  <c r="J50" s="1"/>
  <c r="J52" s="1"/>
  <c r="J5" s="1"/>
  <c r="J58" i="13"/>
  <c r="I49" i="12"/>
  <c r="I50" s="1"/>
  <c r="I52" s="1"/>
  <c r="I70" s="1"/>
  <c r="I58" i="13"/>
  <c r="H72" i="12"/>
  <c r="H71" i="13"/>
  <c r="H72" s="1"/>
  <c r="J66" i="12"/>
  <c r="J64" i="13"/>
  <c r="J66" s="1"/>
  <c r="I66" i="12"/>
  <c r="I64" i="13"/>
  <c r="I66" s="1"/>
  <c r="G72" i="12"/>
  <c r="G71" i="13"/>
  <c r="G72" s="1"/>
  <c r="K44" i="12"/>
  <c r="K56" s="1"/>
  <c r="K58" s="1"/>
  <c r="K40" i="13"/>
  <c r="J70" i="12"/>
  <c r="J26" i="13"/>
  <c r="J18"/>
  <c r="J32"/>
  <c r="J33" s="1"/>
  <c r="K32" i="12"/>
  <c r="K33" s="1"/>
  <c r="K18"/>
  <c r="K26"/>
  <c r="I56" i="13"/>
  <c r="I49" s="1"/>
  <c r="I50" s="1"/>
  <c r="I52" s="1"/>
  <c r="L1"/>
  <c r="J44"/>
  <c r="N65" i="12"/>
  <c r="N65" i="13" s="1"/>
  <c r="L62" i="12"/>
  <c r="L62" i="13" s="1"/>
  <c r="L48" i="12"/>
  <c r="L48" i="13" s="1"/>
  <c r="L47" i="12"/>
  <c r="L47" i="13" s="1"/>
  <c r="L46" i="12"/>
  <c r="L46" i="13" s="1"/>
  <c r="L43" i="12"/>
  <c r="L43" i="13" s="1"/>
  <c r="L42" i="12"/>
  <c r="L42" i="13" s="1"/>
  <c r="L41" i="12"/>
  <c r="L41" i="13" s="1"/>
  <c r="L40" i="12"/>
  <c r="L31"/>
  <c r="L31" i="13" s="1"/>
  <c r="L30" i="12"/>
  <c r="L30" i="13" s="1"/>
  <c r="L29" i="12"/>
  <c r="L29" i="13" s="1"/>
  <c r="L25" i="12"/>
  <c r="L25" i="13" s="1"/>
  <c r="L21" i="12"/>
  <c r="L21" i="13" s="1"/>
  <c r="L24" i="12"/>
  <c r="L24" i="13" s="1"/>
  <c r="L17" i="12"/>
  <c r="L17" i="13" s="1"/>
  <c r="L23" i="12"/>
  <c r="L23" i="13" s="1"/>
  <c r="L16" i="12"/>
  <c r="L16" i="13" s="1"/>
  <c r="L22" i="12"/>
  <c r="L22" i="13" s="1"/>
  <c r="L15" i="12"/>
  <c r="L15" i="13" s="1"/>
  <c r="M1" i="12"/>
  <c r="G69" i="11"/>
  <c r="G73" s="1"/>
  <c r="G35" s="1"/>
  <c r="G37" s="1"/>
  <c r="G4" s="1"/>
  <c r="G7" s="1"/>
  <c r="G9" s="1"/>
  <c r="I61" s="1"/>
  <c r="I68" s="1"/>
  <c r="J63"/>
  <c r="J69" s="1"/>
  <c r="J73" s="1"/>
  <c r="J35" s="1"/>
  <c r="J37" s="1"/>
  <c r="J4" s="1"/>
  <c r="J7" s="1"/>
  <c r="J9" s="1"/>
  <c r="L61" s="1"/>
  <c r="L68" s="1"/>
  <c r="BK27" i="1"/>
  <c r="BM27"/>
  <c r="BL27"/>
  <c r="BT18"/>
  <c r="BU18" s="1"/>
  <c r="BU17"/>
  <c r="BT17"/>
  <c r="BT15"/>
  <c r="BU15" s="1"/>
  <c r="G61" i="12" l="1"/>
  <c r="E9" i="13"/>
  <c r="G61" s="1"/>
  <c r="I5" i="12"/>
  <c r="F69"/>
  <c r="F73" s="1"/>
  <c r="F35" s="1"/>
  <c r="F37" s="1"/>
  <c r="F4" s="1"/>
  <c r="F7" s="1"/>
  <c r="F69" i="13"/>
  <c r="F73" s="1"/>
  <c r="F35" s="1"/>
  <c r="F37" s="1"/>
  <c r="F4" s="1"/>
  <c r="K49" i="12"/>
  <c r="K50" s="1"/>
  <c r="K52" s="1"/>
  <c r="K5" s="1"/>
  <c r="K58" i="13"/>
  <c r="L44" i="12"/>
  <c r="L56" s="1"/>
  <c r="L58" s="1"/>
  <c r="L40" i="13"/>
  <c r="K70" i="12"/>
  <c r="M25"/>
  <c r="M25" i="13" s="1"/>
  <c r="M24" i="12"/>
  <c r="M24" i="13" s="1"/>
  <c r="M23" i="12"/>
  <c r="M23" i="13" s="1"/>
  <c r="M22" i="12"/>
  <c r="M22" i="13" s="1"/>
  <c r="M21" i="12"/>
  <c r="M21" i="13" s="1"/>
  <c r="M17" i="12"/>
  <c r="M17" i="13" s="1"/>
  <c r="M16" i="12"/>
  <c r="M16" i="13" s="1"/>
  <c r="M15" i="12"/>
  <c r="M15" i="13" s="1"/>
  <c r="N1" i="12"/>
  <c r="M62"/>
  <c r="M62" i="13" s="1"/>
  <c r="M47" i="12"/>
  <c r="M47" i="13" s="1"/>
  <c r="M43" i="12"/>
  <c r="M43" i="13" s="1"/>
  <c r="M41" i="12"/>
  <c r="M41" i="13" s="1"/>
  <c r="M31" i="12"/>
  <c r="M31" i="13" s="1"/>
  <c r="M29" i="12"/>
  <c r="M29" i="13" s="1"/>
  <c r="M48" i="12"/>
  <c r="M48" i="13" s="1"/>
  <c r="M46" i="12"/>
  <c r="M46" i="13" s="1"/>
  <c r="M42" i="12"/>
  <c r="M42" i="13" s="1"/>
  <c r="M40" i="12"/>
  <c r="M40" i="13" s="1"/>
  <c r="M30" i="12"/>
  <c r="M30" i="13" s="1"/>
  <c r="K26"/>
  <c r="K18"/>
  <c r="J71" i="12"/>
  <c r="M1" i="13"/>
  <c r="I71" i="12"/>
  <c r="L64"/>
  <c r="J56" i="13"/>
  <c r="J49" s="1"/>
  <c r="J50" s="1"/>
  <c r="J52" s="1"/>
  <c r="L26" i="12"/>
  <c r="L18"/>
  <c r="L32"/>
  <c r="L33" s="1"/>
  <c r="K32" i="13"/>
  <c r="K33" s="1"/>
  <c r="I5"/>
  <c r="I70"/>
  <c r="K64" i="12"/>
  <c r="K44" i="13"/>
  <c r="I63" i="11"/>
  <c r="I69" s="1"/>
  <c r="I73" s="1"/>
  <c r="I35" s="1"/>
  <c r="I37" s="1"/>
  <c r="I4" s="1"/>
  <c r="I7" s="1"/>
  <c r="I9" s="1"/>
  <c r="K61" s="1"/>
  <c r="K68" s="1"/>
  <c r="L63"/>
  <c r="L69" s="1"/>
  <c r="L73" s="1"/>
  <c r="L35" s="1"/>
  <c r="L37" s="1"/>
  <c r="L4" s="1"/>
  <c r="L7" s="1"/>
  <c r="L9" s="1"/>
  <c r="N61" s="1"/>
  <c r="N68" s="1"/>
  <c r="BM26" i="1"/>
  <c r="BL26"/>
  <c r="N26"/>
  <c r="N25"/>
  <c r="BK25" s="1"/>
  <c r="BL25"/>
  <c r="BM25"/>
  <c r="G63" i="13" l="1"/>
  <c r="G68"/>
  <c r="G69" s="1"/>
  <c r="G73" s="1"/>
  <c r="G35" s="1"/>
  <c r="G37" s="1"/>
  <c r="G4" s="1"/>
  <c r="G63" i="12"/>
  <c r="G68"/>
  <c r="F9"/>
  <c r="F7" i="13"/>
  <c r="L49" i="12"/>
  <c r="L50" s="1"/>
  <c r="L52" s="1"/>
  <c r="L5" s="1"/>
  <c r="L58" i="13"/>
  <c r="J72" i="12"/>
  <c r="J71" i="13"/>
  <c r="K66" i="12"/>
  <c r="K64" i="13"/>
  <c r="K66" s="1"/>
  <c r="L66" i="12"/>
  <c r="L64" i="13"/>
  <c r="I72" i="12"/>
  <c r="I71" i="13"/>
  <c r="I72" s="1"/>
  <c r="L70" i="12"/>
  <c r="M26"/>
  <c r="M18"/>
  <c r="M64"/>
  <c r="K56" i="13"/>
  <c r="K49" s="1"/>
  <c r="K50" s="1"/>
  <c r="K52" s="1"/>
  <c r="N1"/>
  <c r="M44"/>
  <c r="M32" i="12"/>
  <c r="M33" s="1"/>
  <c r="K71"/>
  <c r="L44" i="13"/>
  <c r="M44" i="12"/>
  <c r="N62"/>
  <c r="N62" i="13" s="1"/>
  <c r="N48" i="12"/>
  <c r="N48" i="13" s="1"/>
  <c r="N47" i="12"/>
  <c r="N47" i="13" s="1"/>
  <c r="N46" i="12"/>
  <c r="N46" i="13" s="1"/>
  <c r="N43" i="12"/>
  <c r="N43" i="13" s="1"/>
  <c r="N42" i="12"/>
  <c r="N42" i="13" s="1"/>
  <c r="N41" i="12"/>
  <c r="N41" i="13" s="1"/>
  <c r="N40" i="12"/>
  <c r="N31"/>
  <c r="N31" i="13" s="1"/>
  <c r="N30" i="12"/>
  <c r="N30" i="13" s="1"/>
  <c r="N29" i="12"/>
  <c r="N29" i="13" s="1"/>
  <c r="N22" i="12"/>
  <c r="N22" i="13" s="1"/>
  <c r="N15" i="12"/>
  <c r="N15" i="13" s="1"/>
  <c r="N17" i="12"/>
  <c r="N17" i="13" s="1"/>
  <c r="N25" i="12"/>
  <c r="N25" i="13" s="1"/>
  <c r="N21" i="12"/>
  <c r="N21" i="13" s="1"/>
  <c r="N24" i="12"/>
  <c r="N24" i="13" s="1"/>
  <c r="N23" i="12"/>
  <c r="N23" i="13" s="1"/>
  <c r="N16" i="12"/>
  <c r="N16" i="13" s="1"/>
  <c r="L32"/>
  <c r="L33" s="1"/>
  <c r="J70"/>
  <c r="J5"/>
  <c r="L26"/>
  <c r="L18"/>
  <c r="K63" i="11"/>
  <c r="K69" s="1"/>
  <c r="K73" s="1"/>
  <c r="K35" s="1"/>
  <c r="K37" s="1"/>
  <c r="K4" s="1"/>
  <c r="K7" s="1"/>
  <c r="K9" s="1"/>
  <c r="M61" s="1"/>
  <c r="M68" s="1"/>
  <c r="N63"/>
  <c r="N69" s="1"/>
  <c r="N73" s="1"/>
  <c r="N35" s="1"/>
  <c r="N37" s="1"/>
  <c r="N4" s="1"/>
  <c r="N7" s="1"/>
  <c r="N9" s="1"/>
  <c r="BK26" i="1"/>
  <c r="BD25"/>
  <c r="H61" i="12" l="1"/>
  <c r="F9" i="13"/>
  <c r="H61" s="1"/>
  <c r="G69" i="12"/>
  <c r="G73" s="1"/>
  <c r="G35" s="1"/>
  <c r="G37" s="1"/>
  <c r="G4" s="1"/>
  <c r="G7" s="1"/>
  <c r="M66"/>
  <c r="M64" i="13"/>
  <c r="J72"/>
  <c r="N44" i="12"/>
  <c r="N56" s="1"/>
  <c r="N58" s="1"/>
  <c r="N40" i="13"/>
  <c r="K72" i="12"/>
  <c r="K71" i="13"/>
  <c r="M56" i="12"/>
  <c r="M58" s="1"/>
  <c r="M56" i="13"/>
  <c r="M26"/>
  <c r="M18"/>
  <c r="N64" i="12"/>
  <c r="N26"/>
  <c r="N18"/>
  <c r="L56" i="13"/>
  <c r="L49" s="1"/>
  <c r="L50" s="1"/>
  <c r="L52" s="1"/>
  <c r="K5"/>
  <c r="K70"/>
  <c r="L71" i="12"/>
  <c r="L71" i="13" s="1"/>
  <c r="L66"/>
  <c r="N32" i="12"/>
  <c r="N33" s="1"/>
  <c r="M32" i="13"/>
  <c r="M33" s="1"/>
  <c r="M63" i="11"/>
  <c r="M69" s="1"/>
  <c r="M73" s="1"/>
  <c r="M35" s="1"/>
  <c r="M37" s="1"/>
  <c r="M4" s="1"/>
  <c r="M7" s="1"/>
  <c r="M9" s="1"/>
  <c r="BH21" i="1"/>
  <c r="BM22"/>
  <c r="AO21"/>
  <c r="AO20"/>
  <c r="AO19"/>
  <c r="BH30" s="1"/>
  <c r="AO18"/>
  <c r="AO17"/>
  <c r="AO16"/>
  <c r="AO15"/>
  <c r="BH26" s="1"/>
  <c r="AO14"/>
  <c r="AO13"/>
  <c r="BH24" s="1"/>
  <c r="AO12"/>
  <c r="AO11"/>
  <c r="BH22" s="1"/>
  <c r="AO22"/>
  <c r="G9" i="12" l="1"/>
  <c r="G7" i="13"/>
  <c r="H63"/>
  <c r="H68"/>
  <c r="H63" i="12"/>
  <c r="H68"/>
  <c r="H69" s="1"/>
  <c r="H73" s="1"/>
  <c r="H35" s="1"/>
  <c r="H37" s="1"/>
  <c r="H4" s="1"/>
  <c r="H7" s="1"/>
  <c r="M49"/>
  <c r="M50" s="1"/>
  <c r="M52" s="1"/>
  <c r="M70" s="1"/>
  <c r="M58" i="13"/>
  <c r="M49" s="1"/>
  <c r="M50" s="1"/>
  <c r="M52" s="1"/>
  <c r="N49" i="12"/>
  <c r="N50" s="1"/>
  <c r="N52" s="1"/>
  <c r="N70" s="1"/>
  <c r="N58" i="13"/>
  <c r="L72" i="12"/>
  <c r="N66"/>
  <c r="N64" i="13"/>
  <c r="K72"/>
  <c r="L70"/>
  <c r="L72" s="1"/>
  <c r="L5"/>
  <c r="M5" i="12"/>
  <c r="N44" i="13"/>
  <c r="N32"/>
  <c r="N33" s="1"/>
  <c r="M66"/>
  <c r="N26"/>
  <c r="N18"/>
  <c r="BH25" i="1"/>
  <c r="BH29"/>
  <c r="BH28"/>
  <c r="BH23"/>
  <c r="BH27"/>
  <c r="BH31"/>
  <c r="BM24"/>
  <c r="M5" i="13" l="1"/>
  <c r="M70"/>
  <c r="I61" i="12"/>
  <c r="G9" i="13"/>
  <c r="I61" s="1"/>
  <c r="N5" i="12"/>
  <c r="H9"/>
  <c r="H7" i="13"/>
  <c r="H69"/>
  <c r="H73" s="1"/>
  <c r="H35" s="1"/>
  <c r="H37" s="1"/>
  <c r="H4" s="1"/>
  <c r="N56"/>
  <c r="N49" s="1"/>
  <c r="N50" s="1"/>
  <c r="N52" s="1"/>
  <c r="M71" i="12"/>
  <c r="M71" i="13" s="1"/>
  <c r="M72" s="1"/>
  <c r="N71" i="12"/>
  <c r="N66" i="13"/>
  <c r="AW24" i="1"/>
  <c r="O24"/>
  <c r="BL24" s="1"/>
  <c r="N24"/>
  <c r="BK24" s="1"/>
  <c r="O23"/>
  <c r="BL23" s="1"/>
  <c r="AW23"/>
  <c r="BM23"/>
  <c r="N23"/>
  <c r="BK23" s="1"/>
  <c r="O22"/>
  <c r="BL22" s="1"/>
  <c r="N22"/>
  <c r="BK22" s="1"/>
  <c r="E21"/>
  <c r="B21"/>
  <c r="BM21"/>
  <c r="BL21"/>
  <c r="AW21"/>
  <c r="N21"/>
  <c r="BK21" s="1"/>
  <c r="BH20"/>
  <c r="BN20" s="1"/>
  <c r="BM20"/>
  <c r="AW20"/>
  <c r="BL20"/>
  <c r="N20"/>
  <c r="BK20" s="1"/>
  <c r="BK19"/>
  <c r="AW19"/>
  <c r="BL19"/>
  <c r="BM19"/>
  <c r="AW17"/>
  <c r="BN19" s="1"/>
  <c r="BL18"/>
  <c r="BM18"/>
  <c r="BM17"/>
  <c r="BL17"/>
  <c r="AW16"/>
  <c r="BM16"/>
  <c r="BL16"/>
  <c r="AW15"/>
  <c r="BL15"/>
  <c r="BM15"/>
  <c r="BK14"/>
  <c r="BL14"/>
  <c r="BM14"/>
  <c r="Q11"/>
  <c r="AR11"/>
  <c r="AI11"/>
  <c r="Y11"/>
  <c r="BM11" s="1"/>
  <c r="P11"/>
  <c r="BL11" s="1"/>
  <c r="BM13"/>
  <c r="BL13"/>
  <c r="BK13"/>
  <c r="BK12"/>
  <c r="AW12"/>
  <c r="BM12"/>
  <c r="BL12"/>
  <c r="BK11"/>
  <c r="AE10"/>
  <c r="B10"/>
  <c r="BM10"/>
  <c r="BL10"/>
  <c r="E9"/>
  <c r="B9"/>
  <c r="AX9"/>
  <c r="AW9"/>
  <c r="BM9"/>
  <c r="BL9"/>
  <c r="AX8"/>
  <c r="BM8"/>
  <c r="BK8"/>
  <c r="BL8"/>
  <c r="BM7"/>
  <c r="F7"/>
  <c r="BK7" s="1"/>
  <c r="BL7"/>
  <c r="BM6"/>
  <c r="BL6"/>
  <c r="BK6"/>
  <c r="B5"/>
  <c r="C5" s="1"/>
  <c r="BK15"/>
  <c r="BK10"/>
  <c r="BK16"/>
  <c r="BK17"/>
  <c r="BK18"/>
  <c r="J61" i="12" l="1"/>
  <c r="H9" i="13"/>
  <c r="I63" i="12"/>
  <c r="I68"/>
  <c r="J61" i="13"/>
  <c r="I63"/>
  <c r="I68"/>
  <c r="I69" s="1"/>
  <c r="I73" s="1"/>
  <c r="I35" s="1"/>
  <c r="I37" s="1"/>
  <c r="I4" s="1"/>
  <c r="M72" i="12"/>
  <c r="N72"/>
  <c r="N71" i="13"/>
  <c r="N70"/>
  <c r="N5"/>
  <c r="BG19" i="1"/>
  <c r="BF19" s="1"/>
  <c r="D5"/>
  <c r="E5" s="1"/>
  <c r="BG20"/>
  <c r="BF20" s="1"/>
  <c r="BK9"/>
  <c r="J63" i="13" l="1"/>
  <c r="J68"/>
  <c r="J69" s="1"/>
  <c r="J73" s="1"/>
  <c r="J35" s="1"/>
  <c r="J37" s="1"/>
  <c r="J4" s="1"/>
  <c r="J63" i="12"/>
  <c r="J68"/>
  <c r="I69"/>
  <c r="I73" s="1"/>
  <c r="I35" s="1"/>
  <c r="I37" s="1"/>
  <c r="I4" s="1"/>
  <c r="I7" s="1"/>
  <c r="N72" i="13"/>
  <c r="BN22" i="1"/>
  <c r="BG22" s="1"/>
  <c r="BF22" s="1"/>
  <c r="BT20"/>
  <c r="BU20" s="1"/>
  <c r="BN21"/>
  <c r="BG21" s="1"/>
  <c r="BF21" s="1"/>
  <c r="BT19"/>
  <c r="BU19" s="1"/>
  <c r="F5"/>
  <c r="G5" s="1"/>
  <c r="BG7"/>
  <c r="BF7" s="1"/>
  <c r="BG6"/>
  <c r="BF6" s="1"/>
  <c r="I9" i="12" l="1"/>
  <c r="I7" i="13"/>
  <c r="J69" i="12"/>
  <c r="J73" s="1"/>
  <c r="J35" s="1"/>
  <c r="J37" s="1"/>
  <c r="J4" s="1"/>
  <c r="J7" s="1"/>
  <c r="BN24" i="1"/>
  <c r="BG24" s="1"/>
  <c r="BF24" s="1"/>
  <c r="BT22"/>
  <c r="BU22" s="1"/>
  <c r="BN23"/>
  <c r="BG23" s="1"/>
  <c r="BF23" s="1"/>
  <c r="BT21"/>
  <c r="BU21" s="1"/>
  <c r="BN8"/>
  <c r="BG8" s="1"/>
  <c r="BF8" s="1"/>
  <c r="BT6"/>
  <c r="BU6" s="1"/>
  <c r="BN9"/>
  <c r="BG9" s="1"/>
  <c r="BF9" s="1"/>
  <c r="BT7"/>
  <c r="BU7" s="1"/>
  <c r="H5"/>
  <c r="I5" s="1"/>
  <c r="J9" i="12" l="1"/>
  <c r="J7" i="13"/>
  <c r="K61" i="12"/>
  <c r="I9" i="13"/>
  <c r="K61" s="1"/>
  <c r="BN10" i="1"/>
  <c r="BG10" s="1"/>
  <c r="BF10" s="1"/>
  <c r="BT8"/>
  <c r="BU8" s="1"/>
  <c r="BT24"/>
  <c r="BU24" s="1"/>
  <c r="BN26"/>
  <c r="BG26" s="1"/>
  <c r="BF26" s="1"/>
  <c r="BT23"/>
  <c r="BU23" s="1"/>
  <c r="BN25"/>
  <c r="BG25" s="1"/>
  <c r="BF25" s="1"/>
  <c r="BN11"/>
  <c r="BG11" s="1"/>
  <c r="BF11" s="1"/>
  <c r="BT9"/>
  <c r="BU9" s="1"/>
  <c r="J5"/>
  <c r="L61" i="12" l="1"/>
  <c r="J9" i="13"/>
  <c r="L61" s="1"/>
  <c r="K63" i="12"/>
  <c r="K68"/>
  <c r="K63" i="13"/>
  <c r="K68"/>
  <c r="BT25" i="1"/>
  <c r="BU25" s="1"/>
  <c r="BN27"/>
  <c r="BG27" s="1"/>
  <c r="BF27" s="1"/>
  <c r="BN12"/>
  <c r="BG12" s="1"/>
  <c r="BF12" s="1"/>
  <c r="BT10"/>
  <c r="BU10" s="1"/>
  <c r="BV10" s="1"/>
  <c r="BW10" s="1"/>
  <c r="BN13"/>
  <c r="BG13" s="1"/>
  <c r="BF13" s="1"/>
  <c r="BT11"/>
  <c r="BU11" s="1"/>
  <c r="BN28"/>
  <c r="BG28" s="1"/>
  <c r="BF28" s="1"/>
  <c r="BT26"/>
  <c r="BU26" s="1"/>
  <c r="K5"/>
  <c r="L5" s="1"/>
  <c r="M5" s="1"/>
  <c r="N5" s="1"/>
  <c r="L63" i="12" l="1"/>
  <c r="L68"/>
  <c r="L63" i="13"/>
  <c r="L68"/>
  <c r="K69"/>
  <c r="K73" s="1"/>
  <c r="K35" s="1"/>
  <c r="K37" s="1"/>
  <c r="K4" s="1"/>
  <c r="K69" i="12"/>
  <c r="K73" s="1"/>
  <c r="K35" s="1"/>
  <c r="K37" s="1"/>
  <c r="K4" s="1"/>
  <c r="K7" s="1"/>
  <c r="BN15" i="1"/>
  <c r="BG15" s="1"/>
  <c r="BN17" s="1"/>
  <c r="BG17" s="1"/>
  <c r="BT13"/>
  <c r="BU13" s="1"/>
  <c r="BT28"/>
  <c r="BU28" s="1"/>
  <c r="BN30"/>
  <c r="BG30" s="1"/>
  <c r="BF30" s="1"/>
  <c r="BT27"/>
  <c r="BU27" s="1"/>
  <c r="BN29"/>
  <c r="BG29" s="1"/>
  <c r="BF29" s="1"/>
  <c r="BN14"/>
  <c r="BG14" s="1"/>
  <c r="BF14" s="1"/>
  <c r="BT12"/>
  <c r="BU12" s="1"/>
  <c r="O5"/>
  <c r="K9" i="12" l="1"/>
  <c r="K7" i="13"/>
  <c r="L69" i="12"/>
  <c r="L73" s="1"/>
  <c r="L35" s="1"/>
  <c r="L37" s="1"/>
  <c r="L4" s="1"/>
  <c r="L7" s="1"/>
  <c r="L69" i="13"/>
  <c r="L73" s="1"/>
  <c r="L35" s="1"/>
  <c r="L37" s="1"/>
  <c r="L4" s="1"/>
  <c r="BT29" i="1"/>
  <c r="BU29" s="1"/>
  <c r="BN31"/>
  <c r="BG31" s="1"/>
  <c r="BF31" s="1"/>
  <c r="BN16"/>
  <c r="BG16" s="1"/>
  <c r="BF16" s="1"/>
  <c r="BT14"/>
  <c r="BU14" s="1"/>
  <c r="P5"/>
  <c r="Q5" s="1"/>
  <c r="R5" s="1"/>
  <c r="S5" s="1"/>
  <c r="T5" s="1"/>
  <c r="M61" i="12" l="1"/>
  <c r="K9" i="13"/>
  <c r="M61" s="1"/>
  <c r="L9" i="12"/>
  <c r="L7" i="13"/>
  <c r="BN18" i="1"/>
  <c r="BG18" s="1"/>
  <c r="BT16"/>
  <c r="BU16" s="1"/>
  <c r="BV22" s="1"/>
  <c r="BW22" s="1"/>
  <c r="U5"/>
  <c r="V5" s="1"/>
  <c r="M68" i="12" l="1"/>
  <c r="M63"/>
  <c r="M69" s="1"/>
  <c r="M73" s="1"/>
  <c r="M35" s="1"/>
  <c r="M37" s="1"/>
  <c r="M4" s="1"/>
  <c r="M7" s="1"/>
  <c r="M63" i="13"/>
  <c r="M68"/>
  <c r="N61" i="12"/>
  <c r="L9" i="13"/>
  <c r="N61" s="1"/>
  <c r="W5" i="1"/>
  <c r="X5" s="1"/>
  <c r="Y5" s="1"/>
  <c r="Z5" s="1"/>
  <c r="AA5" s="1"/>
  <c r="AB5" s="1"/>
  <c r="AC5" s="1"/>
  <c r="AD5" s="1"/>
  <c r="N63" i="13" l="1"/>
  <c r="N68"/>
  <c r="N69" s="1"/>
  <c r="N73" s="1"/>
  <c r="N35" s="1"/>
  <c r="N37" s="1"/>
  <c r="N4" s="1"/>
  <c r="N63" i="12"/>
  <c r="M9"/>
  <c r="M9" i="13" s="1"/>
  <c r="M7"/>
  <c r="M69"/>
  <c r="M73" s="1"/>
  <c r="M35" s="1"/>
  <c r="M37" s="1"/>
  <c r="M4" s="1"/>
  <c r="AE5" i="1"/>
  <c r="AF5" s="1"/>
  <c r="N69" i="12" l="1"/>
  <c r="N73" s="1"/>
  <c r="N35" s="1"/>
  <c r="N37" s="1"/>
  <c r="N4" s="1"/>
  <c r="N7" s="1"/>
  <c r="AG5" i="1"/>
  <c r="AH5" s="1"/>
  <c r="N9" i="12" l="1"/>
  <c r="N9" i="13" s="1"/>
  <c r="N7"/>
  <c r="AI5" i="1"/>
  <c r="AJ5" s="1"/>
  <c r="AK5" s="1"/>
  <c r="AL5" s="1"/>
  <c r="AM5" s="1"/>
  <c r="AN5" s="1"/>
  <c r="AO5" s="1"/>
  <c r="AP5" s="1"/>
  <c r="AQ5" l="1"/>
  <c r="AR5" s="1"/>
  <c r="AS5" s="1"/>
  <c r="AT5" s="1"/>
  <c r="AU5" s="1"/>
  <c r="AV5" s="1"/>
  <c r="AW5" s="1"/>
  <c r="AX5" l="1"/>
  <c r="AY5" l="1"/>
  <c r="AZ5" l="1"/>
  <c r="BA5" s="1"/>
  <c r="BB5" l="1"/>
  <c r="BC5" l="1"/>
  <c r="BD5" l="1"/>
  <c r="BE5" l="1"/>
  <c r="BF5" l="1"/>
  <c r="BG5" l="1"/>
  <c r="BH5" s="1"/>
  <c r="BI5" l="1"/>
  <c r="BJ5" l="1"/>
  <c r="BK5" s="1"/>
  <c r="BL5" s="1"/>
  <c r="BM5" s="1"/>
  <c r="BN5" s="1"/>
  <c r="BO5" l="1"/>
  <c r="BP5" l="1"/>
  <c r="BQ5" l="1"/>
</calcChain>
</file>

<file path=xl/comments1.xml><?xml version="1.0" encoding="utf-8"?>
<comments xmlns="http://schemas.openxmlformats.org/spreadsheetml/2006/main">
  <authors>
    <author>Marty Reinert</author>
    <author>Fred Howard Bush Jr</author>
    <author> Carol Foxworthy</author>
    <author> Brandi Sanders</author>
    <author>Brandi Sanders</author>
  </authors>
  <commentList>
    <comment ref="AT3" authorId="0">
      <text>
        <r>
          <rPr>
            <b/>
            <sz val="8"/>
            <color indexed="81"/>
            <rFont val="Tahoma"/>
            <family val="2"/>
          </rPr>
          <t>Marty Reinert: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Buy Throughs</t>
        </r>
      </text>
    </comment>
    <comment ref="AS4" authorId="1">
      <text>
        <r>
          <rPr>
            <b/>
            <sz val="8"/>
            <color indexed="81"/>
            <rFont val="Tahoma"/>
            <family val="2"/>
          </rPr>
          <t>Fred Howard Bush Jr:</t>
        </r>
        <r>
          <rPr>
            <sz val="8"/>
            <color indexed="81"/>
            <rFont val="Tahoma"/>
            <family val="2"/>
          </rPr>
          <t xml:space="preserve">
See Column 48 After February 2001</t>
        </r>
      </text>
    </comment>
    <comment ref="BN6" authorId="2">
      <text>
        <r>
          <rPr>
            <b/>
            <sz val="8"/>
            <color indexed="81"/>
            <rFont val="Tahoma"/>
            <family val="2"/>
          </rPr>
          <t> Carol Foxworthy:</t>
        </r>
        <r>
          <rPr>
            <sz val="8"/>
            <color indexed="81"/>
            <rFont val="Tahoma"/>
            <family val="2"/>
          </rPr>
          <t xml:space="preserve">
added the adjustements to over/under to include August 2009 correction for municipal energy inadverently included in retail sales as reported to Rates.</t>
        </r>
      </text>
    </comment>
    <comment ref="AN7" authorId="3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Revised by Frank Mazza on 5-17-2010
original loss number used in March filing was 154,376,801</t>
        </r>
      </text>
    </comment>
    <comment ref="AN8" authorId="3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Revised by Frank Mazza's group on 5-21-2010
original loss number used in April filing was 87,682,861</t>
        </r>
      </text>
    </comment>
    <comment ref="AN9" authorId="3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Revised on 9/24/10 due to refiling of August Form A.</t>
        </r>
      </text>
    </comment>
    <comment ref="BQ9" authorId="4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Q10" authorId="4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P11" authorId="3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Updated 10/21/10 for the rerun of AFB for June 2010.  The original adjustment was reflected in the Form A file page 6.</t>
        </r>
      </text>
    </comment>
    <comment ref="Q11" authorId="3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Updated 10/21/10 for the rerun of AFB for June 2010.  The originall adjustment was reflected in the Form A file page 6.</t>
        </r>
      </text>
    </comment>
    <comment ref="Y11" authorId="3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Updated 10/21/10 for the rerun of AFB for June 2010.  The originall adjustment was reflected in the Form A file page 6.</t>
        </r>
      </text>
    </comment>
    <comment ref="AI11" authorId="3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Updated 10/21/10 for the rerun of AFB for June 2010.  The originall adjustment was reflected in the Form A file page 6.</t>
        </r>
      </text>
    </comment>
    <comment ref="AR11" authorId="3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Updated 10/21/10 for the rerun of AFB for June 2010.  The originall adjustment was reflected in the Form A file page 6.</t>
        </r>
      </text>
    </comment>
    <comment ref="BK11" authorId="3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Formula was updated to account for TC2 fuel expense correction that occurred in a month with no generation.</t>
        </r>
      </text>
    </comment>
    <comment ref="BN13" authorId="2">
      <text>
        <r>
          <rPr>
            <b/>
            <sz val="8"/>
            <color indexed="81"/>
            <rFont val="Tahoma"/>
            <family val="2"/>
          </rPr>
          <t> Carol Foxworthy:</t>
        </r>
        <r>
          <rPr>
            <sz val="8"/>
            <color indexed="81"/>
            <rFont val="Tahoma"/>
            <family val="2"/>
          </rPr>
          <t xml:space="preserve">
changed reference to July FAC from cell reference to hard code 0.00352 to reflect actual FAC billed and duplicate the revised Form A calculation of the over collection
</t>
        </r>
      </text>
    </comment>
    <comment ref="BQ13" authorId="4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N14" authorId="2">
      <text>
        <r>
          <rPr>
            <b/>
            <sz val="8"/>
            <color indexed="81"/>
            <rFont val="Tahoma"/>
            <family val="2"/>
          </rPr>
          <t> Carol Foxworthy:</t>
        </r>
        <r>
          <rPr>
            <sz val="8"/>
            <color indexed="81"/>
            <rFont val="Tahoma"/>
            <family val="2"/>
          </rPr>
          <t xml:space="preserve">
changed reference to September FAC from cell reference to hard code 0.00141 to reflect actual FAC billed and duplicate the revised Form A calculation of the under collection
</t>
        </r>
      </text>
    </comment>
    <comment ref="BQ14" authorId="4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Q15" authorId="4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Q16" authorId="4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AM17" authorId="4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Green Loss fields revised for TC2 OSS not reflected in the line loss calculations 4-14-11</t>
        </r>
      </text>
    </comment>
    <comment ref="BF17" authorId="4">
      <text>
        <r>
          <rPr>
            <b/>
            <sz val="9"/>
            <color indexed="81"/>
            <rFont val="Tahoma"/>
            <family val="2"/>
          </rPr>
          <t>Brandi Sanders:
Forced value, due to the correction to line losses effecting this value. 4-14-11</t>
        </r>
      </text>
    </comment>
    <comment ref="BH17" authorId="4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Forced value, due to the correction to line losses effecting this value. 4-14-11</t>
        </r>
      </text>
    </comment>
    <comment ref="BQ17" authorId="4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N19" authorId="4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Added 353,192 to over-collection for TC2 OSS Correction.  4-14-44
</t>
        </r>
      </text>
    </comment>
  </commentList>
</comments>
</file>

<file path=xl/comments2.xml><?xml version="1.0" encoding="utf-8"?>
<comments xmlns="http://schemas.openxmlformats.org/spreadsheetml/2006/main">
  <authors>
    <author>Marty Reinert</author>
    <author>Fred Howard Bush Jr</author>
    <author> Carol Foxworthy</author>
    <author>Brandi Sanders</author>
    <author> Brandi Sanders</author>
  </authors>
  <commentList>
    <comment ref="AT3" authorId="0">
      <text>
        <r>
          <rPr>
            <b/>
            <sz val="8"/>
            <color indexed="81"/>
            <rFont val="Tahoma"/>
            <family val="2"/>
          </rPr>
          <t>Marty Reinert: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Buy Throughs</t>
        </r>
      </text>
    </comment>
    <comment ref="AS4" authorId="1">
      <text>
        <r>
          <rPr>
            <b/>
            <sz val="8"/>
            <color indexed="81"/>
            <rFont val="Tahoma"/>
            <family val="2"/>
          </rPr>
          <t>Fred Howard Bush Jr:</t>
        </r>
        <r>
          <rPr>
            <sz val="8"/>
            <color indexed="81"/>
            <rFont val="Tahoma"/>
            <family val="2"/>
          </rPr>
          <t xml:space="preserve">
See Column 48 After February 2001</t>
        </r>
      </text>
    </comment>
    <comment ref="BN6" authorId="2">
      <text>
        <r>
          <rPr>
            <b/>
            <sz val="8"/>
            <color indexed="81"/>
            <rFont val="Tahoma"/>
            <family val="2"/>
          </rPr>
          <t> Carol Foxworthy:</t>
        </r>
        <r>
          <rPr>
            <sz val="8"/>
            <color indexed="81"/>
            <rFont val="Tahoma"/>
            <family val="2"/>
          </rPr>
          <t xml:space="preserve">
added the adjustements to over/under to include August 2009 correction for municipal energy inadverently included in retail sales as reported to Rates.</t>
        </r>
      </text>
    </comment>
    <comment ref="BQ9" authorId="3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Q10" authorId="3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P11" authorId="4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Updated 10/21/10 for the rerun of AFB for June 2010.  The original adjustment was reflected in the Form A file page 6.</t>
        </r>
      </text>
    </comment>
    <comment ref="Q11" authorId="4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Updated 10/21/10 for the rerun of AFB for June 2010.  The originall adjustment was reflected in the Form A file page 6.</t>
        </r>
      </text>
    </comment>
    <comment ref="Y11" authorId="4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Updated 10/21/10 for the rerun of AFB for June 2010.  The originall adjustment was reflected in the Form A file page 6.</t>
        </r>
      </text>
    </comment>
    <comment ref="AI11" authorId="4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Updated 10/21/10 for the rerun of AFB for June 2010.  The originall adjustment was reflected in the Form A file page 6.</t>
        </r>
      </text>
    </comment>
    <comment ref="AR11" authorId="4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Updated 10/21/10 for the rerun of AFB for June 2010.  The originall adjustment was reflected in the Form A file page 6.</t>
        </r>
      </text>
    </comment>
    <comment ref="BK11" authorId="4">
      <text>
        <r>
          <rPr>
            <b/>
            <sz val="10"/>
            <color indexed="81"/>
            <rFont val="Tahoma"/>
            <family val="2"/>
          </rPr>
          <t> Brandi Sanders:</t>
        </r>
        <r>
          <rPr>
            <sz val="10"/>
            <color indexed="81"/>
            <rFont val="Tahoma"/>
            <family val="2"/>
          </rPr>
          <t xml:space="preserve">
Formula was updated to account for TC2 fuel expense correction that occurred in a month with no generation.</t>
        </r>
      </text>
    </comment>
    <comment ref="BN13" authorId="2">
      <text>
        <r>
          <rPr>
            <b/>
            <sz val="8"/>
            <color indexed="81"/>
            <rFont val="Tahoma"/>
            <family val="2"/>
          </rPr>
          <t> Carol Foxworthy:</t>
        </r>
        <r>
          <rPr>
            <sz val="8"/>
            <color indexed="81"/>
            <rFont val="Tahoma"/>
            <family val="2"/>
          </rPr>
          <t xml:space="preserve">
changed reference to July FAC from cell reference to hard code 0.00352 to reflect actual FAC billed and duplicate the revised Form A calculation of the over collection
</t>
        </r>
      </text>
    </comment>
    <comment ref="BQ13" authorId="3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N14" authorId="2">
      <text>
        <r>
          <rPr>
            <b/>
            <sz val="8"/>
            <color indexed="81"/>
            <rFont val="Tahoma"/>
            <family val="2"/>
          </rPr>
          <t> Carol Foxworthy:</t>
        </r>
        <r>
          <rPr>
            <sz val="8"/>
            <color indexed="81"/>
            <rFont val="Tahoma"/>
            <family val="2"/>
          </rPr>
          <t xml:space="preserve">
changed reference to September FAC from cell reference to hard code 0.00141 to reflect actual FAC billed and duplicate the revised Form A calculation of the under collection
</t>
        </r>
      </text>
    </comment>
    <comment ref="BQ14" authorId="3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Q15" authorId="3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Q16" authorId="3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F17" authorId="3">
      <text>
        <r>
          <rPr>
            <b/>
            <sz val="9"/>
            <color indexed="81"/>
            <rFont val="Tahoma"/>
            <family val="2"/>
          </rPr>
          <t>Brandi Sanders:
Forced value, due to the correction to line losses effecting this value. 4-14-11</t>
        </r>
      </text>
    </comment>
    <comment ref="BH17" authorId="3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Forced value, due to the correction to line losses effecting this value. 4-14-11</t>
        </r>
      </text>
    </comment>
    <comment ref="BQ17" authorId="3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TC2 OSS not reflected in original calculations of total sources. 4-14-11</t>
        </r>
      </text>
    </comment>
    <comment ref="BN19" authorId="3">
      <text>
        <r>
          <rPr>
            <b/>
            <sz val="9"/>
            <color indexed="81"/>
            <rFont val="Tahoma"/>
            <family val="2"/>
          </rPr>
          <t>Brandi Sanders:</t>
        </r>
        <r>
          <rPr>
            <sz val="9"/>
            <color indexed="81"/>
            <rFont val="Tahoma"/>
            <family val="2"/>
          </rPr>
          <t xml:space="preserve">
Added 353,192 to over-collection for TC2 OSS Correction.  4-14-44
</t>
        </r>
      </text>
    </comment>
  </commentList>
</comments>
</file>

<file path=xl/sharedStrings.xml><?xml version="1.0" encoding="utf-8"?>
<sst xmlns="http://schemas.openxmlformats.org/spreadsheetml/2006/main" count="523" uniqueCount="169">
  <si>
    <t>Fuel Costs</t>
  </si>
  <si>
    <t>Forced Outage report</t>
  </si>
  <si>
    <t>Purchased Power Transaction Report</t>
  </si>
  <si>
    <t>Intersystem Sales Power Transaction Report</t>
  </si>
  <si>
    <t>Adjustment</t>
  </si>
  <si>
    <t>(Schedule 27-1)</t>
  </si>
  <si>
    <t>Purchased Power KWH - Power Transaction Report</t>
  </si>
  <si>
    <t>Intersystem Sales KWH - Power Transaction Report</t>
  </si>
  <si>
    <t>(Sch 27-1)</t>
  </si>
  <si>
    <t>(Rev Acctg)</t>
  </si>
  <si>
    <t>(Kentucky Bill Frequency)</t>
  </si>
  <si>
    <t>From Current</t>
  </si>
  <si>
    <t>Expense</t>
  </si>
  <si>
    <t>Oil</t>
  </si>
  <si>
    <t>Combustion Turbines</t>
  </si>
  <si>
    <t>Assigned</t>
  </si>
  <si>
    <t>Substitute</t>
  </si>
  <si>
    <t>Economy</t>
  </si>
  <si>
    <t>Internal</t>
  </si>
  <si>
    <t>Other</t>
  </si>
  <si>
    <t>Net</t>
  </si>
  <si>
    <t>Losses</t>
  </si>
  <si>
    <t>Wholesale Sales</t>
  </si>
  <si>
    <t>Total Monthly</t>
  </si>
  <si>
    <t>FWP</t>
  </si>
  <si>
    <t>Total BiMonthly</t>
  </si>
  <si>
    <t>Other Deliveries</t>
  </si>
  <si>
    <t>Month's Calculations</t>
  </si>
  <si>
    <t>Month</t>
  </si>
  <si>
    <t>Including</t>
  </si>
  <si>
    <t>Ignition</t>
  </si>
  <si>
    <t>Generation</t>
  </si>
  <si>
    <t>Gas</t>
  </si>
  <si>
    <t>Cost</t>
  </si>
  <si>
    <t>Purchased Power</t>
  </si>
  <si>
    <t>Dispatch</t>
  </si>
  <si>
    <t>Replacement</t>
  </si>
  <si>
    <t>Dollars</t>
  </si>
  <si>
    <t>Transmission</t>
  </si>
  <si>
    <t>Distribution</t>
  </si>
  <si>
    <t>"ODP"</t>
  </si>
  <si>
    <t>Pitcairn</t>
  </si>
  <si>
    <t>WPS-T</t>
  </si>
  <si>
    <t>WPS-P</t>
  </si>
  <si>
    <t>KWH Sales</t>
  </si>
  <si>
    <t>Tennessee</t>
  </si>
  <si>
    <t>Company Use</t>
  </si>
  <si>
    <t>Ky Retail</t>
  </si>
  <si>
    <t>"Sm"</t>
  </si>
  <si>
    <t>KWH</t>
  </si>
  <si>
    <t>Coke</t>
  </si>
  <si>
    <t>151 Cost</t>
  </si>
  <si>
    <t>Energy Cost</t>
  </si>
  <si>
    <t>Split Savings</t>
  </si>
  <si>
    <t>Freed Up Gen</t>
  </si>
  <si>
    <t>Pre-Merger</t>
  </si>
  <si>
    <t>In</t>
  </si>
  <si>
    <t>Mo Factor</t>
  </si>
  <si>
    <t>Total</t>
  </si>
  <si>
    <t>Sales</t>
  </si>
  <si>
    <t>Intersystem Sales</t>
  </si>
  <si>
    <t>Bi-Mo Factor</t>
  </si>
  <si>
    <t>$</t>
  </si>
  <si>
    <t>Internal Replacement</t>
  </si>
  <si>
    <t>IS Sales Pwr Trans Rpt</t>
  </si>
  <si>
    <t>KU Gen for LGE Pre-Merger IB</t>
  </si>
  <si>
    <t>Internal - (See Columns AV &amp; AW)</t>
  </si>
  <si>
    <t>Loss Calculations</t>
  </si>
  <si>
    <t>1</t>
  </si>
  <si>
    <t>2</t>
  </si>
  <si>
    <t>Purchases</t>
  </si>
  <si>
    <t>Above Highest</t>
  </si>
  <si>
    <t>Cost Unit</t>
  </si>
  <si>
    <t>(KU Gen for LGE Pre-Merger IB)</t>
  </si>
  <si>
    <t>(903 &amp; 934)</t>
  </si>
  <si>
    <t>(902)</t>
  </si>
  <si>
    <t>Total Forced</t>
  </si>
  <si>
    <t>Outage Exclusion</t>
  </si>
  <si>
    <t xml:space="preserve">Revised </t>
  </si>
  <si>
    <t>Retail Factor</t>
  </si>
  <si>
    <t>"Fm"</t>
  </si>
  <si>
    <t xml:space="preserve">Base </t>
  </si>
  <si>
    <t>Factor</t>
  </si>
  <si>
    <t>Fuel</t>
  </si>
  <si>
    <t>Over/Under</t>
  </si>
  <si>
    <t>No Longer Used</t>
  </si>
  <si>
    <t>Retail Sales Spreadsheet - Rev Acctng</t>
  </si>
  <si>
    <t>HDD</t>
  </si>
  <si>
    <t>CDD</t>
  </si>
  <si>
    <t>Replacement Power</t>
  </si>
  <si>
    <t>Buy Thru KWH</t>
  </si>
  <si>
    <t>Total Coal</t>
  </si>
  <si>
    <t>Trimble County 2</t>
  </si>
  <si>
    <t>Non-Jurisdictional</t>
  </si>
  <si>
    <t>Trimble</t>
  </si>
  <si>
    <t>County 2</t>
  </si>
  <si>
    <t>Disallowed Energy</t>
  </si>
  <si>
    <t>IMEA</t>
  </si>
  <si>
    <t>IMPA</t>
  </si>
  <si>
    <t>TC2 Test</t>
  </si>
  <si>
    <t>Energy Sold</t>
  </si>
  <si>
    <t>Off System</t>
  </si>
  <si>
    <t>Billing Integrity</t>
  </si>
  <si>
    <t>IB charges-non-compliance</t>
  </si>
  <si>
    <t>Total KU Consolidated</t>
  </si>
  <si>
    <t>total fuel cost</t>
  </si>
  <si>
    <t>Unscheduled/</t>
  </si>
  <si>
    <t>Inadvertent/ Interchange</t>
  </si>
  <si>
    <t>Page 1:</t>
  </si>
  <si>
    <t>F(m)</t>
  </si>
  <si>
    <t>Page 2</t>
  </si>
  <si>
    <t>S(m)</t>
  </si>
  <si>
    <t>Page 3</t>
  </si>
  <si>
    <t>Base Factor</t>
  </si>
  <si>
    <t>FAC Factor</t>
  </si>
  <si>
    <t>Page 2:</t>
  </si>
  <si>
    <t>Company Generation</t>
  </si>
  <si>
    <t>Coal Burned</t>
  </si>
  <si>
    <t>Oil Burned</t>
  </si>
  <si>
    <t>Gas Burned</t>
  </si>
  <si>
    <t>Assigned Fuel</t>
  </si>
  <si>
    <t>Substitute Fuel</t>
  </si>
  <si>
    <t>Subtotal Fuel</t>
  </si>
  <si>
    <t>Substitute Purchases</t>
  </si>
  <si>
    <t>Non-Economic</t>
  </si>
  <si>
    <t>Internal Purchases</t>
  </si>
  <si>
    <t>Subtotal</t>
  </si>
  <si>
    <t>Off-system sales</t>
  </si>
  <si>
    <t>Cost of OSS losses</t>
  </si>
  <si>
    <t>Over/(Under) Recovery - Pg 5</t>
  </si>
  <si>
    <t>Fuel Cost Adjustment</t>
  </si>
  <si>
    <t>Total Fuel Cost</t>
  </si>
  <si>
    <t>Page 3:</t>
  </si>
  <si>
    <t>Net Generation</t>
  </si>
  <si>
    <t>Purchases+Interchange</t>
  </si>
  <si>
    <t>System Losses (pg 4)</t>
  </si>
  <si>
    <t>Total Sales</t>
  </si>
  <si>
    <t>Page 4</t>
  </si>
  <si>
    <t>12 Month Sources</t>
  </si>
  <si>
    <t>12 Month Losses</t>
  </si>
  <si>
    <t>CM Sources</t>
  </si>
  <si>
    <t>Average Loss Factor</t>
  </si>
  <si>
    <t>CM Losses</t>
  </si>
  <si>
    <t>Page 5:</t>
  </si>
  <si>
    <t>Last FAC Rate Billed</t>
  </si>
  <si>
    <t>KWH Billed</t>
  </si>
  <si>
    <t>FAC Revenue (Refund)</t>
  </si>
  <si>
    <t>S(m), last FAC Rate</t>
  </si>
  <si>
    <t>Non-juris. Included</t>
  </si>
  <si>
    <t>Kentucky Jurisdiction</t>
  </si>
  <si>
    <t>Revised FAC Factor</t>
  </si>
  <si>
    <t>Recoverable FAC cost</t>
  </si>
  <si>
    <t>O/U -- retail</t>
  </si>
  <si>
    <t>S(m), current month</t>
  </si>
  <si>
    <t>Gross-up Factor</t>
  </si>
  <si>
    <t>O/U, total company</t>
  </si>
  <si>
    <t>Internal Economy</t>
  </si>
  <si>
    <t>KENTUCKY UTILITIES</t>
  </si>
  <si>
    <t>To Adjust Mismatch in Fuel Cost Recovery</t>
  </si>
  <si>
    <t>Revenue</t>
  </si>
  <si>
    <t>Form A</t>
  </si>
  <si>
    <t>Form A*</t>
  </si>
  <si>
    <t>Page 5 of 6</t>
  </si>
  <si>
    <t>Line 3</t>
  </si>
  <si>
    <t xml:space="preserve">* NOTE : Expenses are recovered in the second succeeding month. For example, </t>
  </si>
  <si>
    <t xml:space="preserve">                 January 2012 would be reflected in March 2012.</t>
  </si>
  <si>
    <t>Proposed Modification</t>
  </si>
  <si>
    <t>As Filed</t>
  </si>
  <si>
    <t>Change</t>
  </si>
</sst>
</file>

<file path=xl/styles.xml><?xml version="1.0" encoding="utf-8"?>
<styleSheet xmlns="http://schemas.openxmlformats.org/spreadsheetml/2006/main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.00000_);_(* \(#,##0.00000\);_(* &quot;-&quot;??_);_(@_)"/>
    <numFmt numFmtId="167" formatCode="_(* #,##0_);_(* \(#,##0\);_(* &quot;-&quot;??_);_(@_)"/>
    <numFmt numFmtId="171" formatCode="[$-409]mmm\-yy;@"/>
    <numFmt numFmtId="179" formatCode="_(&quot;$&quot;* #,##0_);_(&quot;$&quot;* \(#,##0\);_(&quot;$&quot;* &quot;-&quot;??_);_(@_)"/>
    <numFmt numFmtId="180" formatCode="_(&quot;$&quot;* #,##0.00000_);_(&quot;$&quot;* \(#,##0.00000\);_(&quot;$&quot;* &quot;-&quot;??_);_(@_)"/>
    <numFmt numFmtId="181" formatCode="0.000000%"/>
    <numFmt numFmtId="184" formatCode="[$-409]mmmm\-yy;@"/>
    <numFmt numFmtId="185" formatCode="0\ 00\ 000\ 000"/>
    <numFmt numFmtId="186" formatCode="&quot;$&quot;#,##0\ ;\(&quot;$&quot;#,##0\)"/>
    <numFmt numFmtId="187" formatCode="_([$€-2]* #,##0.00_);_([$€-2]* \(#,##0.00\);_([$€-2]* &quot;-&quot;??_)"/>
  </numFmts>
  <fonts count="91">
    <font>
      <sz val="10"/>
      <name val="Arial"/>
    </font>
    <font>
      <sz val="10"/>
      <name val="Arial"/>
      <family val="2"/>
    </font>
    <font>
      <sz val="10"/>
      <color indexed="3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1"/>
      <color indexed="81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name val="Arial"/>
      <family val="2"/>
    </font>
    <font>
      <b/>
      <sz val="9"/>
      <name val="Arial"/>
      <family val="2"/>
    </font>
    <font>
      <u val="singleAccounting"/>
      <sz val="10"/>
      <name val="Times New Roman"/>
      <family val="1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  <scheme val="minor"/>
    </font>
    <font>
      <sz val="10"/>
      <name val="Helv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  <scheme val="minor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  <scheme val="minor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rgb="FF3F3F76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17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</borders>
  <cellStyleXfs count="109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7" fontId="20" fillId="0" borderId="0"/>
    <xf numFmtId="0" fontId="5" fillId="0" borderId="0"/>
    <xf numFmtId="37" fontId="20" fillId="0" borderId="0"/>
    <xf numFmtId="0" fontId="1" fillId="34" borderId="0"/>
    <xf numFmtId="0" fontId="1" fillId="34" borderId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171" fontId="25" fillId="11" borderId="0" applyNumberFormat="0" applyBorder="0" applyAlignment="0" applyProtection="0"/>
    <xf numFmtId="171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184" fontId="24" fillId="35" borderId="0" applyNumberFormat="0" applyBorder="0" applyAlignment="0" applyProtection="0"/>
    <xf numFmtId="184" fontId="24" fillId="35" borderId="0" applyNumberFormat="0" applyBorder="0" applyAlignment="0" applyProtection="0"/>
    <xf numFmtId="184" fontId="24" fillId="35" borderId="0" applyNumberFormat="0" applyBorder="0" applyAlignment="0" applyProtection="0"/>
    <xf numFmtId="184" fontId="24" fillId="35" borderId="0" applyNumberFormat="0" applyBorder="0" applyAlignment="0" applyProtection="0"/>
    <xf numFmtId="184" fontId="24" fillId="35" borderId="0" applyNumberFormat="0" applyBorder="0" applyAlignment="0" applyProtection="0"/>
    <xf numFmtId="184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1" fontId="25" fillId="15" borderId="0" applyNumberFormat="0" applyBorder="0" applyAlignment="0" applyProtection="0"/>
    <xf numFmtId="171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84" fontId="24" fillId="36" borderId="0" applyNumberFormat="0" applyBorder="0" applyAlignment="0" applyProtection="0"/>
    <xf numFmtId="184" fontId="24" fillId="36" borderId="0" applyNumberFormat="0" applyBorder="0" applyAlignment="0" applyProtection="0"/>
    <xf numFmtId="184" fontId="24" fillId="36" borderId="0" applyNumberFormat="0" applyBorder="0" applyAlignment="0" applyProtection="0"/>
    <xf numFmtId="184" fontId="24" fillId="36" borderId="0" applyNumberFormat="0" applyBorder="0" applyAlignment="0" applyProtection="0"/>
    <xf numFmtId="184" fontId="24" fillId="36" borderId="0" applyNumberFormat="0" applyBorder="0" applyAlignment="0" applyProtection="0"/>
    <xf numFmtId="184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71" fontId="25" fillId="19" borderId="0" applyNumberFormat="0" applyBorder="0" applyAlignment="0" applyProtection="0"/>
    <xf numFmtId="171" fontId="25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184" fontId="24" fillId="37" borderId="0" applyNumberFormat="0" applyBorder="0" applyAlignment="0" applyProtection="0"/>
    <xf numFmtId="184" fontId="24" fillId="37" borderId="0" applyNumberFormat="0" applyBorder="0" applyAlignment="0" applyProtection="0"/>
    <xf numFmtId="184" fontId="24" fillId="37" borderId="0" applyNumberFormat="0" applyBorder="0" applyAlignment="0" applyProtection="0"/>
    <xf numFmtId="184" fontId="24" fillId="37" borderId="0" applyNumberFormat="0" applyBorder="0" applyAlignment="0" applyProtection="0"/>
    <xf numFmtId="184" fontId="24" fillId="37" borderId="0" applyNumberFormat="0" applyBorder="0" applyAlignment="0" applyProtection="0"/>
    <xf numFmtId="184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171" fontId="25" fillId="23" borderId="0" applyNumberFormat="0" applyBorder="0" applyAlignment="0" applyProtection="0"/>
    <xf numFmtId="171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184" fontId="24" fillId="38" borderId="0" applyNumberFormat="0" applyBorder="0" applyAlignment="0" applyProtection="0"/>
    <xf numFmtId="184" fontId="24" fillId="38" borderId="0" applyNumberFormat="0" applyBorder="0" applyAlignment="0" applyProtection="0"/>
    <xf numFmtId="184" fontId="24" fillId="38" borderId="0" applyNumberFormat="0" applyBorder="0" applyAlignment="0" applyProtection="0"/>
    <xf numFmtId="184" fontId="24" fillId="38" borderId="0" applyNumberFormat="0" applyBorder="0" applyAlignment="0" applyProtection="0"/>
    <xf numFmtId="184" fontId="24" fillId="38" borderId="0" applyNumberFormat="0" applyBorder="0" applyAlignment="0" applyProtection="0"/>
    <xf numFmtId="184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171" fontId="25" fillId="27" borderId="0" applyNumberFormat="0" applyBorder="0" applyAlignment="0" applyProtection="0"/>
    <xf numFmtId="171" fontId="25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184" fontId="24" fillId="39" borderId="0" applyNumberFormat="0" applyBorder="0" applyAlignment="0" applyProtection="0"/>
    <xf numFmtId="184" fontId="24" fillId="39" borderId="0" applyNumberFormat="0" applyBorder="0" applyAlignment="0" applyProtection="0"/>
    <xf numFmtId="184" fontId="24" fillId="39" borderId="0" applyNumberFormat="0" applyBorder="0" applyAlignment="0" applyProtection="0"/>
    <xf numFmtId="184" fontId="24" fillId="39" borderId="0" applyNumberFormat="0" applyBorder="0" applyAlignment="0" applyProtection="0"/>
    <xf numFmtId="184" fontId="24" fillId="39" borderId="0" applyNumberFormat="0" applyBorder="0" applyAlignment="0" applyProtection="0"/>
    <xf numFmtId="184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171" fontId="25" fillId="31" borderId="0" applyNumberFormat="0" applyBorder="0" applyAlignment="0" applyProtection="0"/>
    <xf numFmtId="171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184" fontId="24" fillId="40" borderId="0" applyNumberFormat="0" applyBorder="0" applyAlignment="0" applyProtection="0"/>
    <xf numFmtId="184" fontId="24" fillId="40" borderId="0" applyNumberFormat="0" applyBorder="0" applyAlignment="0" applyProtection="0"/>
    <xf numFmtId="184" fontId="24" fillId="40" borderId="0" applyNumberFormat="0" applyBorder="0" applyAlignment="0" applyProtection="0"/>
    <xf numFmtId="184" fontId="24" fillId="40" borderId="0" applyNumberFormat="0" applyBorder="0" applyAlignment="0" applyProtection="0"/>
    <xf numFmtId="184" fontId="24" fillId="40" borderId="0" applyNumberFormat="0" applyBorder="0" applyAlignment="0" applyProtection="0"/>
    <xf numFmtId="184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171" fontId="25" fillId="12" borderId="0" applyNumberFormat="0" applyBorder="0" applyAlignment="0" applyProtection="0"/>
    <xf numFmtId="171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184" fontId="24" fillId="41" borderId="0" applyNumberFormat="0" applyBorder="0" applyAlignment="0" applyProtection="0"/>
    <xf numFmtId="184" fontId="24" fillId="41" borderId="0" applyNumberFormat="0" applyBorder="0" applyAlignment="0" applyProtection="0"/>
    <xf numFmtId="184" fontId="24" fillId="41" borderId="0" applyNumberFormat="0" applyBorder="0" applyAlignment="0" applyProtection="0"/>
    <xf numFmtId="184" fontId="24" fillId="41" borderId="0" applyNumberFormat="0" applyBorder="0" applyAlignment="0" applyProtection="0"/>
    <xf numFmtId="184" fontId="24" fillId="41" borderId="0" applyNumberFormat="0" applyBorder="0" applyAlignment="0" applyProtection="0"/>
    <xf numFmtId="184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171" fontId="25" fillId="16" borderId="0" applyNumberFormat="0" applyBorder="0" applyAlignment="0" applyProtection="0"/>
    <xf numFmtId="171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184" fontId="24" fillId="42" borderId="0" applyNumberFormat="0" applyBorder="0" applyAlignment="0" applyProtection="0"/>
    <xf numFmtId="184" fontId="24" fillId="42" borderId="0" applyNumberFormat="0" applyBorder="0" applyAlignment="0" applyProtection="0"/>
    <xf numFmtId="184" fontId="24" fillId="42" borderId="0" applyNumberFormat="0" applyBorder="0" applyAlignment="0" applyProtection="0"/>
    <xf numFmtId="184" fontId="24" fillId="42" borderId="0" applyNumberFormat="0" applyBorder="0" applyAlignment="0" applyProtection="0"/>
    <xf numFmtId="184" fontId="24" fillId="42" borderId="0" applyNumberFormat="0" applyBorder="0" applyAlignment="0" applyProtection="0"/>
    <xf numFmtId="184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171" fontId="25" fillId="20" borderId="0" applyNumberFormat="0" applyBorder="0" applyAlignment="0" applyProtection="0"/>
    <xf numFmtId="171" fontId="25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184" fontId="24" fillId="43" borderId="0" applyNumberFormat="0" applyBorder="0" applyAlignment="0" applyProtection="0"/>
    <xf numFmtId="184" fontId="24" fillId="43" borderId="0" applyNumberFormat="0" applyBorder="0" applyAlignment="0" applyProtection="0"/>
    <xf numFmtId="184" fontId="24" fillId="43" borderId="0" applyNumberFormat="0" applyBorder="0" applyAlignment="0" applyProtection="0"/>
    <xf numFmtId="184" fontId="24" fillId="43" borderId="0" applyNumberFormat="0" applyBorder="0" applyAlignment="0" applyProtection="0"/>
    <xf numFmtId="184" fontId="24" fillId="43" borderId="0" applyNumberFormat="0" applyBorder="0" applyAlignment="0" applyProtection="0"/>
    <xf numFmtId="184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171" fontId="25" fillId="24" borderId="0" applyNumberFormat="0" applyBorder="0" applyAlignment="0" applyProtection="0"/>
    <xf numFmtId="171" fontId="25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84" fontId="24" fillId="38" borderId="0" applyNumberFormat="0" applyBorder="0" applyAlignment="0" applyProtection="0"/>
    <xf numFmtId="184" fontId="24" fillId="38" borderId="0" applyNumberFormat="0" applyBorder="0" applyAlignment="0" applyProtection="0"/>
    <xf numFmtId="184" fontId="24" fillId="38" borderId="0" applyNumberFormat="0" applyBorder="0" applyAlignment="0" applyProtection="0"/>
    <xf numFmtId="184" fontId="24" fillId="38" borderId="0" applyNumberFormat="0" applyBorder="0" applyAlignment="0" applyProtection="0"/>
    <xf numFmtId="184" fontId="24" fillId="38" borderId="0" applyNumberFormat="0" applyBorder="0" applyAlignment="0" applyProtection="0"/>
    <xf numFmtId="184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171" fontId="25" fillId="28" borderId="0" applyNumberFormat="0" applyBorder="0" applyAlignment="0" applyProtection="0"/>
    <xf numFmtId="171" fontId="25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184" fontId="24" fillId="41" borderId="0" applyNumberFormat="0" applyBorder="0" applyAlignment="0" applyProtection="0"/>
    <xf numFmtId="184" fontId="24" fillId="41" borderId="0" applyNumberFormat="0" applyBorder="0" applyAlignment="0" applyProtection="0"/>
    <xf numFmtId="184" fontId="24" fillId="41" borderId="0" applyNumberFormat="0" applyBorder="0" applyAlignment="0" applyProtection="0"/>
    <xf numFmtId="184" fontId="24" fillId="41" borderId="0" applyNumberFormat="0" applyBorder="0" applyAlignment="0" applyProtection="0"/>
    <xf numFmtId="184" fontId="24" fillId="41" borderId="0" applyNumberFormat="0" applyBorder="0" applyAlignment="0" applyProtection="0"/>
    <xf numFmtId="184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71" fontId="25" fillId="32" borderId="0" applyNumberFormat="0" applyBorder="0" applyAlignment="0" applyProtection="0"/>
    <xf numFmtId="171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184" fontId="24" fillId="44" borderId="0" applyNumberFormat="0" applyBorder="0" applyAlignment="0" applyProtection="0"/>
    <xf numFmtId="184" fontId="24" fillId="44" borderId="0" applyNumberFormat="0" applyBorder="0" applyAlignment="0" applyProtection="0"/>
    <xf numFmtId="184" fontId="24" fillId="44" borderId="0" applyNumberFormat="0" applyBorder="0" applyAlignment="0" applyProtection="0"/>
    <xf numFmtId="184" fontId="24" fillId="44" borderId="0" applyNumberFormat="0" applyBorder="0" applyAlignment="0" applyProtection="0"/>
    <xf numFmtId="184" fontId="24" fillId="44" borderId="0" applyNumberFormat="0" applyBorder="0" applyAlignment="0" applyProtection="0"/>
    <xf numFmtId="184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71" fontId="28" fillId="13" borderId="0" applyNumberFormat="0" applyBorder="0" applyAlignment="0" applyProtection="0"/>
    <xf numFmtId="171" fontId="28" fillId="13" borderId="0" applyNumberFormat="0" applyBorder="0" applyAlignment="0" applyProtection="0"/>
    <xf numFmtId="0" fontId="29" fillId="13" borderId="0" applyNumberFormat="0" applyBorder="0" applyAlignment="0" applyProtection="0"/>
    <xf numFmtId="184" fontId="27" fillId="45" borderId="0" applyNumberFormat="0" applyBorder="0" applyAlignment="0" applyProtection="0"/>
    <xf numFmtId="184" fontId="27" fillId="45" borderId="0" applyNumberFormat="0" applyBorder="0" applyAlignment="0" applyProtection="0"/>
    <xf numFmtId="184" fontId="27" fillId="45" borderId="0" applyNumberFormat="0" applyBorder="0" applyAlignment="0" applyProtection="0"/>
    <xf numFmtId="184" fontId="27" fillId="45" borderId="0" applyNumberFormat="0" applyBorder="0" applyAlignment="0" applyProtection="0"/>
    <xf numFmtId="184" fontId="27" fillId="45" borderId="0" applyNumberFormat="0" applyBorder="0" applyAlignment="0" applyProtection="0"/>
    <xf numFmtId="184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71" fontId="28" fillId="17" borderId="0" applyNumberFormat="0" applyBorder="0" applyAlignment="0" applyProtection="0"/>
    <xf numFmtId="171" fontId="28" fillId="17" borderId="0" applyNumberFormat="0" applyBorder="0" applyAlignment="0" applyProtection="0"/>
    <xf numFmtId="0" fontId="29" fillId="17" borderId="0" applyNumberFormat="0" applyBorder="0" applyAlignment="0" applyProtection="0"/>
    <xf numFmtId="184" fontId="27" fillId="42" borderId="0" applyNumberFormat="0" applyBorder="0" applyAlignment="0" applyProtection="0"/>
    <xf numFmtId="184" fontId="27" fillId="42" borderId="0" applyNumberFormat="0" applyBorder="0" applyAlignment="0" applyProtection="0"/>
    <xf numFmtId="184" fontId="27" fillId="42" borderId="0" applyNumberFormat="0" applyBorder="0" applyAlignment="0" applyProtection="0"/>
    <xf numFmtId="184" fontId="27" fillId="42" borderId="0" applyNumberFormat="0" applyBorder="0" applyAlignment="0" applyProtection="0"/>
    <xf numFmtId="184" fontId="27" fillId="42" borderId="0" applyNumberFormat="0" applyBorder="0" applyAlignment="0" applyProtection="0"/>
    <xf numFmtId="184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71" fontId="28" fillId="21" borderId="0" applyNumberFormat="0" applyBorder="0" applyAlignment="0" applyProtection="0"/>
    <xf numFmtId="171" fontId="28" fillId="21" borderId="0" applyNumberFormat="0" applyBorder="0" applyAlignment="0" applyProtection="0"/>
    <xf numFmtId="0" fontId="29" fillId="21" borderId="0" applyNumberFormat="0" applyBorder="0" applyAlignment="0" applyProtection="0"/>
    <xf numFmtId="184" fontId="27" fillId="43" borderId="0" applyNumberFormat="0" applyBorder="0" applyAlignment="0" applyProtection="0"/>
    <xf numFmtId="184" fontId="27" fillId="43" borderId="0" applyNumberFormat="0" applyBorder="0" applyAlignment="0" applyProtection="0"/>
    <xf numFmtId="184" fontId="27" fillId="43" borderId="0" applyNumberFormat="0" applyBorder="0" applyAlignment="0" applyProtection="0"/>
    <xf numFmtId="184" fontId="27" fillId="43" borderId="0" applyNumberFormat="0" applyBorder="0" applyAlignment="0" applyProtection="0"/>
    <xf numFmtId="184" fontId="27" fillId="43" borderId="0" applyNumberFormat="0" applyBorder="0" applyAlignment="0" applyProtection="0"/>
    <xf numFmtId="184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1" fontId="28" fillId="25" borderId="0" applyNumberFormat="0" applyBorder="0" applyAlignment="0" applyProtection="0"/>
    <xf numFmtId="171" fontId="28" fillId="25" borderId="0" applyNumberFormat="0" applyBorder="0" applyAlignment="0" applyProtection="0"/>
    <xf numFmtId="0" fontId="29" fillId="25" borderId="0" applyNumberFormat="0" applyBorder="0" applyAlignment="0" applyProtection="0"/>
    <xf numFmtId="184" fontId="27" fillId="46" borderId="0" applyNumberFormat="0" applyBorder="0" applyAlignment="0" applyProtection="0"/>
    <xf numFmtId="184" fontId="27" fillId="46" borderId="0" applyNumberFormat="0" applyBorder="0" applyAlignment="0" applyProtection="0"/>
    <xf numFmtId="184" fontId="27" fillId="46" borderId="0" applyNumberFormat="0" applyBorder="0" applyAlignment="0" applyProtection="0"/>
    <xf numFmtId="184" fontId="27" fillId="46" borderId="0" applyNumberFormat="0" applyBorder="0" applyAlignment="0" applyProtection="0"/>
    <xf numFmtId="184" fontId="27" fillId="46" borderId="0" applyNumberFormat="0" applyBorder="0" applyAlignment="0" applyProtection="0"/>
    <xf numFmtId="184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71" fontId="28" fillId="29" borderId="0" applyNumberFormat="0" applyBorder="0" applyAlignment="0" applyProtection="0"/>
    <xf numFmtId="171" fontId="28" fillId="29" borderId="0" applyNumberFormat="0" applyBorder="0" applyAlignment="0" applyProtection="0"/>
    <xf numFmtId="0" fontId="29" fillId="29" borderId="0" applyNumberFormat="0" applyBorder="0" applyAlignment="0" applyProtection="0"/>
    <xf numFmtId="184" fontId="27" fillId="47" borderId="0" applyNumberFormat="0" applyBorder="0" applyAlignment="0" applyProtection="0"/>
    <xf numFmtId="184" fontId="27" fillId="47" borderId="0" applyNumberFormat="0" applyBorder="0" applyAlignment="0" applyProtection="0"/>
    <xf numFmtId="184" fontId="27" fillId="47" borderId="0" applyNumberFormat="0" applyBorder="0" applyAlignment="0" applyProtection="0"/>
    <xf numFmtId="184" fontId="27" fillId="47" borderId="0" applyNumberFormat="0" applyBorder="0" applyAlignment="0" applyProtection="0"/>
    <xf numFmtId="184" fontId="27" fillId="47" borderId="0" applyNumberFormat="0" applyBorder="0" applyAlignment="0" applyProtection="0"/>
    <xf numFmtId="184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171" fontId="28" fillId="33" borderId="0" applyNumberFormat="0" applyBorder="0" applyAlignment="0" applyProtection="0"/>
    <xf numFmtId="171" fontId="28" fillId="33" borderId="0" applyNumberFormat="0" applyBorder="0" applyAlignment="0" applyProtection="0"/>
    <xf numFmtId="0" fontId="29" fillId="33" borderId="0" applyNumberFormat="0" applyBorder="0" applyAlignment="0" applyProtection="0"/>
    <xf numFmtId="184" fontId="27" fillId="48" borderId="0" applyNumberFormat="0" applyBorder="0" applyAlignment="0" applyProtection="0"/>
    <xf numFmtId="184" fontId="27" fillId="48" borderId="0" applyNumberFormat="0" applyBorder="0" applyAlignment="0" applyProtection="0"/>
    <xf numFmtId="184" fontId="27" fillId="48" borderId="0" applyNumberFormat="0" applyBorder="0" applyAlignment="0" applyProtection="0"/>
    <xf numFmtId="184" fontId="27" fillId="48" borderId="0" applyNumberFormat="0" applyBorder="0" applyAlignment="0" applyProtection="0"/>
    <xf numFmtId="184" fontId="27" fillId="48" borderId="0" applyNumberFormat="0" applyBorder="0" applyAlignment="0" applyProtection="0"/>
    <xf numFmtId="184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171" fontId="28" fillId="10" borderId="0" applyNumberFormat="0" applyBorder="0" applyAlignment="0" applyProtection="0"/>
    <xf numFmtId="171" fontId="28" fillId="10" borderId="0" applyNumberFormat="0" applyBorder="0" applyAlignment="0" applyProtection="0"/>
    <xf numFmtId="0" fontId="29" fillId="10" borderId="0" applyNumberFormat="0" applyBorder="0" applyAlignment="0" applyProtection="0"/>
    <xf numFmtId="184" fontId="27" fillId="49" borderId="0" applyNumberFormat="0" applyBorder="0" applyAlignment="0" applyProtection="0"/>
    <xf numFmtId="184" fontId="27" fillId="49" borderId="0" applyNumberFormat="0" applyBorder="0" applyAlignment="0" applyProtection="0"/>
    <xf numFmtId="184" fontId="27" fillId="49" borderId="0" applyNumberFormat="0" applyBorder="0" applyAlignment="0" applyProtection="0"/>
    <xf numFmtId="184" fontId="27" fillId="49" borderId="0" applyNumberFormat="0" applyBorder="0" applyAlignment="0" applyProtection="0"/>
    <xf numFmtId="184" fontId="27" fillId="49" borderId="0" applyNumberFormat="0" applyBorder="0" applyAlignment="0" applyProtection="0"/>
    <xf numFmtId="184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171" fontId="28" fillId="14" borderId="0" applyNumberFormat="0" applyBorder="0" applyAlignment="0" applyProtection="0"/>
    <xf numFmtId="171" fontId="28" fillId="14" borderId="0" applyNumberFormat="0" applyBorder="0" applyAlignment="0" applyProtection="0"/>
    <xf numFmtId="0" fontId="29" fillId="14" borderId="0" applyNumberFormat="0" applyBorder="0" applyAlignment="0" applyProtection="0"/>
    <xf numFmtId="184" fontId="27" fillId="50" borderId="0" applyNumberFormat="0" applyBorder="0" applyAlignment="0" applyProtection="0"/>
    <xf numFmtId="184" fontId="27" fillId="50" borderId="0" applyNumberFormat="0" applyBorder="0" applyAlignment="0" applyProtection="0"/>
    <xf numFmtId="184" fontId="27" fillId="50" borderId="0" applyNumberFormat="0" applyBorder="0" applyAlignment="0" applyProtection="0"/>
    <xf numFmtId="184" fontId="27" fillId="50" borderId="0" applyNumberFormat="0" applyBorder="0" applyAlignment="0" applyProtection="0"/>
    <xf numFmtId="184" fontId="27" fillId="50" borderId="0" applyNumberFormat="0" applyBorder="0" applyAlignment="0" applyProtection="0"/>
    <xf numFmtId="184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171" fontId="28" fillId="18" borderId="0" applyNumberFormat="0" applyBorder="0" applyAlignment="0" applyProtection="0"/>
    <xf numFmtId="171" fontId="28" fillId="18" borderId="0" applyNumberFormat="0" applyBorder="0" applyAlignment="0" applyProtection="0"/>
    <xf numFmtId="0" fontId="29" fillId="18" borderId="0" applyNumberFormat="0" applyBorder="0" applyAlignment="0" applyProtection="0"/>
    <xf numFmtId="184" fontId="27" fillId="51" borderId="0" applyNumberFormat="0" applyBorder="0" applyAlignment="0" applyProtection="0"/>
    <xf numFmtId="184" fontId="27" fillId="51" borderId="0" applyNumberFormat="0" applyBorder="0" applyAlignment="0" applyProtection="0"/>
    <xf numFmtId="184" fontId="27" fillId="51" borderId="0" applyNumberFormat="0" applyBorder="0" applyAlignment="0" applyProtection="0"/>
    <xf numFmtId="184" fontId="27" fillId="51" borderId="0" applyNumberFormat="0" applyBorder="0" applyAlignment="0" applyProtection="0"/>
    <xf numFmtId="184" fontId="27" fillId="51" borderId="0" applyNumberFormat="0" applyBorder="0" applyAlignment="0" applyProtection="0"/>
    <xf numFmtId="184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171" fontId="28" fillId="22" borderId="0" applyNumberFormat="0" applyBorder="0" applyAlignment="0" applyProtection="0"/>
    <xf numFmtId="171" fontId="28" fillId="22" borderId="0" applyNumberFormat="0" applyBorder="0" applyAlignment="0" applyProtection="0"/>
    <xf numFmtId="0" fontId="29" fillId="22" borderId="0" applyNumberFormat="0" applyBorder="0" applyAlignment="0" applyProtection="0"/>
    <xf numFmtId="184" fontId="27" fillId="46" borderId="0" applyNumberFormat="0" applyBorder="0" applyAlignment="0" applyProtection="0"/>
    <xf numFmtId="184" fontId="27" fillId="46" borderId="0" applyNumberFormat="0" applyBorder="0" applyAlignment="0" applyProtection="0"/>
    <xf numFmtId="184" fontId="27" fillId="46" borderId="0" applyNumberFormat="0" applyBorder="0" applyAlignment="0" applyProtection="0"/>
    <xf numFmtId="184" fontId="27" fillId="46" borderId="0" applyNumberFormat="0" applyBorder="0" applyAlignment="0" applyProtection="0"/>
    <xf numFmtId="184" fontId="27" fillId="46" borderId="0" applyNumberFormat="0" applyBorder="0" applyAlignment="0" applyProtection="0"/>
    <xf numFmtId="184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171" fontId="28" fillId="26" borderId="0" applyNumberFormat="0" applyBorder="0" applyAlignment="0" applyProtection="0"/>
    <xf numFmtId="171" fontId="28" fillId="26" borderId="0" applyNumberFormat="0" applyBorder="0" applyAlignment="0" applyProtection="0"/>
    <xf numFmtId="0" fontId="29" fillId="26" borderId="0" applyNumberFormat="0" applyBorder="0" applyAlignment="0" applyProtection="0"/>
    <xf numFmtId="184" fontId="27" fillId="47" borderId="0" applyNumberFormat="0" applyBorder="0" applyAlignment="0" applyProtection="0"/>
    <xf numFmtId="184" fontId="27" fillId="47" borderId="0" applyNumberFormat="0" applyBorder="0" applyAlignment="0" applyProtection="0"/>
    <xf numFmtId="184" fontId="27" fillId="47" borderId="0" applyNumberFormat="0" applyBorder="0" applyAlignment="0" applyProtection="0"/>
    <xf numFmtId="184" fontId="27" fillId="47" borderId="0" applyNumberFormat="0" applyBorder="0" applyAlignment="0" applyProtection="0"/>
    <xf numFmtId="184" fontId="27" fillId="47" borderId="0" applyNumberFormat="0" applyBorder="0" applyAlignment="0" applyProtection="0"/>
    <xf numFmtId="184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171" fontId="28" fillId="30" borderId="0" applyNumberFormat="0" applyBorder="0" applyAlignment="0" applyProtection="0"/>
    <xf numFmtId="171" fontId="28" fillId="30" borderId="0" applyNumberFormat="0" applyBorder="0" applyAlignment="0" applyProtection="0"/>
    <xf numFmtId="0" fontId="29" fillId="30" borderId="0" applyNumberFormat="0" applyBorder="0" applyAlignment="0" applyProtection="0"/>
    <xf numFmtId="184" fontId="27" fillId="52" borderId="0" applyNumberFormat="0" applyBorder="0" applyAlignment="0" applyProtection="0"/>
    <xf numFmtId="184" fontId="27" fillId="52" borderId="0" applyNumberFormat="0" applyBorder="0" applyAlignment="0" applyProtection="0"/>
    <xf numFmtId="184" fontId="27" fillId="52" borderId="0" applyNumberFormat="0" applyBorder="0" applyAlignment="0" applyProtection="0"/>
    <xf numFmtId="184" fontId="27" fillId="52" borderId="0" applyNumberFormat="0" applyBorder="0" applyAlignment="0" applyProtection="0"/>
    <xf numFmtId="184" fontId="27" fillId="52" borderId="0" applyNumberFormat="0" applyBorder="0" applyAlignment="0" applyProtection="0"/>
    <xf numFmtId="184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171" fontId="31" fillId="4" borderId="0" applyNumberFormat="0" applyBorder="0" applyAlignment="0" applyProtection="0"/>
    <xf numFmtId="171" fontId="31" fillId="4" borderId="0" applyNumberFormat="0" applyBorder="0" applyAlignment="0" applyProtection="0"/>
    <xf numFmtId="0" fontId="32" fillId="4" borderId="0" applyNumberFormat="0" applyBorder="0" applyAlignment="0" applyProtection="0"/>
    <xf numFmtId="184" fontId="30" fillId="36" borderId="0" applyNumberFormat="0" applyBorder="0" applyAlignment="0" applyProtection="0"/>
    <xf numFmtId="184" fontId="30" fillId="36" borderId="0" applyNumberFormat="0" applyBorder="0" applyAlignment="0" applyProtection="0"/>
    <xf numFmtId="184" fontId="30" fillId="36" borderId="0" applyNumberFormat="0" applyBorder="0" applyAlignment="0" applyProtection="0"/>
    <xf numFmtId="184" fontId="30" fillId="36" borderId="0" applyNumberFormat="0" applyBorder="0" applyAlignment="0" applyProtection="0"/>
    <xf numFmtId="184" fontId="30" fillId="36" borderId="0" applyNumberFormat="0" applyBorder="0" applyAlignment="0" applyProtection="0"/>
    <xf numFmtId="184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3" fillId="0" borderId="27"/>
    <xf numFmtId="0" fontId="34" fillId="53" borderId="28" applyNumberFormat="0" applyAlignment="0" applyProtection="0"/>
    <xf numFmtId="0" fontId="34" fillId="53" borderId="28" applyNumberFormat="0" applyAlignment="0" applyProtection="0"/>
    <xf numFmtId="0" fontId="34" fillId="53" borderId="28" applyNumberFormat="0" applyAlignment="0" applyProtection="0"/>
    <xf numFmtId="0" fontId="34" fillId="53" borderId="28" applyNumberFormat="0" applyAlignment="0" applyProtection="0"/>
    <xf numFmtId="0" fontId="34" fillId="53" borderId="28" applyNumberFormat="0" applyAlignment="0" applyProtection="0"/>
    <xf numFmtId="171" fontId="35" fillId="7" borderId="17" applyNumberFormat="0" applyAlignment="0" applyProtection="0"/>
    <xf numFmtId="171" fontId="35" fillId="7" borderId="17" applyNumberFormat="0" applyAlignment="0" applyProtection="0"/>
    <xf numFmtId="0" fontId="36" fillId="7" borderId="17" applyNumberFormat="0" applyAlignment="0" applyProtection="0"/>
    <xf numFmtId="184" fontId="34" fillId="53" borderId="28" applyNumberFormat="0" applyAlignment="0" applyProtection="0"/>
    <xf numFmtId="184" fontId="34" fillId="53" borderId="28" applyNumberFormat="0" applyAlignment="0" applyProtection="0"/>
    <xf numFmtId="184" fontId="34" fillId="53" borderId="28" applyNumberFormat="0" applyAlignment="0" applyProtection="0"/>
    <xf numFmtId="184" fontId="34" fillId="53" borderId="28" applyNumberFormat="0" applyAlignment="0" applyProtection="0"/>
    <xf numFmtId="184" fontId="34" fillId="53" borderId="28" applyNumberFormat="0" applyAlignment="0" applyProtection="0"/>
    <xf numFmtId="184" fontId="34" fillId="53" borderId="28" applyNumberFormat="0" applyAlignment="0" applyProtection="0"/>
    <xf numFmtId="0" fontId="34" fillId="53" borderId="28" applyNumberFormat="0" applyAlignment="0" applyProtection="0"/>
    <xf numFmtId="0" fontId="37" fillId="54" borderId="29" applyNumberFormat="0" applyAlignment="0" applyProtection="0"/>
    <xf numFmtId="0" fontId="37" fillId="54" borderId="29" applyNumberFormat="0" applyAlignment="0" applyProtection="0"/>
    <xf numFmtId="0" fontId="37" fillId="54" borderId="29" applyNumberFormat="0" applyAlignment="0" applyProtection="0"/>
    <xf numFmtId="0" fontId="37" fillId="54" borderId="29" applyNumberFormat="0" applyAlignment="0" applyProtection="0"/>
    <xf numFmtId="0" fontId="37" fillId="54" borderId="29" applyNumberFormat="0" applyAlignment="0" applyProtection="0"/>
    <xf numFmtId="171" fontId="38" fillId="8" borderId="20" applyNumberFormat="0" applyAlignment="0" applyProtection="0"/>
    <xf numFmtId="171" fontId="38" fillId="8" borderId="20" applyNumberFormat="0" applyAlignment="0" applyProtection="0"/>
    <xf numFmtId="0" fontId="39" fillId="8" borderId="20" applyNumberFormat="0" applyAlignment="0" applyProtection="0"/>
    <xf numFmtId="184" fontId="37" fillId="54" borderId="29" applyNumberFormat="0" applyAlignment="0" applyProtection="0"/>
    <xf numFmtId="184" fontId="37" fillId="54" borderId="29" applyNumberFormat="0" applyAlignment="0" applyProtection="0"/>
    <xf numFmtId="184" fontId="37" fillId="54" borderId="29" applyNumberFormat="0" applyAlignment="0" applyProtection="0"/>
    <xf numFmtId="184" fontId="37" fillId="54" borderId="29" applyNumberFormat="0" applyAlignment="0" applyProtection="0"/>
    <xf numFmtId="184" fontId="37" fillId="54" borderId="29" applyNumberFormat="0" applyAlignment="0" applyProtection="0"/>
    <xf numFmtId="184" fontId="37" fillId="54" borderId="29" applyNumberFormat="0" applyAlignment="0" applyProtection="0"/>
    <xf numFmtId="0" fontId="37" fillId="54" borderId="29" applyNumberFormat="0" applyAlignment="0" applyProtection="0"/>
    <xf numFmtId="185" fontId="40" fillId="0" borderId="3" applyBorder="0">
      <alignment horizontal="center" vertical="center"/>
    </xf>
    <xf numFmtId="0" fontId="41" fillId="55" borderId="0">
      <alignment horizontal="left"/>
    </xf>
    <xf numFmtId="0" fontId="42" fillId="55" borderId="0">
      <alignment horizontal="right"/>
    </xf>
    <xf numFmtId="0" fontId="43" fillId="56" borderId="0">
      <alignment horizontal="center"/>
    </xf>
    <xf numFmtId="0" fontId="42" fillId="55" borderId="0">
      <alignment horizontal="right"/>
    </xf>
    <xf numFmtId="0" fontId="44" fillId="56" borderId="0">
      <alignment horizontal="left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57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43" borderId="30" applyNumberFormat="0" applyFont="0" applyAlignment="0">
      <protection locked="0"/>
    </xf>
    <xf numFmtId="0" fontId="1" fillId="43" borderId="30" applyNumberFormat="0" applyFont="0" applyAlignment="0">
      <protection locked="0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184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1" fontId="8" fillId="0" borderId="0" applyProtection="0"/>
    <xf numFmtId="171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1" fontId="9" fillId="0" borderId="0" applyProtection="0"/>
    <xf numFmtId="171" fontId="9" fillId="0" borderId="0" applyProtection="0"/>
    <xf numFmtId="0" fontId="9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171" fontId="48" fillId="0" borderId="0" applyProtection="0"/>
    <xf numFmtId="171" fontId="48" fillId="0" borderId="0" applyProtection="0"/>
    <xf numFmtId="0" fontId="48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1" fontId="5" fillId="0" borderId="0" applyProtection="0"/>
    <xf numFmtId="171" fontId="5" fillId="0" borderId="0" applyProtection="0"/>
    <xf numFmtId="0" fontId="5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171" fontId="1" fillId="0" borderId="0" applyProtection="0"/>
    <xf numFmtId="171" fontId="1" fillId="0" borderId="0" applyProtection="0"/>
    <xf numFmtId="0" fontId="1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71" fontId="8" fillId="0" borderId="0" applyProtection="0"/>
    <xf numFmtId="171" fontId="8" fillId="0" borderId="0" applyProtection="0"/>
    <xf numFmtId="0" fontId="8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171" fontId="49" fillId="0" borderId="0" applyProtection="0"/>
    <xf numFmtId="171" fontId="49" fillId="0" borderId="0" applyProtection="0"/>
    <xf numFmtId="0" fontId="49" fillId="0" borderId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171" fontId="51" fillId="3" borderId="0" applyNumberFormat="0" applyBorder="0" applyAlignment="0" applyProtection="0"/>
    <xf numFmtId="171" fontId="51" fillId="3" borderId="0" applyNumberFormat="0" applyBorder="0" applyAlignment="0" applyProtection="0"/>
    <xf numFmtId="0" fontId="52" fillId="3" borderId="0" applyNumberFormat="0" applyBorder="0" applyAlignment="0" applyProtection="0"/>
    <xf numFmtId="184" fontId="50" fillId="37" borderId="0" applyNumberFormat="0" applyBorder="0" applyAlignment="0" applyProtection="0"/>
    <xf numFmtId="184" fontId="50" fillId="37" borderId="0" applyNumberFormat="0" applyBorder="0" applyAlignment="0" applyProtection="0"/>
    <xf numFmtId="184" fontId="50" fillId="37" borderId="0" applyNumberFormat="0" applyBorder="0" applyAlignment="0" applyProtection="0"/>
    <xf numFmtId="184" fontId="50" fillId="37" borderId="0" applyNumberFormat="0" applyBorder="0" applyAlignment="0" applyProtection="0"/>
    <xf numFmtId="184" fontId="50" fillId="37" borderId="0" applyNumberFormat="0" applyBorder="0" applyAlignment="0" applyProtection="0"/>
    <xf numFmtId="184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1" fontId="14" fillId="0" borderId="14" applyNumberFormat="0" applyFill="0" applyAlignment="0" applyProtection="0"/>
    <xf numFmtId="171" fontId="1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4" fontId="53" fillId="0" borderId="31" applyNumberFormat="0" applyFill="0" applyAlignment="0" applyProtection="0"/>
    <xf numFmtId="184" fontId="53" fillId="0" borderId="31" applyNumberFormat="0" applyFill="0" applyAlignment="0" applyProtection="0"/>
    <xf numFmtId="184" fontId="53" fillId="0" borderId="31" applyNumberFormat="0" applyFill="0" applyAlignment="0" applyProtection="0"/>
    <xf numFmtId="184" fontId="53" fillId="0" borderId="31" applyNumberFormat="0" applyFill="0" applyAlignment="0" applyProtection="0"/>
    <xf numFmtId="184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5" fillId="0" borderId="32" applyNumberFormat="0" applyFill="0" applyAlignment="0" applyProtection="0"/>
    <xf numFmtId="171" fontId="15" fillId="0" borderId="15" applyNumberFormat="0" applyFill="0" applyAlignment="0" applyProtection="0"/>
    <xf numFmtId="171" fontId="15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4" fontId="55" fillId="0" borderId="32" applyNumberFormat="0" applyFill="0" applyAlignment="0" applyProtection="0"/>
    <xf numFmtId="184" fontId="55" fillId="0" borderId="32" applyNumberFormat="0" applyFill="0" applyAlignment="0" applyProtection="0"/>
    <xf numFmtId="184" fontId="55" fillId="0" borderId="32" applyNumberFormat="0" applyFill="0" applyAlignment="0" applyProtection="0"/>
    <xf numFmtId="184" fontId="55" fillId="0" borderId="32" applyNumberFormat="0" applyFill="0" applyAlignment="0" applyProtection="0"/>
    <xf numFmtId="184" fontId="55" fillId="0" borderId="32" applyNumberFormat="0" applyFill="0" applyAlignment="0" applyProtection="0"/>
    <xf numFmtId="0" fontId="55" fillId="0" borderId="32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33" applyNumberFormat="0" applyFill="0" applyAlignment="0" applyProtection="0"/>
    <xf numFmtId="171" fontId="16" fillId="0" borderId="16" applyNumberFormat="0" applyFill="0" applyAlignment="0" applyProtection="0"/>
    <xf numFmtId="171" fontId="16" fillId="0" borderId="16" applyNumberFormat="0" applyFill="0" applyAlignment="0" applyProtection="0"/>
    <xf numFmtId="0" fontId="58" fillId="0" borderId="16" applyNumberFormat="0" applyFill="0" applyAlignment="0" applyProtection="0"/>
    <xf numFmtId="184" fontId="57" fillId="0" borderId="33" applyNumberFormat="0" applyFill="0" applyAlignment="0" applyProtection="0"/>
    <xf numFmtId="184" fontId="57" fillId="0" borderId="33" applyNumberFormat="0" applyFill="0" applyAlignment="0" applyProtection="0"/>
    <xf numFmtId="184" fontId="57" fillId="0" borderId="33" applyNumberFormat="0" applyFill="0" applyAlignment="0" applyProtection="0"/>
    <xf numFmtId="184" fontId="57" fillId="0" borderId="33" applyNumberFormat="0" applyFill="0" applyAlignment="0" applyProtection="0"/>
    <xf numFmtId="184" fontId="57" fillId="0" borderId="33" applyNumberFormat="0" applyFill="0" applyAlignment="0" applyProtection="0"/>
    <xf numFmtId="184" fontId="57" fillId="0" borderId="33" applyNumberFormat="0" applyFill="0" applyAlignment="0" applyProtection="0"/>
    <xf numFmtId="0" fontId="57" fillId="0" borderId="3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16" fillId="0" borderId="0" applyNumberFormat="0" applyFill="0" applyBorder="0" applyAlignment="0" applyProtection="0"/>
    <xf numFmtId="171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18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40" borderId="28" applyNumberFormat="0" applyAlignment="0" applyProtection="0"/>
    <xf numFmtId="0" fontId="59" fillId="40" borderId="28" applyNumberFormat="0" applyAlignment="0" applyProtection="0"/>
    <xf numFmtId="0" fontId="59" fillId="40" borderId="28" applyNumberFormat="0" applyAlignment="0" applyProtection="0"/>
    <xf numFmtId="0" fontId="59" fillId="40" borderId="28" applyNumberFormat="0" applyAlignment="0" applyProtection="0"/>
    <xf numFmtId="0" fontId="59" fillId="40" borderId="28" applyNumberFormat="0" applyAlignment="0" applyProtection="0"/>
    <xf numFmtId="171" fontId="60" fillId="6" borderId="17" applyNumberFormat="0" applyAlignment="0" applyProtection="0"/>
    <xf numFmtId="171" fontId="60" fillId="6" borderId="17" applyNumberFormat="0" applyAlignment="0" applyProtection="0"/>
    <xf numFmtId="0" fontId="61" fillId="6" borderId="17" applyNumberFormat="0" applyAlignment="0" applyProtection="0"/>
    <xf numFmtId="184" fontId="59" fillId="40" borderId="28" applyNumberFormat="0" applyAlignment="0" applyProtection="0"/>
    <xf numFmtId="184" fontId="59" fillId="40" borderId="28" applyNumberFormat="0" applyAlignment="0" applyProtection="0"/>
    <xf numFmtId="184" fontId="59" fillId="40" borderId="28" applyNumberFormat="0" applyAlignment="0" applyProtection="0"/>
    <xf numFmtId="184" fontId="59" fillId="40" borderId="28" applyNumberFormat="0" applyAlignment="0" applyProtection="0"/>
    <xf numFmtId="184" fontId="59" fillId="40" borderId="28" applyNumberFormat="0" applyAlignment="0" applyProtection="0"/>
    <xf numFmtId="184" fontId="59" fillId="40" borderId="28" applyNumberFormat="0" applyAlignment="0" applyProtection="0"/>
    <xf numFmtId="0" fontId="59" fillId="40" borderId="28" applyNumberFormat="0" applyAlignment="0" applyProtection="0"/>
    <xf numFmtId="0" fontId="41" fillId="55" borderId="0">
      <alignment horizontal="left"/>
    </xf>
    <xf numFmtId="0" fontId="62" fillId="56" borderId="0">
      <alignment horizontal="left"/>
    </xf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1" fontId="64" fillId="0" borderId="19" applyNumberFormat="0" applyFill="0" applyAlignment="0" applyProtection="0"/>
    <xf numFmtId="171" fontId="64" fillId="0" borderId="19" applyNumberFormat="0" applyFill="0" applyAlignment="0" applyProtection="0"/>
    <xf numFmtId="0" fontId="65" fillId="0" borderId="19" applyNumberFormat="0" applyFill="0" applyAlignment="0" applyProtection="0"/>
    <xf numFmtId="184" fontId="63" fillId="0" borderId="34" applyNumberFormat="0" applyFill="0" applyAlignment="0" applyProtection="0"/>
    <xf numFmtId="184" fontId="63" fillId="0" borderId="34" applyNumberFormat="0" applyFill="0" applyAlignment="0" applyProtection="0"/>
    <xf numFmtId="184" fontId="63" fillId="0" borderId="34" applyNumberFormat="0" applyFill="0" applyAlignment="0" applyProtection="0"/>
    <xf numFmtId="184" fontId="63" fillId="0" borderId="34" applyNumberFormat="0" applyFill="0" applyAlignment="0" applyProtection="0"/>
    <xf numFmtId="184" fontId="63" fillId="0" borderId="34" applyNumberFormat="0" applyFill="0" applyAlignment="0" applyProtection="0"/>
    <xf numFmtId="184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66" fillId="58" borderId="0" applyNumberFormat="0" applyBorder="0" applyAlignment="0" applyProtection="0"/>
    <xf numFmtId="171" fontId="67" fillId="5" borderId="0" applyNumberFormat="0" applyBorder="0" applyAlignment="0" applyProtection="0"/>
    <xf numFmtId="171" fontId="67" fillId="5" borderId="0" applyNumberFormat="0" applyBorder="0" applyAlignment="0" applyProtection="0"/>
    <xf numFmtId="0" fontId="68" fillId="5" borderId="0" applyNumberFormat="0" applyBorder="0" applyAlignment="0" applyProtection="0"/>
    <xf numFmtId="184" fontId="66" fillId="58" borderId="0" applyNumberFormat="0" applyBorder="0" applyAlignment="0" applyProtection="0"/>
    <xf numFmtId="184" fontId="66" fillId="58" borderId="0" applyNumberFormat="0" applyBorder="0" applyAlignment="0" applyProtection="0"/>
    <xf numFmtId="184" fontId="66" fillId="58" borderId="0" applyNumberFormat="0" applyBorder="0" applyAlignment="0" applyProtection="0"/>
    <xf numFmtId="184" fontId="66" fillId="58" borderId="0" applyNumberFormat="0" applyBorder="0" applyAlignment="0" applyProtection="0"/>
    <xf numFmtId="184" fontId="66" fillId="58" borderId="0" applyNumberFormat="0" applyBorder="0" applyAlignment="0" applyProtection="0"/>
    <xf numFmtId="184" fontId="66" fillId="58" borderId="0" applyNumberFormat="0" applyBorder="0" applyAlignment="0" applyProtection="0"/>
    <xf numFmtId="0" fontId="66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71" fontId="1" fillId="0" borderId="0"/>
    <xf numFmtId="171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71" fontId="25" fillId="0" borderId="0"/>
    <xf numFmtId="171" fontId="25" fillId="0" borderId="0"/>
    <xf numFmtId="0" fontId="21" fillId="0" borderId="0"/>
    <xf numFmtId="0" fontId="1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5" fillId="0" borderId="0"/>
    <xf numFmtId="0" fontId="1" fillId="0" borderId="0"/>
    <xf numFmtId="171" fontId="25" fillId="0" borderId="0"/>
    <xf numFmtId="171" fontId="25" fillId="0" borderId="0"/>
    <xf numFmtId="0" fontId="1" fillId="0" borderId="0"/>
    <xf numFmtId="0" fontId="1" fillId="0" borderId="0"/>
    <xf numFmtId="0" fontId="1" fillId="0" borderId="0"/>
    <xf numFmtId="171" fontId="25" fillId="0" borderId="0"/>
    <xf numFmtId="0" fontId="26" fillId="0" borderId="0"/>
    <xf numFmtId="0" fontId="26" fillId="0" borderId="0"/>
    <xf numFmtId="0" fontId="1" fillId="0" borderId="0"/>
    <xf numFmtId="171" fontId="25" fillId="0" borderId="0"/>
    <xf numFmtId="171" fontId="25" fillId="0" borderId="0"/>
    <xf numFmtId="0" fontId="1" fillId="0" borderId="0"/>
    <xf numFmtId="0" fontId="1" fillId="0" borderId="0"/>
    <xf numFmtId="171" fontId="25" fillId="0" borderId="0"/>
    <xf numFmtId="171" fontId="25" fillId="0" borderId="0"/>
    <xf numFmtId="0" fontId="1" fillId="0" borderId="0"/>
    <xf numFmtId="0" fontId="1" fillId="0" borderId="0"/>
    <xf numFmtId="171" fontId="25" fillId="0" borderId="0"/>
    <xf numFmtId="171" fontId="25" fillId="0" borderId="0"/>
    <xf numFmtId="0" fontId="1" fillId="0" borderId="0"/>
    <xf numFmtId="0" fontId="70" fillId="59" borderId="35" applyNumberFormat="0" applyFont="0" applyAlignment="0" applyProtection="0"/>
    <xf numFmtId="0" fontId="70" fillId="59" borderId="35" applyNumberFormat="0" applyFont="0" applyAlignment="0" applyProtection="0"/>
    <xf numFmtId="0" fontId="70" fillId="59" borderId="35" applyNumberFormat="0" applyFont="0" applyAlignment="0" applyProtection="0"/>
    <xf numFmtId="0" fontId="70" fillId="59" borderId="35" applyNumberFormat="0" applyFont="0" applyAlignment="0" applyProtection="0"/>
    <xf numFmtId="0" fontId="70" fillId="59" borderId="35" applyNumberFormat="0" applyFont="0" applyAlignment="0" applyProtection="0"/>
    <xf numFmtId="0" fontId="21" fillId="59" borderId="35" applyNumberFormat="0" applyFont="0" applyAlignment="0" applyProtection="0"/>
    <xf numFmtId="171" fontId="70" fillId="9" borderId="21" applyNumberFormat="0" applyFont="0" applyAlignment="0" applyProtection="0"/>
    <xf numFmtId="171" fontId="70" fillId="9" borderId="21" applyNumberFormat="0" applyFont="0" applyAlignment="0" applyProtection="0"/>
    <xf numFmtId="0" fontId="21" fillId="59" borderId="35" applyNumberFormat="0" applyFont="0" applyAlignment="0" applyProtection="0"/>
    <xf numFmtId="171" fontId="70" fillId="9" borderId="21" applyNumberFormat="0" applyFont="0" applyAlignment="0" applyProtection="0"/>
    <xf numFmtId="171" fontId="70" fillId="9" borderId="21" applyNumberFormat="0" applyFont="0" applyAlignment="0" applyProtection="0"/>
    <xf numFmtId="184" fontId="70" fillId="59" borderId="35" applyNumberFormat="0" applyFont="0" applyAlignment="0" applyProtection="0"/>
    <xf numFmtId="171" fontId="70" fillId="9" borderId="21" applyNumberFormat="0" applyFont="0" applyAlignment="0" applyProtection="0"/>
    <xf numFmtId="171" fontId="70" fillId="9" borderId="21" applyNumberFormat="0" applyFont="0" applyAlignment="0" applyProtection="0"/>
    <xf numFmtId="184" fontId="70" fillId="59" borderId="35" applyNumberFormat="0" applyFont="0" applyAlignment="0" applyProtection="0"/>
    <xf numFmtId="171" fontId="70" fillId="9" borderId="21" applyNumberFormat="0" applyFont="0" applyAlignment="0" applyProtection="0"/>
    <xf numFmtId="171" fontId="70" fillId="9" borderId="21" applyNumberFormat="0" applyFont="0" applyAlignment="0" applyProtection="0"/>
    <xf numFmtId="184" fontId="70" fillId="59" borderId="35" applyNumberFormat="0" applyFont="0" applyAlignment="0" applyProtection="0"/>
    <xf numFmtId="171" fontId="70" fillId="9" borderId="21" applyNumberFormat="0" applyFont="0" applyAlignment="0" applyProtection="0"/>
    <xf numFmtId="171" fontId="70" fillId="9" borderId="21" applyNumberFormat="0" applyFont="0" applyAlignment="0" applyProtection="0"/>
    <xf numFmtId="184" fontId="70" fillId="59" borderId="35" applyNumberFormat="0" applyFont="0" applyAlignment="0" applyProtection="0"/>
    <xf numFmtId="171" fontId="70" fillId="9" borderId="21" applyNumberFormat="0" applyFont="0" applyAlignment="0" applyProtection="0"/>
    <xf numFmtId="171" fontId="70" fillId="9" borderId="21" applyNumberFormat="0" applyFont="0" applyAlignment="0" applyProtection="0"/>
    <xf numFmtId="184" fontId="70" fillId="59" borderId="35" applyNumberFormat="0" applyFont="0" applyAlignment="0" applyProtection="0"/>
    <xf numFmtId="171" fontId="70" fillId="9" borderId="21" applyNumberFormat="0" applyFont="0" applyAlignment="0" applyProtection="0"/>
    <xf numFmtId="171" fontId="70" fillId="9" borderId="21" applyNumberFormat="0" applyFont="0" applyAlignment="0" applyProtection="0"/>
    <xf numFmtId="0" fontId="70" fillId="59" borderId="35" applyNumberFormat="0" applyFont="0" applyAlignment="0" applyProtection="0"/>
    <xf numFmtId="0" fontId="71" fillId="53" borderId="36" applyNumberFormat="0" applyAlignment="0" applyProtection="0"/>
    <xf numFmtId="0" fontId="71" fillId="53" borderId="36" applyNumberFormat="0" applyAlignment="0" applyProtection="0"/>
    <xf numFmtId="0" fontId="71" fillId="53" borderId="36" applyNumberFormat="0" applyAlignment="0" applyProtection="0"/>
    <xf numFmtId="0" fontId="71" fillId="53" borderId="36" applyNumberFormat="0" applyAlignment="0" applyProtection="0"/>
    <xf numFmtId="0" fontId="71" fillId="53" borderId="36" applyNumberFormat="0" applyAlignment="0" applyProtection="0"/>
    <xf numFmtId="171" fontId="72" fillId="7" borderId="18" applyNumberFormat="0" applyAlignment="0" applyProtection="0"/>
    <xf numFmtId="171" fontId="72" fillId="7" borderId="18" applyNumberFormat="0" applyAlignment="0" applyProtection="0"/>
    <xf numFmtId="0" fontId="73" fillId="7" borderId="18" applyNumberFormat="0" applyAlignment="0" applyProtection="0"/>
    <xf numFmtId="184" fontId="71" fillId="53" borderId="36" applyNumberFormat="0" applyAlignment="0" applyProtection="0"/>
    <xf numFmtId="184" fontId="71" fillId="53" borderId="36" applyNumberFormat="0" applyAlignment="0" applyProtection="0"/>
    <xf numFmtId="184" fontId="71" fillId="53" borderId="36" applyNumberFormat="0" applyAlignment="0" applyProtection="0"/>
    <xf numFmtId="184" fontId="71" fillId="53" borderId="36" applyNumberFormat="0" applyAlignment="0" applyProtection="0"/>
    <xf numFmtId="184" fontId="71" fillId="53" borderId="36" applyNumberFormat="0" applyAlignment="0" applyProtection="0"/>
    <xf numFmtId="184" fontId="71" fillId="53" borderId="36" applyNumberFormat="0" applyAlignment="0" applyProtection="0"/>
    <xf numFmtId="0" fontId="71" fillId="53" borderId="36" applyNumberFormat="0" applyAlignment="0" applyProtection="0"/>
    <xf numFmtId="4" fontId="74" fillId="60" borderId="0">
      <alignment horizontal="right"/>
    </xf>
    <xf numFmtId="0" fontId="75" fillId="60" borderId="0">
      <alignment horizontal="center" vertical="center"/>
    </xf>
    <xf numFmtId="0" fontId="75" fillId="60" borderId="0">
      <alignment horizontal="center" vertical="center"/>
    </xf>
    <xf numFmtId="0" fontId="75" fillId="60" borderId="0">
      <alignment horizontal="center" vertical="center"/>
    </xf>
    <xf numFmtId="0" fontId="75" fillId="60" borderId="0">
      <alignment horizontal="center" vertical="center"/>
    </xf>
    <xf numFmtId="0" fontId="75" fillId="60" borderId="0">
      <alignment horizontal="center" vertical="center"/>
    </xf>
    <xf numFmtId="0" fontId="75" fillId="60" borderId="0">
      <alignment horizontal="center" vertical="center"/>
    </xf>
    <xf numFmtId="0" fontId="75" fillId="60" borderId="0">
      <alignment horizontal="center" vertical="center"/>
    </xf>
    <xf numFmtId="171" fontId="75" fillId="60" borderId="0">
      <alignment horizontal="center" vertical="center"/>
    </xf>
    <xf numFmtId="171" fontId="75" fillId="60" borderId="0">
      <alignment horizontal="center" vertical="center"/>
    </xf>
    <xf numFmtId="0" fontId="75" fillId="60" borderId="0">
      <alignment horizontal="center" vertical="center"/>
    </xf>
    <xf numFmtId="0" fontId="62" fillId="60" borderId="3"/>
    <xf numFmtId="0" fontId="62" fillId="60" borderId="3"/>
    <xf numFmtId="0" fontId="62" fillId="60" borderId="3"/>
    <xf numFmtId="0" fontId="62" fillId="60" borderId="3"/>
    <xf numFmtId="0" fontId="62" fillId="60" borderId="3"/>
    <xf numFmtId="0" fontId="62" fillId="60" borderId="3"/>
    <xf numFmtId="0" fontId="62" fillId="60" borderId="3"/>
    <xf numFmtId="171" fontId="62" fillId="60" borderId="3"/>
    <xf numFmtId="171" fontId="62" fillId="60" borderId="3"/>
    <xf numFmtId="0" fontId="62" fillId="60" borderId="3"/>
    <xf numFmtId="0" fontId="75" fillId="60" borderId="0" applyBorder="0">
      <alignment horizontal="centerContinuous"/>
    </xf>
    <xf numFmtId="0" fontId="75" fillId="60" borderId="0" applyBorder="0">
      <alignment horizontal="centerContinuous"/>
    </xf>
    <xf numFmtId="0" fontId="75" fillId="60" borderId="0" applyBorder="0">
      <alignment horizontal="centerContinuous"/>
    </xf>
    <xf numFmtId="0" fontId="75" fillId="60" borderId="0" applyBorder="0">
      <alignment horizontal="centerContinuous"/>
    </xf>
    <xf numFmtId="0" fontId="75" fillId="60" borderId="0" applyBorder="0">
      <alignment horizontal="centerContinuous"/>
    </xf>
    <xf numFmtId="0" fontId="75" fillId="60" borderId="0" applyBorder="0">
      <alignment horizontal="centerContinuous"/>
    </xf>
    <xf numFmtId="0" fontId="75" fillId="60" borderId="0" applyBorder="0">
      <alignment horizontal="centerContinuous"/>
    </xf>
    <xf numFmtId="171" fontId="75" fillId="60" borderId="0" applyBorder="0">
      <alignment horizontal="centerContinuous"/>
    </xf>
    <xf numFmtId="171" fontId="75" fillId="60" borderId="0" applyBorder="0">
      <alignment horizontal="centerContinuous"/>
    </xf>
    <xf numFmtId="0" fontId="75" fillId="60" borderId="0" applyBorder="0">
      <alignment horizontal="centerContinuous"/>
    </xf>
    <xf numFmtId="0" fontId="76" fillId="60" borderId="0" applyBorder="0">
      <alignment horizontal="centerContinuous"/>
    </xf>
    <xf numFmtId="0" fontId="76" fillId="60" borderId="0" applyBorder="0">
      <alignment horizontal="centerContinuous"/>
    </xf>
    <xf numFmtId="0" fontId="76" fillId="60" borderId="0" applyBorder="0">
      <alignment horizontal="centerContinuous"/>
    </xf>
    <xf numFmtId="0" fontId="76" fillId="60" borderId="0" applyBorder="0">
      <alignment horizontal="centerContinuous"/>
    </xf>
    <xf numFmtId="0" fontId="76" fillId="60" borderId="0" applyBorder="0">
      <alignment horizontal="centerContinuous"/>
    </xf>
    <xf numFmtId="0" fontId="76" fillId="60" borderId="0" applyBorder="0">
      <alignment horizontal="centerContinuous"/>
    </xf>
    <xf numFmtId="0" fontId="76" fillId="60" borderId="0" applyBorder="0">
      <alignment horizontal="centerContinuous"/>
    </xf>
    <xf numFmtId="171" fontId="76" fillId="60" borderId="0" applyBorder="0">
      <alignment horizontal="centerContinuous"/>
    </xf>
    <xf numFmtId="171" fontId="76" fillId="60" borderId="0" applyBorder="0">
      <alignment horizontal="centerContinuous"/>
    </xf>
    <xf numFmtId="0" fontId="76" fillId="60" borderId="0" applyBorder="0">
      <alignment horizontal="centerContinuous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horizontal="left"/>
    </xf>
    <xf numFmtId="15" fontId="6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77" fillId="0" borderId="10">
      <alignment horizontal="center"/>
    </xf>
    <xf numFmtId="3" fontId="69" fillId="0" borderId="0" applyFont="0" applyFill="0" applyBorder="0" applyAlignment="0" applyProtection="0"/>
    <xf numFmtId="0" fontId="69" fillId="61" borderId="0" applyNumberFormat="0" applyFont="0" applyBorder="0" applyAlignment="0" applyProtection="0"/>
    <xf numFmtId="0" fontId="62" fillId="58" borderId="0">
      <alignment horizontal="center"/>
    </xf>
    <xf numFmtId="49" fontId="78" fillId="56" borderId="0">
      <alignment horizontal="center"/>
    </xf>
    <xf numFmtId="0" fontId="42" fillId="55" borderId="0">
      <alignment horizontal="center"/>
    </xf>
    <xf numFmtId="0" fontId="42" fillId="55" borderId="0">
      <alignment horizontal="centerContinuous"/>
    </xf>
    <xf numFmtId="0" fontId="79" fillId="56" borderId="0">
      <alignment horizontal="left"/>
    </xf>
    <xf numFmtId="49" fontId="79" fillId="56" borderId="0">
      <alignment horizontal="center"/>
    </xf>
    <xf numFmtId="0" fontId="41" fillId="55" borderId="0">
      <alignment horizontal="left"/>
    </xf>
    <xf numFmtId="49" fontId="79" fillId="56" borderId="0">
      <alignment horizontal="left"/>
    </xf>
    <xf numFmtId="0" fontId="41" fillId="55" borderId="0">
      <alignment horizontal="centerContinuous"/>
    </xf>
    <xf numFmtId="0" fontId="41" fillId="55" borderId="0">
      <alignment horizontal="right"/>
    </xf>
    <xf numFmtId="49" fontId="62" fillId="56" borderId="0">
      <alignment horizontal="left"/>
    </xf>
    <xf numFmtId="0" fontId="42" fillId="55" borderId="0">
      <alignment horizontal="right"/>
    </xf>
    <xf numFmtId="0" fontId="79" fillId="40" borderId="0">
      <alignment horizontal="center"/>
    </xf>
    <xf numFmtId="0" fontId="80" fillId="40" borderId="0">
      <alignment horizontal="center"/>
    </xf>
    <xf numFmtId="4" fontId="8" fillId="62" borderId="37" applyNumberFormat="0" applyProtection="0">
      <alignment vertical="center"/>
    </xf>
    <xf numFmtId="4" fontId="81" fillId="62" borderId="38" applyNumberFormat="0" applyProtection="0">
      <alignment vertical="center"/>
    </xf>
    <xf numFmtId="4" fontId="8" fillId="62" borderId="37" applyNumberFormat="0" applyProtection="0">
      <alignment horizontal="left" vertical="center" indent="1"/>
    </xf>
    <xf numFmtId="0" fontId="8" fillId="63" borderId="38" applyNumberFormat="0" applyProtection="0">
      <alignment horizontal="left" vertical="top" indent="1"/>
    </xf>
    <xf numFmtId="4" fontId="8" fillId="64" borderId="0" applyNumberFormat="0" applyProtection="0">
      <alignment horizontal="left" vertical="center" indent="1"/>
    </xf>
    <xf numFmtId="4" fontId="1" fillId="62" borderId="38" applyNumberFormat="0" applyProtection="0">
      <alignment horizontal="right" vertical="center"/>
    </xf>
    <xf numFmtId="4" fontId="82" fillId="65" borderId="38" applyNumberFormat="0" applyProtection="0">
      <alignment horizontal="right" vertical="center"/>
    </xf>
    <xf numFmtId="4" fontId="82" fillId="66" borderId="38" applyNumberFormat="0" applyProtection="0">
      <alignment horizontal="right" vertical="center"/>
    </xf>
    <xf numFmtId="4" fontId="1" fillId="58" borderId="38" applyNumberFormat="0" applyProtection="0">
      <alignment horizontal="right" vertical="center"/>
    </xf>
    <xf numFmtId="4" fontId="1" fillId="41" borderId="38" applyNumberFormat="0" applyProtection="0">
      <alignment horizontal="right" vertical="center"/>
    </xf>
    <xf numFmtId="4" fontId="1" fillId="36" borderId="38" applyNumberFormat="0" applyProtection="0">
      <alignment horizontal="right" vertical="center"/>
    </xf>
    <xf numFmtId="4" fontId="82" fillId="50" borderId="38" applyNumberFormat="0" applyProtection="0">
      <alignment horizontal="right" vertical="center"/>
    </xf>
    <xf numFmtId="4" fontId="82" fillId="48" borderId="38" applyNumberFormat="0" applyProtection="0">
      <alignment horizontal="right" vertical="center"/>
    </xf>
    <xf numFmtId="4" fontId="1" fillId="47" borderId="38" applyNumberFormat="0" applyProtection="0">
      <alignment horizontal="right" vertical="center"/>
    </xf>
    <xf numFmtId="4" fontId="8" fillId="67" borderId="0" applyNumberFormat="0" applyProtection="0">
      <alignment horizontal="left" vertical="center" indent="1"/>
    </xf>
    <xf numFmtId="4" fontId="1" fillId="52" borderId="0" applyNumberFormat="0" applyProtection="0">
      <alignment horizontal="left" vertical="center" indent="1"/>
    </xf>
    <xf numFmtId="4" fontId="78" fillId="68" borderId="0" applyNumberFormat="0" applyProtection="0">
      <alignment horizontal="left" vertical="center" indent="1"/>
    </xf>
    <xf numFmtId="4" fontId="78" fillId="68" borderId="0" applyNumberFormat="0" applyProtection="0">
      <alignment horizontal="left" vertical="center" indent="1"/>
    </xf>
    <xf numFmtId="4" fontId="1" fillId="52" borderId="37" applyNumberFormat="0" applyProtection="0">
      <alignment horizontal="right" vertical="center"/>
    </xf>
    <xf numFmtId="4" fontId="1" fillId="52" borderId="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0" fontId="1" fillId="52" borderId="37" applyNumberFormat="0" applyProtection="0">
      <alignment horizontal="left" vertical="center" indent="1"/>
    </xf>
    <xf numFmtId="0" fontId="1" fillId="52" borderId="37" applyNumberFormat="0" applyProtection="0">
      <alignment horizontal="left" vertical="center" indent="1"/>
    </xf>
    <xf numFmtId="0" fontId="1" fillId="52" borderId="38" applyNumberFormat="0" applyProtection="0">
      <alignment horizontal="left" vertical="top" indent="1"/>
    </xf>
    <xf numFmtId="0" fontId="1" fillId="52" borderId="38" applyNumberFormat="0" applyProtection="0">
      <alignment horizontal="left" vertical="top" indent="1"/>
    </xf>
    <xf numFmtId="0" fontId="1" fillId="52" borderId="37" applyNumberFormat="0" applyProtection="0">
      <alignment horizontal="left" vertical="center" indent="1"/>
    </xf>
    <xf numFmtId="0" fontId="1" fillId="52" borderId="37" applyNumberFormat="0" applyProtection="0">
      <alignment horizontal="left" vertical="center" indent="1"/>
    </xf>
    <xf numFmtId="0" fontId="1" fillId="52" borderId="38" applyNumberFormat="0" applyProtection="0">
      <alignment horizontal="left" vertical="top" indent="1"/>
    </xf>
    <xf numFmtId="0" fontId="1" fillId="52" borderId="38" applyNumberFormat="0" applyProtection="0">
      <alignment horizontal="left" vertical="top" indent="1"/>
    </xf>
    <xf numFmtId="0" fontId="1" fillId="52" borderId="37" applyNumberFormat="0" applyProtection="0">
      <alignment horizontal="left" vertical="center" indent="1"/>
    </xf>
    <xf numFmtId="0" fontId="1" fillId="52" borderId="37" applyNumberFormat="0" applyProtection="0">
      <alignment horizontal="left" vertical="center" indent="1"/>
    </xf>
    <xf numFmtId="0" fontId="1" fillId="52" borderId="38" applyNumberFormat="0" applyProtection="0">
      <alignment horizontal="left" vertical="top" indent="1"/>
    </xf>
    <xf numFmtId="0" fontId="1" fillId="52" borderId="38" applyNumberFormat="0" applyProtection="0">
      <alignment horizontal="left" vertical="top" indent="1"/>
    </xf>
    <xf numFmtId="0" fontId="1" fillId="52" borderId="37" applyNumberFormat="0" applyProtection="0">
      <alignment horizontal="left" vertical="center" indent="1"/>
    </xf>
    <xf numFmtId="0" fontId="1" fillId="52" borderId="37" applyNumberFormat="0" applyProtection="0">
      <alignment horizontal="left" vertical="center" indent="1"/>
    </xf>
    <xf numFmtId="0" fontId="1" fillId="52" borderId="38" applyNumberFormat="0" applyProtection="0">
      <alignment horizontal="left" vertical="top" indent="1"/>
    </xf>
    <xf numFmtId="0" fontId="1" fillId="52" borderId="38" applyNumberFormat="0" applyProtection="0">
      <alignment horizontal="left" vertical="top" indent="1"/>
    </xf>
    <xf numFmtId="4" fontId="74" fillId="69" borderId="38" applyNumberFormat="0" applyProtection="0">
      <alignment vertical="center"/>
    </xf>
    <xf numFmtId="4" fontId="2" fillId="69" borderId="38" applyNumberFormat="0" applyProtection="0">
      <alignment vertical="center"/>
    </xf>
    <xf numFmtId="4" fontId="1" fillId="52" borderId="38" applyNumberFormat="0" applyProtection="0">
      <alignment horizontal="left" vertical="center" indent="1"/>
    </xf>
    <xf numFmtId="0" fontId="1" fillId="52" borderId="38" applyNumberFormat="0" applyProtection="0">
      <alignment horizontal="left" vertical="top" indent="1"/>
    </xf>
    <xf numFmtId="4" fontId="1" fillId="70" borderId="37" applyNumberFormat="0" applyProtection="0">
      <alignment horizontal="right" vertical="center"/>
    </xf>
    <xf numFmtId="4" fontId="8" fillId="70" borderId="37" applyNumberFormat="0" applyProtection="0">
      <alignment horizontal="right" vertical="center"/>
    </xf>
    <xf numFmtId="4" fontId="1" fillId="52" borderId="37" applyNumberFormat="0" applyProtection="0">
      <alignment horizontal="left" vertical="center" indent="1"/>
    </xf>
    <xf numFmtId="0" fontId="1" fillId="52" borderId="37" applyNumberFormat="0" applyProtection="0">
      <alignment horizontal="left" vertical="top" indent="1"/>
    </xf>
    <xf numFmtId="4" fontId="83" fillId="0" borderId="0" applyNumberFormat="0" applyProtection="0">
      <alignment horizontal="left" vertical="center" indent="1"/>
    </xf>
    <xf numFmtId="4" fontId="1" fillId="0" borderId="38" applyNumberFormat="0" applyProtection="0">
      <alignment horizontal="right" vertical="center"/>
    </xf>
    <xf numFmtId="0" fontId="1" fillId="0" borderId="39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1" fontId="13" fillId="0" borderId="0" applyNumberFormat="0" applyFill="0" applyBorder="0" applyAlignment="0" applyProtection="0"/>
    <xf numFmtId="171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4" fontId="84" fillId="0" borderId="0" applyNumberFormat="0" applyFill="0" applyBorder="0" applyAlignment="0" applyProtection="0"/>
    <xf numFmtId="184" fontId="84" fillId="0" borderId="0" applyNumberFormat="0" applyFill="0" applyBorder="0" applyAlignment="0" applyProtection="0"/>
    <xf numFmtId="184" fontId="84" fillId="0" borderId="0" applyNumberFormat="0" applyFill="0" applyBorder="0" applyAlignment="0" applyProtection="0"/>
    <xf numFmtId="184" fontId="84" fillId="0" borderId="0" applyNumberFormat="0" applyFill="0" applyBorder="0" applyAlignment="0" applyProtection="0"/>
    <xf numFmtId="184" fontId="84" fillId="0" borderId="0" applyNumberFormat="0" applyFill="0" applyBorder="0" applyAlignment="0" applyProtection="0"/>
    <xf numFmtId="184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171" fontId="86" fillId="0" borderId="22" applyNumberFormat="0" applyFill="0" applyAlignment="0" applyProtection="0"/>
    <xf numFmtId="171" fontId="86" fillId="0" borderId="22" applyNumberFormat="0" applyFill="0" applyAlignment="0" applyProtection="0"/>
    <xf numFmtId="0" fontId="1" fillId="0" borderId="41" applyNumberFormat="0" applyFont="0" applyFill="0" applyAlignment="0" applyProtection="0"/>
    <xf numFmtId="0" fontId="1" fillId="0" borderId="41" applyNumberFormat="0" applyFont="0" applyFill="0" applyAlignment="0" applyProtection="0"/>
    <xf numFmtId="0" fontId="1" fillId="0" borderId="41" applyNumberFormat="0" applyFont="0" applyFill="0" applyAlignment="0" applyProtection="0"/>
    <xf numFmtId="0" fontId="1" fillId="0" borderId="41" applyNumberFormat="0" applyFont="0" applyFill="0" applyAlignment="0" applyProtection="0"/>
    <xf numFmtId="184" fontId="85" fillId="0" borderId="40" applyNumberFormat="0" applyFill="0" applyAlignment="0" applyProtection="0"/>
    <xf numFmtId="184" fontId="85" fillId="0" borderId="40" applyNumberFormat="0" applyFill="0" applyAlignment="0" applyProtection="0"/>
    <xf numFmtId="184" fontId="85" fillId="0" borderId="40" applyNumberFormat="0" applyFill="0" applyAlignment="0" applyProtection="0"/>
    <xf numFmtId="184" fontId="85" fillId="0" borderId="40" applyNumberFormat="0" applyFill="0" applyAlignment="0" applyProtection="0"/>
    <xf numFmtId="184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20" fillId="0" borderId="0"/>
    <xf numFmtId="0" fontId="20" fillId="0" borderId="0"/>
    <xf numFmtId="0" fontId="87" fillId="56" borderId="0">
      <alignment horizont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84" fontId="88" fillId="0" borderId="0" applyNumberFormat="0" applyFill="0" applyBorder="0" applyAlignment="0" applyProtection="0"/>
    <xf numFmtId="184" fontId="88" fillId="0" borderId="0" applyNumberFormat="0" applyFill="0" applyBorder="0" applyAlignment="0" applyProtection="0"/>
    <xf numFmtId="184" fontId="88" fillId="0" borderId="0" applyNumberFormat="0" applyFill="0" applyBorder="0" applyAlignment="0" applyProtection="0"/>
    <xf numFmtId="184" fontId="88" fillId="0" borderId="0" applyNumberFormat="0" applyFill="0" applyBorder="0" applyAlignment="0" applyProtection="0"/>
    <xf numFmtId="184" fontId="88" fillId="0" borderId="0" applyNumberFormat="0" applyFill="0" applyBorder="0" applyAlignment="0" applyProtection="0"/>
    <xf numFmtId="184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35">
    <xf numFmtId="0" fontId="0" fillId="0" borderId="0" xfId="0"/>
    <xf numFmtId="0" fontId="17" fillId="0" borderId="0" xfId="0" applyFont="1" applyFill="1" applyProtection="1"/>
    <xf numFmtId="43" fontId="18" fillId="0" borderId="1" xfId="1" applyFont="1" applyFill="1" applyBorder="1" applyAlignment="1" applyProtection="1">
      <alignment horizontal="centerContinuous"/>
    </xf>
    <xf numFmtId="43" fontId="18" fillId="0" borderId="4" xfId="1" applyFont="1" applyFill="1" applyBorder="1" applyAlignment="1" applyProtection="1">
      <alignment horizontal="centerContinuous"/>
    </xf>
    <xf numFmtId="43" fontId="18" fillId="0" borderId="5" xfId="1" applyFont="1" applyFill="1" applyBorder="1" applyAlignment="1" applyProtection="1">
      <alignment horizontal="centerContinuous"/>
    </xf>
    <xf numFmtId="43" fontId="17" fillId="0" borderId="1" xfId="1" applyFont="1" applyFill="1" applyBorder="1" applyAlignment="1" applyProtection="1">
      <alignment horizontal="centerContinuous"/>
    </xf>
    <xf numFmtId="43" fontId="17" fillId="0" borderId="4" xfId="1" applyFont="1" applyFill="1" applyBorder="1" applyAlignment="1" applyProtection="1">
      <alignment horizontal="centerContinuous"/>
    </xf>
    <xf numFmtId="167" fontId="18" fillId="0" borderId="6" xfId="1" applyNumberFormat="1" applyFont="1" applyFill="1" applyBorder="1" applyAlignment="1" applyProtection="1"/>
    <xf numFmtId="43" fontId="17" fillId="0" borderId="3" xfId="1" applyFont="1" applyFill="1" applyBorder="1" applyAlignment="1" applyProtection="1">
      <alignment horizontal="center"/>
    </xf>
    <xf numFmtId="167" fontId="18" fillId="0" borderId="3" xfId="1" applyNumberFormat="1" applyFont="1" applyFill="1" applyBorder="1" applyAlignment="1" applyProtection="1">
      <alignment horizontal="center"/>
    </xf>
    <xf numFmtId="167" fontId="18" fillId="0" borderId="2" xfId="1" applyNumberFormat="1" applyFont="1" applyFill="1" applyBorder="1" applyAlignment="1" applyProtection="1">
      <alignment horizontal="center"/>
    </xf>
    <xf numFmtId="167" fontId="18" fillId="0" borderId="8" xfId="1" applyNumberFormat="1" applyFont="1" applyFill="1" applyBorder="1" applyAlignment="1" applyProtection="1">
      <alignment horizontal="centerContinuous"/>
    </xf>
    <xf numFmtId="167" fontId="18" fillId="0" borderId="4" xfId="1" applyNumberFormat="1" applyFont="1" applyFill="1" applyBorder="1" applyAlignment="1" applyProtection="1">
      <alignment horizontal="centerContinuous"/>
    </xf>
    <xf numFmtId="167" fontId="18" fillId="0" borderId="1" xfId="1" applyNumberFormat="1" applyFont="1" applyFill="1" applyBorder="1" applyAlignment="1" applyProtection="1">
      <alignment horizontal="centerContinuous"/>
    </xf>
    <xf numFmtId="167" fontId="17" fillId="0" borderId="1" xfId="1" applyNumberFormat="1" applyFont="1" applyFill="1" applyBorder="1" applyAlignment="1" applyProtection="1">
      <alignment horizontal="centerContinuous"/>
    </xf>
    <xf numFmtId="167" fontId="17" fillId="0" borderId="4" xfId="1" applyNumberFormat="1" applyFont="1" applyFill="1" applyBorder="1" applyAlignment="1" applyProtection="1">
      <alignment horizontal="centerContinuous"/>
    </xf>
    <xf numFmtId="167" fontId="18" fillId="0" borderId="6" xfId="1" applyNumberFormat="1" applyFont="1" applyFill="1" applyBorder="1" applyAlignment="1" applyProtection="1">
      <alignment horizontal="center"/>
    </xf>
    <xf numFmtId="167" fontId="18" fillId="0" borderId="0" xfId="1" applyNumberFormat="1" applyFont="1" applyFill="1" applyBorder="1" applyAlignment="1" applyProtection="1">
      <alignment horizontal="center"/>
    </xf>
    <xf numFmtId="167" fontId="18" fillId="0" borderId="3" xfId="1" applyNumberFormat="1" applyFont="1" applyFill="1" applyBorder="1" applyAlignment="1" applyProtection="1">
      <alignment horizontal="center"/>
    </xf>
    <xf numFmtId="167" fontId="18" fillId="0" borderId="0" xfId="1" applyNumberFormat="1" applyFont="1" applyFill="1" applyBorder="1" applyAlignment="1" applyProtection="1">
      <alignment horizontal="center"/>
    </xf>
    <xf numFmtId="167" fontId="18" fillId="0" borderId="0" xfId="1" applyNumberFormat="1" applyFont="1" applyFill="1" applyAlignment="1" applyProtection="1">
      <alignment horizontal="center"/>
    </xf>
    <xf numFmtId="167" fontId="18" fillId="0" borderId="11" xfId="1" applyNumberFormat="1" applyFont="1" applyFill="1" applyBorder="1" applyAlignment="1" applyProtection="1">
      <alignment horizontal="centerContinuous"/>
    </xf>
    <xf numFmtId="167" fontId="18" fillId="0" borderId="12" xfId="1" applyNumberFormat="1" applyFont="1" applyFill="1" applyBorder="1" applyAlignment="1" applyProtection="1">
      <alignment horizontal="centerContinuous"/>
    </xf>
    <xf numFmtId="167" fontId="18" fillId="0" borderId="1" xfId="1" applyNumberFormat="1" applyFont="1" applyFill="1" applyBorder="1" applyAlignment="1" applyProtection="1">
      <alignment horizontal="left"/>
    </xf>
    <xf numFmtId="167" fontId="18" fillId="0" borderId="13" xfId="1" applyNumberFormat="1" applyFont="1" applyFill="1" applyBorder="1" applyAlignment="1" applyProtection="1">
      <alignment horizontal="centerContinuous"/>
    </xf>
    <xf numFmtId="166" fontId="17" fillId="0" borderId="0" xfId="1" applyNumberFormat="1" applyFont="1" applyFill="1" applyBorder="1" applyAlignment="1" applyProtection="1">
      <alignment horizontal="left"/>
    </xf>
    <xf numFmtId="166" fontId="17" fillId="0" borderId="0" xfId="1" applyNumberFormat="1" applyFont="1" applyFill="1" applyBorder="1" applyAlignment="1" applyProtection="1">
      <alignment horizontal="centerContinuous"/>
    </xf>
    <xf numFmtId="167" fontId="17" fillId="0" borderId="3" xfId="1" applyNumberFormat="1" applyFont="1" applyFill="1" applyBorder="1" applyAlignment="1" applyProtection="1">
      <alignment horizontal="centerContinuous"/>
    </xf>
    <xf numFmtId="167" fontId="17" fillId="0" borderId="3" xfId="1" applyNumberFormat="1" applyFont="1" applyFill="1" applyBorder="1" applyAlignment="1" applyProtection="1">
      <alignment horizontal="center"/>
    </xf>
    <xf numFmtId="166" fontId="17" fillId="0" borderId="2" xfId="1" applyNumberFormat="1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7" fillId="0" borderId="0" xfId="0" applyFont="1" applyFill="1" applyAlignment="1" applyProtection="1">
      <alignment horizontal="center"/>
    </xf>
    <xf numFmtId="43" fontId="17" fillId="0" borderId="2" xfId="1" applyFont="1" applyFill="1" applyBorder="1" applyAlignment="1" applyProtection="1">
      <alignment horizontal="center"/>
    </xf>
    <xf numFmtId="43" fontId="17" fillId="0" borderId="0" xfId="1" applyFont="1" applyFill="1" applyBorder="1" applyAlignment="1" applyProtection="1">
      <alignment horizontal="center"/>
    </xf>
    <xf numFmtId="43" fontId="17" fillId="0" borderId="11" xfId="1" applyFont="1" applyFill="1" applyBorder="1" applyAlignment="1" applyProtection="1">
      <alignment horizontal="centerContinuous"/>
    </xf>
    <xf numFmtId="43" fontId="17" fillId="0" borderId="1" xfId="1" applyFont="1" applyFill="1" applyBorder="1" applyAlignment="1" applyProtection="1">
      <alignment horizontal="center"/>
    </xf>
    <xf numFmtId="43" fontId="17" fillId="0" borderId="3" xfId="1" applyFont="1" applyFill="1" applyBorder="1" applyAlignment="1" applyProtection="1">
      <alignment horizontal="centerContinuous"/>
    </xf>
    <xf numFmtId="167" fontId="17" fillId="0" borderId="6" xfId="1" applyNumberFormat="1" applyFont="1" applyFill="1" applyBorder="1" applyAlignment="1" applyProtection="1"/>
    <xf numFmtId="167" fontId="17" fillId="0" borderId="3" xfId="1" quotePrefix="1" applyNumberFormat="1" applyFont="1" applyFill="1" applyBorder="1" applyAlignment="1" applyProtection="1">
      <alignment horizontal="center"/>
    </xf>
    <xf numFmtId="167" fontId="17" fillId="0" borderId="3" xfId="1" applyNumberFormat="1" applyFont="1" applyFill="1" applyBorder="1" applyProtection="1"/>
    <xf numFmtId="167" fontId="17" fillId="0" borderId="7" xfId="1" applyNumberFormat="1" applyFont="1" applyFill="1" applyBorder="1" applyAlignment="1" applyProtection="1">
      <alignment horizontal="center"/>
    </xf>
    <xf numFmtId="167" fontId="17" fillId="0" borderId="11" xfId="1" applyNumberFormat="1" applyFont="1" applyFill="1" applyBorder="1" applyAlignment="1" applyProtection="1">
      <alignment horizontal="centerContinuous"/>
    </xf>
    <xf numFmtId="167" fontId="17" fillId="0" borderId="12" xfId="1" applyNumberFormat="1" applyFont="1" applyFill="1" applyBorder="1" applyAlignment="1" applyProtection="1">
      <alignment horizontal="centerContinuous"/>
    </xf>
    <xf numFmtId="167" fontId="17" fillId="0" borderId="1" xfId="1" applyNumberFormat="1" applyFont="1" applyFill="1" applyBorder="1" applyAlignment="1" applyProtection="1">
      <alignment horizontal="left"/>
    </xf>
    <xf numFmtId="166" fontId="17" fillId="0" borderId="1" xfId="1" applyNumberFormat="1" applyFont="1" applyFill="1" applyBorder="1" applyAlignment="1" applyProtection="1">
      <alignment horizontal="left"/>
    </xf>
    <xf numFmtId="166" fontId="17" fillId="0" borderId="1" xfId="1" applyNumberFormat="1" applyFont="1" applyFill="1" applyBorder="1" applyAlignment="1" applyProtection="1">
      <alignment horizontal="centerContinuous"/>
    </xf>
    <xf numFmtId="166" fontId="17" fillId="0" borderId="5" xfId="1" applyNumberFormat="1" applyFont="1" applyFill="1" applyBorder="1" applyAlignment="1" applyProtection="1">
      <alignment horizontal="center"/>
    </xf>
    <xf numFmtId="43" fontId="17" fillId="0" borderId="8" xfId="1" applyFont="1" applyFill="1" applyBorder="1" applyAlignment="1" applyProtection="1">
      <alignment horizontal="center"/>
    </xf>
    <xf numFmtId="43" fontId="17" fillId="0" borderId="4" xfId="1" applyFont="1" applyFill="1" applyBorder="1" applyAlignment="1" applyProtection="1">
      <alignment horizontal="center"/>
    </xf>
    <xf numFmtId="43" fontId="17" fillId="0" borderId="7" xfId="1" applyFont="1" applyFill="1" applyBorder="1" applyAlignment="1" applyProtection="1">
      <alignment horizontal="center"/>
    </xf>
    <xf numFmtId="43" fontId="17" fillId="0" borderId="3" xfId="1" applyFont="1" applyFill="1" applyBorder="1" applyAlignment="1" applyProtection="1">
      <alignment wrapText="1"/>
    </xf>
    <xf numFmtId="43" fontId="17" fillId="0" borderId="3" xfId="1" applyFont="1" applyFill="1" applyBorder="1" applyProtection="1"/>
    <xf numFmtId="167" fontId="17" fillId="0" borderId="8" xfId="1" applyNumberFormat="1" applyFont="1" applyFill="1" applyBorder="1" applyAlignment="1" applyProtection="1"/>
    <xf numFmtId="167" fontId="17" fillId="0" borderId="3" xfId="1" applyNumberFormat="1" applyFont="1" applyFill="1" applyBorder="1" applyAlignment="1" applyProtection="1">
      <alignment horizontal="center" wrapText="1"/>
    </xf>
    <xf numFmtId="167" fontId="17" fillId="0" borderId="9" xfId="1" applyNumberFormat="1" applyFont="1" applyFill="1" applyBorder="1" applyAlignment="1" applyProtection="1">
      <alignment horizontal="center"/>
    </xf>
    <xf numFmtId="167" fontId="17" fillId="0" borderId="2" xfId="1" applyNumberFormat="1" applyFont="1" applyFill="1" applyBorder="1" applyAlignment="1" applyProtection="1">
      <alignment horizontal="center"/>
    </xf>
    <xf numFmtId="167" fontId="17" fillId="0" borderId="7" xfId="1" applyNumberFormat="1" applyFont="1" applyFill="1" applyBorder="1" applyProtection="1"/>
    <xf numFmtId="166" fontId="17" fillId="0" borderId="7" xfId="1" applyNumberFormat="1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167" fontId="17" fillId="0" borderId="2" xfId="1" applyNumberFormat="1" applyFont="1" applyFill="1" applyBorder="1" applyProtection="1"/>
    <xf numFmtId="167" fontId="17" fillId="0" borderId="2" xfId="1" quotePrefix="1" applyNumberFormat="1" applyFont="1" applyFill="1" applyBorder="1" applyAlignment="1" applyProtection="1">
      <alignment horizontal="center"/>
    </xf>
    <xf numFmtId="167" fontId="18" fillId="0" borderId="6" xfId="1" applyNumberFormat="1" applyFont="1" applyFill="1" applyBorder="1" applyAlignment="1" applyProtection="1">
      <alignment horizontal="centerContinuous"/>
    </xf>
    <xf numFmtId="167" fontId="18" fillId="0" borderId="3" xfId="1" applyNumberFormat="1" applyFont="1" applyFill="1" applyBorder="1" applyAlignment="1" applyProtection="1">
      <alignment horizontal="centerContinuous"/>
    </xf>
    <xf numFmtId="167" fontId="17" fillId="0" borderId="2" xfId="1" applyNumberFormat="1" applyFont="1" applyFill="1" applyBorder="1" applyAlignment="1" applyProtection="1">
      <alignment horizontal="left"/>
    </xf>
    <xf numFmtId="166" fontId="17" fillId="0" borderId="2" xfId="1" quotePrefix="1" applyNumberFormat="1" applyFont="1" applyFill="1" applyBorder="1" applyAlignment="1" applyProtection="1">
      <alignment horizontal="center"/>
    </xf>
    <xf numFmtId="0" fontId="17" fillId="0" borderId="4" xfId="0" quotePrefix="1" applyFont="1" applyFill="1" applyBorder="1" applyAlignment="1" applyProtection="1">
      <alignment horizontal="center"/>
    </xf>
    <xf numFmtId="0" fontId="17" fillId="0" borderId="4" xfId="1" quotePrefix="1" applyNumberFormat="1" applyFont="1" applyFill="1" applyBorder="1" applyAlignment="1" applyProtection="1">
      <alignment horizontal="center"/>
    </xf>
    <xf numFmtId="0" fontId="17" fillId="0" borderId="5" xfId="1" quotePrefix="1" applyNumberFormat="1" applyFont="1" applyFill="1" applyBorder="1" applyAlignment="1" applyProtection="1">
      <alignment horizontal="center"/>
    </xf>
    <xf numFmtId="17" fontId="17" fillId="0" borderId="0" xfId="0" applyNumberFormat="1" applyFont="1" applyFill="1" applyProtection="1">
      <protection locked="0"/>
    </xf>
    <xf numFmtId="43" fontId="17" fillId="0" borderId="0" xfId="1" applyFont="1" applyFill="1" applyProtection="1">
      <protection locked="0"/>
    </xf>
    <xf numFmtId="43" fontId="17" fillId="0" borderId="3" xfId="1" applyFont="1" applyFill="1" applyBorder="1" applyProtection="1">
      <protection locked="0"/>
    </xf>
    <xf numFmtId="43" fontId="17" fillId="0" borderId="0" xfId="1" applyFont="1" applyFill="1" applyBorder="1" applyProtection="1">
      <protection locked="0"/>
    </xf>
    <xf numFmtId="167" fontId="17" fillId="0" borderId="0" xfId="1" applyNumberFormat="1" applyFont="1" applyFill="1" applyProtection="1">
      <protection locked="0"/>
    </xf>
    <xf numFmtId="166" fontId="17" fillId="0" borderId="0" xfId="1" applyNumberFormat="1" applyFont="1" applyFill="1" applyProtection="1">
      <protection locked="0"/>
    </xf>
    <xf numFmtId="167" fontId="17" fillId="0" borderId="0" xfId="1" applyNumberFormat="1" applyFont="1" applyFill="1" applyBorder="1" applyProtection="1">
      <protection locked="0"/>
    </xf>
    <xf numFmtId="43" fontId="17" fillId="0" borderId="0" xfId="0" applyNumberFormat="1" applyFont="1" applyFill="1" applyBorder="1" applyProtection="1">
      <protection locked="0"/>
    </xf>
    <xf numFmtId="0" fontId="17" fillId="0" borderId="0" xfId="0" applyFont="1" applyFill="1" applyProtection="1">
      <protection locked="0"/>
    </xf>
    <xf numFmtId="167" fontId="17" fillId="0" borderId="0" xfId="0" applyNumberFormat="1" applyFont="1" applyFill="1" applyProtection="1">
      <protection locked="0"/>
    </xf>
    <xf numFmtId="43" fontId="17" fillId="0" borderId="0" xfId="1" quotePrefix="1" applyFont="1" applyFill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0" fontId="9" fillId="0" borderId="0" xfId="4" applyFont="1"/>
    <xf numFmtId="17" fontId="9" fillId="0" borderId="0" xfId="4" applyNumberFormat="1" applyFont="1" applyAlignment="1">
      <alignment horizontal="center"/>
    </xf>
    <xf numFmtId="0" fontId="9" fillId="0" borderId="23" xfId="4" applyFont="1" applyBorder="1"/>
    <xf numFmtId="0" fontId="9" fillId="0" borderId="24" xfId="4" applyFont="1" applyBorder="1"/>
    <xf numFmtId="0" fontId="9" fillId="0" borderId="9" xfId="4" applyFont="1" applyBorder="1"/>
    <xf numFmtId="0" fontId="9" fillId="0" borderId="6" xfId="4" applyFont="1" applyBorder="1"/>
    <xf numFmtId="0" fontId="9" fillId="0" borderId="0" xfId="4" applyFont="1" applyBorder="1"/>
    <xf numFmtId="179" fontId="9" fillId="0" borderId="3" xfId="2" applyNumberFormat="1" applyFont="1" applyBorder="1"/>
    <xf numFmtId="167" fontId="9" fillId="0" borderId="3" xfId="4" applyNumberFormat="1" applyFont="1" applyBorder="1"/>
    <xf numFmtId="0" fontId="9" fillId="0" borderId="3" xfId="4" applyFont="1" applyBorder="1"/>
    <xf numFmtId="180" fontId="9" fillId="0" borderId="3" xfId="2" applyNumberFormat="1" applyFont="1" applyBorder="1"/>
    <xf numFmtId="180" fontId="9" fillId="0" borderId="3" xfId="4" applyNumberFormat="1" applyFont="1" applyBorder="1"/>
    <xf numFmtId="0" fontId="9" fillId="0" borderId="8" xfId="4" applyFont="1" applyBorder="1"/>
    <xf numFmtId="0" fontId="9" fillId="0" borderId="1" xfId="4" applyFont="1" applyBorder="1"/>
    <xf numFmtId="0" fontId="9" fillId="0" borderId="4" xfId="4" applyFont="1" applyBorder="1"/>
    <xf numFmtId="167" fontId="19" fillId="0" borderId="3" xfId="4" applyNumberFormat="1" applyFont="1" applyBorder="1"/>
    <xf numFmtId="0" fontId="9" fillId="0" borderId="6" xfId="4" quotePrefix="1" applyFont="1" applyBorder="1" applyAlignment="1">
      <alignment horizontal="left"/>
    </xf>
    <xf numFmtId="179" fontId="9" fillId="0" borderId="3" xfId="4" applyNumberFormat="1" applyFont="1" applyBorder="1"/>
    <xf numFmtId="167" fontId="9" fillId="0" borderId="3" xfId="1" applyNumberFormat="1" applyFont="1" applyBorder="1"/>
    <xf numFmtId="167" fontId="19" fillId="0" borderId="3" xfId="1" applyNumberFormat="1" applyFont="1" applyBorder="1"/>
    <xf numFmtId="167" fontId="9" fillId="0" borderId="4" xfId="4" applyNumberFormat="1" applyFont="1" applyBorder="1"/>
    <xf numFmtId="167" fontId="9" fillId="0" borderId="9" xfId="4" applyNumberFormat="1" applyFont="1" applyBorder="1"/>
    <xf numFmtId="181" fontId="9" fillId="0" borderId="3" xfId="3" applyNumberFormat="1" applyFont="1" applyBorder="1"/>
    <xf numFmtId="43" fontId="9" fillId="0" borderId="4" xfId="4" applyNumberFormat="1" applyFont="1" applyBorder="1"/>
    <xf numFmtId="179" fontId="9" fillId="0" borderId="4" xfId="4" applyNumberFormat="1" applyFont="1" applyBorder="1"/>
    <xf numFmtId="0" fontId="9" fillId="0" borderId="0" xfId="4" quotePrefix="1" applyFont="1" applyAlignment="1">
      <alignment horizontal="left"/>
    </xf>
    <xf numFmtId="0" fontId="9" fillId="0" borderId="0" xfId="4" quotePrefix="1" applyFont="1" applyBorder="1" applyAlignment="1">
      <alignment horizontal="left"/>
    </xf>
    <xf numFmtId="167" fontId="9" fillId="0" borderId="3" xfId="1" quotePrefix="1" applyNumberFormat="1" applyFont="1" applyBorder="1" applyAlignment="1">
      <alignment horizontal="left"/>
    </xf>
    <xf numFmtId="17" fontId="9" fillId="0" borderId="0" xfId="4" applyNumberFormat="1" applyFont="1"/>
    <xf numFmtId="167" fontId="17" fillId="2" borderId="0" xfId="1" applyNumberFormat="1" applyFont="1" applyFill="1" applyProtection="1">
      <protection locked="0"/>
    </xf>
    <xf numFmtId="37" fontId="21" fillId="0" borderId="0" xfId="7" applyFont="1" applyAlignment="1">
      <alignment horizontal="fill"/>
    </xf>
    <xf numFmtId="37" fontId="21" fillId="0" borderId="0" xfId="7" applyFont="1"/>
    <xf numFmtId="37" fontId="21" fillId="0" borderId="0" xfId="7" applyFont="1" applyAlignment="1">
      <alignment horizontal="left"/>
    </xf>
    <xf numFmtId="37" fontId="22" fillId="0" borderId="0" xfId="7" applyFont="1" applyAlignment="1">
      <alignment horizontal="right"/>
    </xf>
    <xf numFmtId="37" fontId="22" fillId="0" borderId="0" xfId="7" quotePrefix="1" applyFont="1" applyAlignment="1">
      <alignment horizontal="right"/>
    </xf>
    <xf numFmtId="37" fontId="23" fillId="0" borderId="0" xfId="7" quotePrefix="1" applyFont="1" applyAlignment="1">
      <alignment horizontal="center"/>
    </xf>
    <xf numFmtId="37" fontId="22" fillId="0" borderId="0" xfId="7" applyFont="1" applyAlignment="1">
      <alignment horizontal="centerContinuous"/>
    </xf>
    <xf numFmtId="37" fontId="21" fillId="0" borderId="0" xfId="7" applyFont="1" applyAlignment="1"/>
    <xf numFmtId="37" fontId="22" fillId="0" borderId="0" xfId="7" applyFont="1" applyAlignment="1">
      <alignment horizontal="center"/>
    </xf>
    <xf numFmtId="37" fontId="23" fillId="0" borderId="0" xfId="7" applyFont="1" applyAlignment="1">
      <alignment horizontal="center"/>
    </xf>
    <xf numFmtId="0" fontId="21" fillId="0" borderId="0" xfId="8" applyFont="1"/>
    <xf numFmtId="0" fontId="21" fillId="0" borderId="0" xfId="8" applyFont="1" applyBorder="1" applyAlignment="1">
      <alignment horizontal="center"/>
    </xf>
    <xf numFmtId="0" fontId="21" fillId="0" borderId="0" xfId="8" applyFont="1" applyAlignment="1">
      <alignment horizontal="center"/>
    </xf>
    <xf numFmtId="37" fontId="21" fillId="0" borderId="0" xfId="7" applyFont="1" applyBorder="1"/>
    <xf numFmtId="0" fontId="21" fillId="0" borderId="1" xfId="8" applyFont="1" applyBorder="1" applyAlignment="1">
      <alignment horizontal="center"/>
    </xf>
    <xf numFmtId="37" fontId="21" fillId="0" borderId="0" xfId="7" applyFont="1" applyBorder="1" applyAlignment="1">
      <alignment horizontal="left"/>
    </xf>
    <xf numFmtId="17" fontId="21" fillId="0" borderId="0" xfId="8" applyNumberFormat="1" applyFont="1" applyAlignment="1">
      <alignment horizontal="center"/>
    </xf>
    <xf numFmtId="167" fontId="21" fillId="0" borderId="0" xfId="1" applyNumberFormat="1" applyFont="1" applyBorder="1"/>
    <xf numFmtId="37" fontId="21" fillId="0" borderId="0" xfId="9" applyFont="1"/>
    <xf numFmtId="179" fontId="21" fillId="0" borderId="25" xfId="2" applyNumberFormat="1" applyFont="1" applyBorder="1"/>
    <xf numFmtId="179" fontId="21" fillId="0" borderId="0" xfId="2" applyNumberFormat="1" applyFont="1" applyBorder="1"/>
    <xf numFmtId="179" fontId="21" fillId="0" borderId="26" xfId="2" applyNumberFormat="1" applyFont="1" applyBorder="1"/>
    <xf numFmtId="0" fontId="21" fillId="0" borderId="0" xfId="8" quotePrefix="1" applyFont="1" applyAlignment="1">
      <alignment horizontal="left"/>
    </xf>
    <xf numFmtId="17" fontId="21" fillId="0" borderId="0" xfId="9" applyNumberFormat="1" applyFont="1"/>
    <xf numFmtId="37" fontId="21" fillId="0" borderId="0" xfId="7" applyFont="1" applyAlignment="1">
      <alignment horizontal="center"/>
    </xf>
  </cellXfs>
  <cellStyles count="1093">
    <cellStyle name="_Row1" xfId="10"/>
    <cellStyle name="_Row1 2" xfId="11"/>
    <cellStyle name="20% - Accent1 10" xfId="12"/>
    <cellStyle name="20% - Accent1 11" xfId="13"/>
    <cellStyle name="20% - Accent1 12" xfId="14"/>
    <cellStyle name="20% - Accent1 13" xfId="15"/>
    <cellStyle name="20% - Accent1 14" xfId="16"/>
    <cellStyle name="20% - Accent1 15" xfId="17"/>
    <cellStyle name="20% - Accent1 16" xfId="18"/>
    <cellStyle name="20% - Accent1 2" xfId="19"/>
    <cellStyle name="20% - Accent1 2 2" xfId="20"/>
    <cellStyle name="20% - Accent1 3" xfId="21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13" xfId="31"/>
    <cellStyle name="20% - Accent2 14" xfId="32"/>
    <cellStyle name="20% - Accent2 15" xfId="33"/>
    <cellStyle name="20% - Accent2 16" xfId="34"/>
    <cellStyle name="20% - Accent2 2" xfId="35"/>
    <cellStyle name="20% - Accent2 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 10" xfId="44"/>
    <cellStyle name="20% - Accent3 11" xfId="45"/>
    <cellStyle name="20% - Accent3 12" xfId="46"/>
    <cellStyle name="20% - Accent3 13" xfId="47"/>
    <cellStyle name="20% - Accent3 14" xfId="48"/>
    <cellStyle name="20% - Accent3 15" xfId="49"/>
    <cellStyle name="20% - Accent3 16" xfId="50"/>
    <cellStyle name="20% - Accent3 2" xfId="51"/>
    <cellStyle name="20% - Accent3 2 2" xfId="52"/>
    <cellStyle name="20% - Accent3 3" xfId="53"/>
    <cellStyle name="20% - Accent3 4" xfId="54"/>
    <cellStyle name="20% - Accent3 5" xfId="55"/>
    <cellStyle name="20% - Accent3 6" xfId="56"/>
    <cellStyle name="20% - Accent3 7" xfId="57"/>
    <cellStyle name="20% - Accent3 8" xfId="58"/>
    <cellStyle name="20% - Accent3 9" xfId="59"/>
    <cellStyle name="20% - Accent4 10" xfId="60"/>
    <cellStyle name="20% - Accent4 11" xfId="61"/>
    <cellStyle name="20% - Accent4 12" xfId="62"/>
    <cellStyle name="20% - Accent4 13" xfId="63"/>
    <cellStyle name="20% - Accent4 14" xfId="64"/>
    <cellStyle name="20% - Accent4 15" xfId="65"/>
    <cellStyle name="20% - Accent4 16" xfId="66"/>
    <cellStyle name="20% - Accent4 2" xfId="67"/>
    <cellStyle name="20% - Accent4 2 2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5 10" xfId="76"/>
    <cellStyle name="20% - Accent5 11" xfId="77"/>
    <cellStyle name="20% - Accent5 12" xfId="78"/>
    <cellStyle name="20% - Accent5 13" xfId="79"/>
    <cellStyle name="20% - Accent5 14" xfId="80"/>
    <cellStyle name="20% - Accent5 15" xfId="81"/>
    <cellStyle name="20% - Accent5 16" xfId="82"/>
    <cellStyle name="20% - Accent5 2" xfId="83"/>
    <cellStyle name="20% - Accent5 2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12" xfId="94"/>
    <cellStyle name="20% - Accent6 13" xfId="95"/>
    <cellStyle name="20% - Accent6 14" xfId="96"/>
    <cellStyle name="20% - Accent6 15" xfId="97"/>
    <cellStyle name="20% - Accent6 16" xfId="98"/>
    <cellStyle name="20% - Accent6 2" xfId="99"/>
    <cellStyle name="20% - Accent6 2 2" xfId="100"/>
    <cellStyle name="20% - Accent6 3" xfId="101"/>
    <cellStyle name="20% - Accent6 4" xfId="102"/>
    <cellStyle name="20% - Accent6 5" xfId="103"/>
    <cellStyle name="20% - Accent6 6" xfId="104"/>
    <cellStyle name="20% - Accent6 7" xfId="105"/>
    <cellStyle name="20% - Accent6 8" xfId="106"/>
    <cellStyle name="20% - Accent6 9" xfId="107"/>
    <cellStyle name="40% - Accent1 10" xfId="108"/>
    <cellStyle name="40% - Accent1 11" xfId="109"/>
    <cellStyle name="40% - Accent1 12" xfId="110"/>
    <cellStyle name="40% - Accent1 13" xfId="111"/>
    <cellStyle name="40% - Accent1 14" xfId="112"/>
    <cellStyle name="40% - Accent1 15" xfId="113"/>
    <cellStyle name="40% - Accent1 16" xfId="114"/>
    <cellStyle name="40% - Accent1 2" xfId="115"/>
    <cellStyle name="40% - Accent1 2 2" xfId="116"/>
    <cellStyle name="40% - Accent1 3" xfId="117"/>
    <cellStyle name="40% - Accent1 4" xfId="118"/>
    <cellStyle name="40% - Accent1 5" xfId="119"/>
    <cellStyle name="40% - Accent1 6" xfId="120"/>
    <cellStyle name="40% - Accent1 7" xfId="121"/>
    <cellStyle name="40% - Accent1 8" xfId="122"/>
    <cellStyle name="40% - Accent1 9" xfId="123"/>
    <cellStyle name="40% - Accent2 10" xfId="124"/>
    <cellStyle name="40% - Accent2 11" xfId="125"/>
    <cellStyle name="40% - Accent2 12" xfId="126"/>
    <cellStyle name="40% - Accent2 13" xfId="127"/>
    <cellStyle name="40% - Accent2 14" xfId="128"/>
    <cellStyle name="40% - Accent2 15" xfId="129"/>
    <cellStyle name="40% - Accent2 16" xfId="130"/>
    <cellStyle name="40% - Accent2 2" xfId="131"/>
    <cellStyle name="40% - Accent2 2 2" xfId="132"/>
    <cellStyle name="40% - Accent2 3" xfId="133"/>
    <cellStyle name="40% - Accent2 4" xfId="134"/>
    <cellStyle name="40% - Accent2 5" xfId="135"/>
    <cellStyle name="40% - Accent2 6" xfId="136"/>
    <cellStyle name="40% - Accent2 7" xfId="137"/>
    <cellStyle name="40% - Accent2 8" xfId="138"/>
    <cellStyle name="40% - Accent2 9" xfId="139"/>
    <cellStyle name="40% - Accent3 10" xfId="140"/>
    <cellStyle name="40% - Accent3 11" xfId="141"/>
    <cellStyle name="40% - Accent3 12" xfId="142"/>
    <cellStyle name="40% - Accent3 13" xfId="143"/>
    <cellStyle name="40% - Accent3 14" xfId="144"/>
    <cellStyle name="40% - Accent3 15" xfId="145"/>
    <cellStyle name="40% - Accent3 16" xfId="146"/>
    <cellStyle name="40% - Accent3 2" xfId="147"/>
    <cellStyle name="40% - Accent3 2 2" xfId="148"/>
    <cellStyle name="40% - Accent3 3" xfId="149"/>
    <cellStyle name="40% - Accent3 4" xfId="150"/>
    <cellStyle name="40% - Accent3 5" xfId="151"/>
    <cellStyle name="40% - Accent3 6" xfId="152"/>
    <cellStyle name="40% - Accent3 7" xfId="153"/>
    <cellStyle name="40% - Accent3 8" xfId="154"/>
    <cellStyle name="40% - Accent3 9" xfId="155"/>
    <cellStyle name="40% - Accent4 10" xfId="156"/>
    <cellStyle name="40% - Accent4 11" xfId="157"/>
    <cellStyle name="40% - Accent4 12" xfId="158"/>
    <cellStyle name="40% - Accent4 13" xfId="159"/>
    <cellStyle name="40% - Accent4 14" xfId="160"/>
    <cellStyle name="40% - Accent4 15" xfId="161"/>
    <cellStyle name="40% - Accent4 16" xfId="162"/>
    <cellStyle name="40% - Accent4 2" xfId="163"/>
    <cellStyle name="40% - Accent4 2 2" xfId="164"/>
    <cellStyle name="40% - Accent4 3" xfId="165"/>
    <cellStyle name="40% - Accent4 4" xfId="166"/>
    <cellStyle name="40% - Accent4 5" xfId="167"/>
    <cellStyle name="40% - Accent4 6" xfId="168"/>
    <cellStyle name="40% - Accent4 7" xfId="169"/>
    <cellStyle name="40% - Accent4 8" xfId="170"/>
    <cellStyle name="40% - Accent4 9" xfId="171"/>
    <cellStyle name="40% - Accent5 10" xfId="172"/>
    <cellStyle name="40% - Accent5 11" xfId="173"/>
    <cellStyle name="40% - Accent5 12" xfId="174"/>
    <cellStyle name="40% - Accent5 13" xfId="175"/>
    <cellStyle name="40% - Accent5 14" xfId="176"/>
    <cellStyle name="40% - Accent5 15" xfId="177"/>
    <cellStyle name="40% - Accent5 16" xfId="178"/>
    <cellStyle name="40% - Accent5 2" xfId="179"/>
    <cellStyle name="40% - Accent5 2 2" xfId="180"/>
    <cellStyle name="40% - Accent5 3" xfId="181"/>
    <cellStyle name="40% - Accent5 4" xfId="182"/>
    <cellStyle name="40% - Accent5 5" xfId="183"/>
    <cellStyle name="40% - Accent5 6" xfId="184"/>
    <cellStyle name="40% - Accent5 7" xfId="185"/>
    <cellStyle name="40% - Accent5 8" xfId="186"/>
    <cellStyle name="40% - Accent5 9" xfId="187"/>
    <cellStyle name="40% - Accent6 10" xfId="188"/>
    <cellStyle name="40% - Accent6 11" xfId="189"/>
    <cellStyle name="40% - Accent6 12" xfId="190"/>
    <cellStyle name="40% - Accent6 13" xfId="191"/>
    <cellStyle name="40% - Accent6 14" xfId="192"/>
    <cellStyle name="40% - Accent6 15" xfId="193"/>
    <cellStyle name="40% - Accent6 16" xfId="194"/>
    <cellStyle name="40% - Accent6 2" xfId="195"/>
    <cellStyle name="40% - Accent6 2 2" xfId="196"/>
    <cellStyle name="40% - Accent6 3" xfId="197"/>
    <cellStyle name="40% - Accent6 4" xfId="198"/>
    <cellStyle name="40% - Accent6 5" xfId="199"/>
    <cellStyle name="40% - Accent6 6" xfId="200"/>
    <cellStyle name="40% - Accent6 7" xfId="201"/>
    <cellStyle name="40% - Accent6 8" xfId="202"/>
    <cellStyle name="40% - Accent6 9" xfId="203"/>
    <cellStyle name="60% - Accent1 10" xfId="204"/>
    <cellStyle name="60% - Accent1 11" xfId="205"/>
    <cellStyle name="60% - Accent1 12" xfId="206"/>
    <cellStyle name="60% - Accent1 13" xfId="207"/>
    <cellStyle name="60% - Accent1 14" xfId="208"/>
    <cellStyle name="60% - Accent1 15" xfId="209"/>
    <cellStyle name="60% - Accent1 16" xfId="210"/>
    <cellStyle name="60% - Accent1 2" xfId="211"/>
    <cellStyle name="60% - Accent1 3" xfId="212"/>
    <cellStyle name="60% - Accent1 4" xfId="213"/>
    <cellStyle name="60% - Accent1 5" xfId="214"/>
    <cellStyle name="60% - Accent1 6" xfId="215"/>
    <cellStyle name="60% - Accent1 7" xfId="216"/>
    <cellStyle name="60% - Accent1 8" xfId="217"/>
    <cellStyle name="60% - Accent1 9" xfId="218"/>
    <cellStyle name="60% - Accent2 10" xfId="219"/>
    <cellStyle name="60% - Accent2 11" xfId="220"/>
    <cellStyle name="60% - Accent2 12" xfId="221"/>
    <cellStyle name="60% - Accent2 13" xfId="222"/>
    <cellStyle name="60% - Accent2 14" xfId="223"/>
    <cellStyle name="60% - Accent2 15" xfId="224"/>
    <cellStyle name="60% - Accent2 16" xfId="225"/>
    <cellStyle name="60% - Accent2 2" xfId="226"/>
    <cellStyle name="60% - Accent2 3" xfId="227"/>
    <cellStyle name="60% - Accent2 4" xfId="228"/>
    <cellStyle name="60% - Accent2 5" xfId="229"/>
    <cellStyle name="60% - Accent2 6" xfId="230"/>
    <cellStyle name="60% - Accent2 7" xfId="231"/>
    <cellStyle name="60% - Accent2 8" xfId="232"/>
    <cellStyle name="60% - Accent2 9" xfId="233"/>
    <cellStyle name="60% - Accent3 10" xfId="234"/>
    <cellStyle name="60% - Accent3 11" xfId="235"/>
    <cellStyle name="60% - Accent3 12" xfId="236"/>
    <cellStyle name="60% - Accent3 13" xfId="237"/>
    <cellStyle name="60% - Accent3 14" xfId="238"/>
    <cellStyle name="60% - Accent3 15" xfId="239"/>
    <cellStyle name="60% - Accent3 16" xfId="240"/>
    <cellStyle name="60% - Accent3 2" xfId="241"/>
    <cellStyle name="60% - Accent3 3" xfId="242"/>
    <cellStyle name="60% - Accent3 4" xfId="243"/>
    <cellStyle name="60% - Accent3 5" xfId="244"/>
    <cellStyle name="60% - Accent3 6" xfId="245"/>
    <cellStyle name="60% - Accent3 7" xfId="246"/>
    <cellStyle name="60% - Accent3 8" xfId="247"/>
    <cellStyle name="60% - Accent3 9" xfId="248"/>
    <cellStyle name="60% - Accent4 10" xfId="249"/>
    <cellStyle name="60% - Accent4 11" xfId="250"/>
    <cellStyle name="60% - Accent4 12" xfId="251"/>
    <cellStyle name="60% - Accent4 13" xfId="252"/>
    <cellStyle name="60% - Accent4 14" xfId="253"/>
    <cellStyle name="60% - Accent4 15" xfId="254"/>
    <cellStyle name="60% - Accent4 16" xfId="255"/>
    <cellStyle name="60% - Accent4 2" xfId="256"/>
    <cellStyle name="60% - Accent4 3" xfId="257"/>
    <cellStyle name="60% - Accent4 4" xfId="258"/>
    <cellStyle name="60% - Accent4 5" xfId="259"/>
    <cellStyle name="60% - Accent4 6" xfId="260"/>
    <cellStyle name="60% - Accent4 7" xfId="261"/>
    <cellStyle name="60% - Accent4 8" xfId="262"/>
    <cellStyle name="60% - Accent4 9" xfId="263"/>
    <cellStyle name="60% - Accent5 10" xfId="264"/>
    <cellStyle name="60% - Accent5 11" xfId="265"/>
    <cellStyle name="60% - Accent5 12" xfId="266"/>
    <cellStyle name="60% - Accent5 13" xfId="267"/>
    <cellStyle name="60% - Accent5 14" xfId="268"/>
    <cellStyle name="60% - Accent5 15" xfId="269"/>
    <cellStyle name="60% - Accent5 16" xfId="270"/>
    <cellStyle name="60% - Accent5 2" xfId="271"/>
    <cellStyle name="60% - Accent5 3" xfId="272"/>
    <cellStyle name="60% - Accent5 4" xfId="273"/>
    <cellStyle name="60% - Accent5 5" xfId="274"/>
    <cellStyle name="60% - Accent5 6" xfId="275"/>
    <cellStyle name="60% - Accent5 7" xfId="276"/>
    <cellStyle name="60% - Accent5 8" xfId="277"/>
    <cellStyle name="60% - Accent5 9" xfId="278"/>
    <cellStyle name="60% - Accent6 10" xfId="279"/>
    <cellStyle name="60% - Accent6 11" xfId="280"/>
    <cellStyle name="60% - Accent6 12" xfId="281"/>
    <cellStyle name="60% - Accent6 13" xfId="282"/>
    <cellStyle name="60% - Accent6 14" xfId="283"/>
    <cellStyle name="60% - Accent6 15" xfId="284"/>
    <cellStyle name="60% - Accent6 16" xfId="285"/>
    <cellStyle name="60% - Accent6 2" xfId="286"/>
    <cellStyle name="60% - Accent6 3" xfId="287"/>
    <cellStyle name="60% - Accent6 4" xfId="288"/>
    <cellStyle name="60% - Accent6 5" xfId="289"/>
    <cellStyle name="60% - Accent6 6" xfId="290"/>
    <cellStyle name="60% - Accent6 7" xfId="291"/>
    <cellStyle name="60% - Accent6 8" xfId="292"/>
    <cellStyle name="60% - Accent6 9" xfId="293"/>
    <cellStyle name="Accent1 10" xfId="294"/>
    <cellStyle name="Accent1 11" xfId="295"/>
    <cellStyle name="Accent1 12" xfId="296"/>
    <cellStyle name="Accent1 13" xfId="297"/>
    <cellStyle name="Accent1 14" xfId="298"/>
    <cellStyle name="Accent1 15" xfId="299"/>
    <cellStyle name="Accent1 16" xfId="300"/>
    <cellStyle name="Accent1 2" xfId="301"/>
    <cellStyle name="Accent1 3" xfId="302"/>
    <cellStyle name="Accent1 4" xfId="303"/>
    <cellStyle name="Accent1 5" xfId="304"/>
    <cellStyle name="Accent1 6" xfId="305"/>
    <cellStyle name="Accent1 7" xfId="306"/>
    <cellStyle name="Accent1 8" xfId="307"/>
    <cellStyle name="Accent1 9" xfId="308"/>
    <cellStyle name="Accent2 10" xfId="309"/>
    <cellStyle name="Accent2 11" xfId="310"/>
    <cellStyle name="Accent2 12" xfId="311"/>
    <cellStyle name="Accent2 13" xfId="312"/>
    <cellStyle name="Accent2 14" xfId="313"/>
    <cellStyle name="Accent2 15" xfId="314"/>
    <cellStyle name="Accent2 16" xfId="315"/>
    <cellStyle name="Accent2 2" xfId="316"/>
    <cellStyle name="Accent2 3" xfId="317"/>
    <cellStyle name="Accent2 4" xfId="318"/>
    <cellStyle name="Accent2 5" xfId="319"/>
    <cellStyle name="Accent2 6" xfId="320"/>
    <cellStyle name="Accent2 7" xfId="321"/>
    <cellStyle name="Accent2 8" xfId="322"/>
    <cellStyle name="Accent2 9" xfId="323"/>
    <cellStyle name="Accent3 10" xfId="324"/>
    <cellStyle name="Accent3 11" xfId="325"/>
    <cellStyle name="Accent3 12" xfId="326"/>
    <cellStyle name="Accent3 13" xfId="327"/>
    <cellStyle name="Accent3 14" xfId="328"/>
    <cellStyle name="Accent3 15" xfId="329"/>
    <cellStyle name="Accent3 16" xfId="330"/>
    <cellStyle name="Accent3 2" xfId="331"/>
    <cellStyle name="Accent3 3" xfId="332"/>
    <cellStyle name="Accent3 4" xfId="333"/>
    <cellStyle name="Accent3 5" xfId="334"/>
    <cellStyle name="Accent3 6" xfId="335"/>
    <cellStyle name="Accent3 7" xfId="336"/>
    <cellStyle name="Accent3 8" xfId="337"/>
    <cellStyle name="Accent3 9" xfId="338"/>
    <cellStyle name="Accent4 10" xfId="339"/>
    <cellStyle name="Accent4 11" xfId="340"/>
    <cellStyle name="Accent4 12" xfId="341"/>
    <cellStyle name="Accent4 13" xfId="342"/>
    <cellStyle name="Accent4 14" xfId="343"/>
    <cellStyle name="Accent4 15" xfId="344"/>
    <cellStyle name="Accent4 16" xfId="345"/>
    <cellStyle name="Accent4 2" xfId="346"/>
    <cellStyle name="Accent4 3" xfId="347"/>
    <cellStyle name="Accent4 4" xfId="348"/>
    <cellStyle name="Accent4 5" xfId="349"/>
    <cellStyle name="Accent4 6" xfId="350"/>
    <cellStyle name="Accent4 7" xfId="351"/>
    <cellStyle name="Accent4 8" xfId="352"/>
    <cellStyle name="Accent4 9" xfId="353"/>
    <cellStyle name="Accent5 10" xfId="354"/>
    <cellStyle name="Accent5 11" xfId="355"/>
    <cellStyle name="Accent5 12" xfId="356"/>
    <cellStyle name="Accent5 13" xfId="357"/>
    <cellStyle name="Accent5 14" xfId="358"/>
    <cellStyle name="Accent5 15" xfId="359"/>
    <cellStyle name="Accent5 16" xfId="360"/>
    <cellStyle name="Accent5 2" xfId="361"/>
    <cellStyle name="Accent5 3" xfId="362"/>
    <cellStyle name="Accent5 4" xfId="363"/>
    <cellStyle name="Accent5 5" xfId="364"/>
    <cellStyle name="Accent5 6" xfId="365"/>
    <cellStyle name="Accent5 7" xfId="366"/>
    <cellStyle name="Accent5 8" xfId="367"/>
    <cellStyle name="Accent5 9" xfId="368"/>
    <cellStyle name="Accent6 10" xfId="369"/>
    <cellStyle name="Accent6 11" xfId="370"/>
    <cellStyle name="Accent6 12" xfId="371"/>
    <cellStyle name="Accent6 13" xfId="372"/>
    <cellStyle name="Accent6 14" xfId="373"/>
    <cellStyle name="Accent6 15" xfId="374"/>
    <cellStyle name="Accent6 16" xfId="375"/>
    <cellStyle name="Accent6 2" xfId="376"/>
    <cellStyle name="Accent6 3" xfId="377"/>
    <cellStyle name="Accent6 4" xfId="378"/>
    <cellStyle name="Accent6 5" xfId="379"/>
    <cellStyle name="Accent6 6" xfId="380"/>
    <cellStyle name="Accent6 7" xfId="381"/>
    <cellStyle name="Accent6 8" xfId="382"/>
    <cellStyle name="Accent6 9" xfId="383"/>
    <cellStyle name="Bad 10" xfId="384"/>
    <cellStyle name="Bad 11" xfId="385"/>
    <cellStyle name="Bad 12" xfId="386"/>
    <cellStyle name="Bad 13" xfId="387"/>
    <cellStyle name="Bad 14" xfId="388"/>
    <cellStyle name="Bad 15" xfId="389"/>
    <cellStyle name="Bad 16" xfId="390"/>
    <cellStyle name="Bad 2" xfId="391"/>
    <cellStyle name="Bad 3" xfId="392"/>
    <cellStyle name="Bad 4" xfId="393"/>
    <cellStyle name="Bad 5" xfId="394"/>
    <cellStyle name="Bad 6" xfId="395"/>
    <cellStyle name="Bad 7" xfId="396"/>
    <cellStyle name="Bad 8" xfId="397"/>
    <cellStyle name="Bad 9" xfId="398"/>
    <cellStyle name="c" xfId="399"/>
    <cellStyle name="Calculation 10" xfId="400"/>
    <cellStyle name="Calculation 11" xfId="401"/>
    <cellStyle name="Calculation 12" xfId="402"/>
    <cellStyle name="Calculation 13" xfId="403"/>
    <cellStyle name="Calculation 14" xfId="404"/>
    <cellStyle name="Calculation 15" xfId="405"/>
    <cellStyle name="Calculation 16" xfId="406"/>
    <cellStyle name="Calculation 2" xfId="407"/>
    <cellStyle name="Calculation 3" xfId="408"/>
    <cellStyle name="Calculation 4" xfId="409"/>
    <cellStyle name="Calculation 5" xfId="410"/>
    <cellStyle name="Calculation 6" xfId="411"/>
    <cellStyle name="Calculation 7" xfId="412"/>
    <cellStyle name="Calculation 8" xfId="413"/>
    <cellStyle name="Calculation 9" xfId="414"/>
    <cellStyle name="Check Cell 10" xfId="415"/>
    <cellStyle name="Check Cell 11" xfId="416"/>
    <cellStyle name="Check Cell 12" xfId="417"/>
    <cellStyle name="Check Cell 13" xfId="418"/>
    <cellStyle name="Check Cell 14" xfId="419"/>
    <cellStyle name="Check Cell 15" xfId="420"/>
    <cellStyle name="Check Cell 16" xfId="421"/>
    <cellStyle name="Check Cell 2" xfId="422"/>
    <cellStyle name="Check Cell 3" xfId="423"/>
    <cellStyle name="Check Cell 4" xfId="424"/>
    <cellStyle name="Check Cell 5" xfId="425"/>
    <cellStyle name="Check Cell 6" xfId="426"/>
    <cellStyle name="Check Cell 7" xfId="427"/>
    <cellStyle name="Check Cell 8" xfId="428"/>
    <cellStyle name="Check Cell 9" xfId="429"/>
    <cellStyle name="CodeEingabe" xfId="430"/>
    <cellStyle name="ColumnAttributeAbovePrompt" xfId="431"/>
    <cellStyle name="ColumnAttributePrompt" xfId="432"/>
    <cellStyle name="ColumnAttributeValue" xfId="433"/>
    <cellStyle name="ColumnHeadingPrompt" xfId="434"/>
    <cellStyle name="ColumnHeadingValue" xfId="435"/>
    <cellStyle name="Comma" xfId="1" builtinId="3"/>
    <cellStyle name="Comma [0] 2" xfId="436"/>
    <cellStyle name="Comma [0] 2 2" xfId="437"/>
    <cellStyle name="Comma [0] 3" xfId="438"/>
    <cellStyle name="Comma [0] 4" xfId="439"/>
    <cellStyle name="Comma 10" xfId="440"/>
    <cellStyle name="Comma 10 2" xfId="441"/>
    <cellStyle name="Comma 11" xfId="442"/>
    <cellStyle name="Comma 11 2" xfId="443"/>
    <cellStyle name="Comma 2" xfId="444"/>
    <cellStyle name="Comma 2 10" xfId="445"/>
    <cellStyle name="Comma 2 11" xfId="446"/>
    <cellStyle name="Comma 2 12" xfId="447"/>
    <cellStyle name="Comma 2 13" xfId="448"/>
    <cellStyle name="Comma 2 14" xfId="449"/>
    <cellStyle name="Comma 2 15" xfId="450"/>
    <cellStyle name="Comma 2 2" xfId="451"/>
    <cellStyle name="Comma 2 3" xfId="452"/>
    <cellStyle name="Comma 2 4" xfId="453"/>
    <cellStyle name="Comma 2 5" xfId="454"/>
    <cellStyle name="Comma 2 6" xfId="455"/>
    <cellStyle name="Comma 2 7" xfId="456"/>
    <cellStyle name="Comma 2 8" xfId="457"/>
    <cellStyle name="Comma 2 9" xfId="458"/>
    <cellStyle name="Comma 3" xfId="459"/>
    <cellStyle name="Comma 3 2" xfId="460"/>
    <cellStyle name="Comma 31" xfId="461"/>
    <cellStyle name="Comma 31 2" xfId="462"/>
    <cellStyle name="Comma 4" xfId="463"/>
    <cellStyle name="Comma 5" xfId="464"/>
    <cellStyle name="Comma 5 2" xfId="465"/>
    <cellStyle name="Comma 6" xfId="466"/>
    <cellStyle name="Comma 6 2" xfId="467"/>
    <cellStyle name="Comma 7" xfId="468"/>
    <cellStyle name="Comma 8" xfId="469"/>
    <cellStyle name="Comma 8 2" xfId="470"/>
    <cellStyle name="Comma 9" xfId="471"/>
    <cellStyle name="Comma0" xfId="472"/>
    <cellStyle name="Comma0 2" xfId="473"/>
    <cellStyle name="Comma0 2 2" xfId="474"/>
    <cellStyle name="Comma0 3" xfId="475"/>
    <cellStyle name="Comma0 3 2" xfId="476"/>
    <cellStyle name="Comma0_SCH11 Not Done" xfId="477"/>
    <cellStyle name="Currency" xfId="2" builtinId="4"/>
    <cellStyle name="Currency 10" xfId="478"/>
    <cellStyle name="Currency 10 2" xfId="479"/>
    <cellStyle name="Currency 2" xfId="480"/>
    <cellStyle name="Currency 2 2" xfId="481"/>
    <cellStyle name="Currency 2 3" xfId="482"/>
    <cellStyle name="Currency 3" xfId="483"/>
    <cellStyle name="Currency 3 2" xfId="484"/>
    <cellStyle name="Currency 4" xfId="485"/>
    <cellStyle name="Currency 4 2" xfId="486"/>
    <cellStyle name="Currency 5" xfId="487"/>
    <cellStyle name="Currency 5 2" xfId="488"/>
    <cellStyle name="Currency 6" xfId="489"/>
    <cellStyle name="Currency 7" xfId="490"/>
    <cellStyle name="Currency 7 2" xfId="491"/>
    <cellStyle name="Currency0" xfId="492"/>
    <cellStyle name="Currency0 2" xfId="493"/>
    <cellStyle name="Currency0 2 2" xfId="494"/>
    <cellStyle name="Currency0 3" xfId="495"/>
    <cellStyle name="Currency0 3 2" xfId="496"/>
    <cellStyle name="Date" xfId="497"/>
    <cellStyle name="Date 2" xfId="498"/>
    <cellStyle name="Date 2 2" xfId="499"/>
    <cellStyle name="Date 3" xfId="500"/>
    <cellStyle name="Date 3 2" xfId="501"/>
    <cellStyle name="Eingabe" xfId="502"/>
    <cellStyle name="Eingabe 2" xfId="503"/>
    <cellStyle name="Euro" xfId="504"/>
    <cellStyle name="Euro 2" xfId="505"/>
    <cellStyle name="Euro 2 2" xfId="506"/>
    <cellStyle name="Euro 3" xfId="507"/>
    <cellStyle name="Euro 3 2" xfId="508"/>
    <cellStyle name="Explanatory Text 10" xfId="509"/>
    <cellStyle name="Explanatory Text 11" xfId="510"/>
    <cellStyle name="Explanatory Text 12" xfId="511"/>
    <cellStyle name="Explanatory Text 13" xfId="512"/>
    <cellStyle name="Explanatory Text 14" xfId="513"/>
    <cellStyle name="Explanatory Text 15" xfId="514"/>
    <cellStyle name="Explanatory Text 16" xfId="515"/>
    <cellStyle name="Explanatory Text 2" xfId="516"/>
    <cellStyle name="Explanatory Text 3" xfId="517"/>
    <cellStyle name="Explanatory Text 4" xfId="518"/>
    <cellStyle name="Explanatory Text 5" xfId="519"/>
    <cellStyle name="Explanatory Text 6" xfId="520"/>
    <cellStyle name="Explanatory Text 7" xfId="521"/>
    <cellStyle name="Explanatory Text 8" xfId="522"/>
    <cellStyle name="Explanatory Text 9" xfId="523"/>
    <cellStyle name="F2" xfId="524"/>
    <cellStyle name="F2 2" xfId="525"/>
    <cellStyle name="F2 2 2" xfId="526"/>
    <cellStyle name="F2 3" xfId="527"/>
    <cellStyle name="F2 3 2" xfId="528"/>
    <cellStyle name="F2 4" xfId="529"/>
    <cellStyle name="F2 5" xfId="530"/>
    <cellStyle name="F2 6" xfId="531"/>
    <cellStyle name="F2 7" xfId="532"/>
    <cellStyle name="F2 8" xfId="533"/>
    <cellStyle name="F2 9" xfId="534"/>
    <cellStyle name="F2_Regenerated Revenues LGE Gas 2008-04 with Elec Gen-Seelye final version " xfId="535"/>
    <cellStyle name="F3" xfId="536"/>
    <cellStyle name="F3 2" xfId="537"/>
    <cellStyle name="F3 2 2" xfId="538"/>
    <cellStyle name="F3 3" xfId="539"/>
    <cellStyle name="F3 3 2" xfId="540"/>
    <cellStyle name="F3 4" xfId="541"/>
    <cellStyle name="F3 5" xfId="542"/>
    <cellStyle name="F3 6" xfId="543"/>
    <cellStyle name="F3 7" xfId="544"/>
    <cellStyle name="F3 8" xfId="545"/>
    <cellStyle name="F3 9" xfId="546"/>
    <cellStyle name="F3_Regenerated Revenues LGE Gas 2008-04 with Elec Gen-Seelye final version " xfId="547"/>
    <cellStyle name="F4" xfId="548"/>
    <cellStyle name="F4 2" xfId="549"/>
    <cellStyle name="F4 2 2" xfId="550"/>
    <cellStyle name="F4 3" xfId="551"/>
    <cellStyle name="F4 3 2" xfId="552"/>
    <cellStyle name="F4 4" xfId="553"/>
    <cellStyle name="F4 5" xfId="554"/>
    <cellStyle name="F4 6" xfId="555"/>
    <cellStyle name="F4 7" xfId="556"/>
    <cellStyle name="F4 8" xfId="557"/>
    <cellStyle name="F4 9" xfId="558"/>
    <cellStyle name="F4_Regenerated Revenues LGE Gas 2008-04 with Elec Gen-Seelye final version " xfId="559"/>
    <cellStyle name="F5" xfId="560"/>
    <cellStyle name="F5 2" xfId="561"/>
    <cellStyle name="F5 2 2" xfId="562"/>
    <cellStyle name="F5 3" xfId="563"/>
    <cellStyle name="F5 3 2" xfId="564"/>
    <cellStyle name="F5 4" xfId="565"/>
    <cellStyle name="F5 5" xfId="566"/>
    <cellStyle name="F5 6" xfId="567"/>
    <cellStyle name="F5 7" xfId="568"/>
    <cellStyle name="F5 8" xfId="569"/>
    <cellStyle name="F5 9" xfId="570"/>
    <cellStyle name="F5_Regenerated Revenues LGE Gas 2008-04 with Elec Gen-Seelye final version " xfId="571"/>
    <cellStyle name="F6" xfId="572"/>
    <cellStyle name="F6 2" xfId="573"/>
    <cellStyle name="F6 2 2" xfId="574"/>
    <cellStyle name="F6 3" xfId="575"/>
    <cellStyle name="F6 3 2" xfId="576"/>
    <cellStyle name="F6 4" xfId="577"/>
    <cellStyle name="F6 5" xfId="578"/>
    <cellStyle name="F6 6" xfId="579"/>
    <cellStyle name="F6 7" xfId="580"/>
    <cellStyle name="F6 8" xfId="581"/>
    <cellStyle name="F6 9" xfId="582"/>
    <cellStyle name="F6_Regenerated Revenues LGE Gas 2008-04 with Elec Gen-Seelye final version " xfId="583"/>
    <cellStyle name="F7" xfId="584"/>
    <cellStyle name="F7 2" xfId="585"/>
    <cellStyle name="F7 2 2" xfId="586"/>
    <cellStyle name="F7 3" xfId="587"/>
    <cellStyle name="F7 3 2" xfId="588"/>
    <cellStyle name="F7 4" xfId="589"/>
    <cellStyle name="F7 5" xfId="590"/>
    <cellStyle name="F7 6" xfId="591"/>
    <cellStyle name="F7 7" xfId="592"/>
    <cellStyle name="F7 8" xfId="593"/>
    <cellStyle name="F7 9" xfId="594"/>
    <cellStyle name="F7_Regenerated Revenues LGE Gas 2008-04 with Elec Gen-Seelye final version " xfId="595"/>
    <cellStyle name="F8" xfId="596"/>
    <cellStyle name="F8 2" xfId="597"/>
    <cellStyle name="F8 2 2" xfId="598"/>
    <cellStyle name="F8 3" xfId="599"/>
    <cellStyle name="F8 3 2" xfId="600"/>
    <cellStyle name="F8 4" xfId="601"/>
    <cellStyle name="F8 5" xfId="602"/>
    <cellStyle name="F8 6" xfId="603"/>
    <cellStyle name="F8 7" xfId="604"/>
    <cellStyle name="F8 8" xfId="605"/>
    <cellStyle name="F8 9" xfId="606"/>
    <cellStyle name="F8_Regenerated Revenues LGE Gas 2008-04 with Elec Gen-Seelye final version " xfId="607"/>
    <cellStyle name="Fixed" xfId="608"/>
    <cellStyle name="Fixed 2" xfId="609"/>
    <cellStyle name="Fixed 2 2" xfId="610"/>
    <cellStyle name="Fixed 3" xfId="611"/>
    <cellStyle name="Fixed 3 2" xfId="612"/>
    <cellStyle name="Good 10" xfId="613"/>
    <cellStyle name="Good 11" xfId="614"/>
    <cellStyle name="Good 12" xfId="615"/>
    <cellStyle name="Good 13" xfId="616"/>
    <cellStyle name="Good 14" xfId="617"/>
    <cellStyle name="Good 15" xfId="618"/>
    <cellStyle name="Good 16" xfId="619"/>
    <cellStyle name="Good 2" xfId="620"/>
    <cellStyle name="Good 3" xfId="621"/>
    <cellStyle name="Good 4" xfId="622"/>
    <cellStyle name="Good 5" xfId="623"/>
    <cellStyle name="Good 6" xfId="624"/>
    <cellStyle name="Good 7" xfId="625"/>
    <cellStyle name="Good 8" xfId="626"/>
    <cellStyle name="Good 9" xfId="627"/>
    <cellStyle name="Heading 1 10" xfId="628"/>
    <cellStyle name="Heading 1 11" xfId="629"/>
    <cellStyle name="Heading 1 12" xfId="630"/>
    <cellStyle name="Heading 1 13" xfId="631"/>
    <cellStyle name="Heading 1 14" xfId="632"/>
    <cellStyle name="Heading 1 15" xfId="633"/>
    <cellStyle name="Heading 1 16" xfId="634"/>
    <cellStyle name="Heading 1 2" xfId="635"/>
    <cellStyle name="Heading 1 2 2" xfId="636"/>
    <cellStyle name="Heading 1 3" xfId="637"/>
    <cellStyle name="Heading 1 3 2" xfId="638"/>
    <cellStyle name="Heading 1 4" xfId="639"/>
    <cellStyle name="Heading 1 5" xfId="640"/>
    <cellStyle name="Heading 1 6" xfId="641"/>
    <cellStyle name="Heading 1 7" xfId="642"/>
    <cellStyle name="Heading 1 8" xfId="643"/>
    <cellStyle name="Heading 1 9" xfId="644"/>
    <cellStyle name="Heading 2 10" xfId="645"/>
    <cellStyle name="Heading 2 11" xfId="646"/>
    <cellStyle name="Heading 2 12" xfId="647"/>
    <cellStyle name="Heading 2 13" xfId="648"/>
    <cellStyle name="Heading 2 14" xfId="649"/>
    <cellStyle name="Heading 2 15" xfId="650"/>
    <cellStyle name="Heading 2 16" xfId="651"/>
    <cellStyle name="Heading 2 2" xfId="652"/>
    <cellStyle name="Heading 2 2 2" xfId="653"/>
    <cellStyle name="Heading 2 3" xfId="654"/>
    <cellStyle name="Heading 2 3 2" xfId="655"/>
    <cellStyle name="Heading 2 4" xfId="656"/>
    <cellStyle name="Heading 2 5" xfId="657"/>
    <cellStyle name="Heading 2 6" xfId="658"/>
    <cellStyle name="Heading 2 7" xfId="659"/>
    <cellStyle name="Heading 2 8" xfId="660"/>
    <cellStyle name="Heading 2 9" xfId="661"/>
    <cellStyle name="Heading 3 10" xfId="662"/>
    <cellStyle name="Heading 3 11" xfId="663"/>
    <cellStyle name="Heading 3 12" xfId="664"/>
    <cellStyle name="Heading 3 13" xfId="665"/>
    <cellStyle name="Heading 3 14" xfId="666"/>
    <cellStyle name="Heading 3 15" xfId="667"/>
    <cellStyle name="Heading 3 16" xfId="668"/>
    <cellStyle name="Heading 3 2" xfId="669"/>
    <cellStyle name="Heading 3 3" xfId="670"/>
    <cellStyle name="Heading 3 4" xfId="671"/>
    <cellStyle name="Heading 3 5" xfId="672"/>
    <cellStyle name="Heading 3 6" xfId="673"/>
    <cellStyle name="Heading 3 7" xfId="674"/>
    <cellStyle name="Heading 3 8" xfId="675"/>
    <cellStyle name="Heading 3 9" xfId="676"/>
    <cellStyle name="Heading 4 10" xfId="677"/>
    <cellStyle name="Heading 4 11" xfId="678"/>
    <cellStyle name="Heading 4 12" xfId="679"/>
    <cellStyle name="Heading 4 13" xfId="680"/>
    <cellStyle name="Heading 4 14" xfId="681"/>
    <cellStyle name="Heading 4 15" xfId="682"/>
    <cellStyle name="Heading 4 16" xfId="683"/>
    <cellStyle name="Heading 4 2" xfId="684"/>
    <cellStyle name="Heading 4 3" xfId="685"/>
    <cellStyle name="Heading 4 4" xfId="686"/>
    <cellStyle name="Heading 4 5" xfId="687"/>
    <cellStyle name="Heading 4 6" xfId="688"/>
    <cellStyle name="Heading 4 7" xfId="689"/>
    <cellStyle name="Heading 4 8" xfId="690"/>
    <cellStyle name="Heading 4 9" xfId="691"/>
    <cellStyle name="Input 10" xfId="692"/>
    <cellStyle name="Input 11" xfId="693"/>
    <cellStyle name="Input 12" xfId="694"/>
    <cellStyle name="Input 13" xfId="695"/>
    <cellStyle name="Input 14" xfId="696"/>
    <cellStyle name="Input 15" xfId="697"/>
    <cellStyle name="Input 16" xfId="698"/>
    <cellStyle name="Input 2" xfId="699"/>
    <cellStyle name="Input 3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LineItemPrompt" xfId="707"/>
    <cellStyle name="LineItemValue" xfId="708"/>
    <cellStyle name="Linked Cell 10" xfId="709"/>
    <cellStyle name="Linked Cell 11" xfId="710"/>
    <cellStyle name="Linked Cell 12" xfId="711"/>
    <cellStyle name="Linked Cell 13" xfId="712"/>
    <cellStyle name="Linked Cell 14" xfId="713"/>
    <cellStyle name="Linked Cell 15" xfId="714"/>
    <cellStyle name="Linked Cell 16" xfId="715"/>
    <cellStyle name="Linked Cell 2" xfId="716"/>
    <cellStyle name="Linked Cell 3" xfId="717"/>
    <cellStyle name="Linked Cell 4" xfId="718"/>
    <cellStyle name="Linked Cell 5" xfId="719"/>
    <cellStyle name="Linked Cell 6" xfId="720"/>
    <cellStyle name="Linked Cell 7" xfId="721"/>
    <cellStyle name="Linked Cell 8" xfId="722"/>
    <cellStyle name="Linked Cell 9" xfId="723"/>
    <cellStyle name="Neutral 10" xfId="724"/>
    <cellStyle name="Neutral 11" xfId="725"/>
    <cellStyle name="Neutral 12" xfId="726"/>
    <cellStyle name="Neutral 13" xfId="727"/>
    <cellStyle name="Neutral 14" xfId="728"/>
    <cellStyle name="Neutral 15" xfId="729"/>
    <cellStyle name="Neutral 16" xfId="730"/>
    <cellStyle name="Neutral 2" xfId="731"/>
    <cellStyle name="Neutral 3" xfId="732"/>
    <cellStyle name="Neutral 4" xfId="733"/>
    <cellStyle name="Neutral 5" xfId="734"/>
    <cellStyle name="Neutral 6" xfId="735"/>
    <cellStyle name="Neutral 7" xfId="736"/>
    <cellStyle name="Neutral 8" xfId="737"/>
    <cellStyle name="Neutral 9" xfId="738"/>
    <cellStyle name="Normal" xfId="0" builtinId="0"/>
    <cellStyle name="Normal 10" xfId="739"/>
    <cellStyle name="Normal 10 2" xfId="740"/>
    <cellStyle name="Normal 11" xfId="741"/>
    <cellStyle name="Normal 11 2" xfId="742"/>
    <cellStyle name="Normal 12" xfId="743"/>
    <cellStyle name="Normal 12 2" xfId="744"/>
    <cellStyle name="Normal 13" xfId="745"/>
    <cellStyle name="Normal 14" xfId="746"/>
    <cellStyle name="Normal 15" xfId="747"/>
    <cellStyle name="Normal 15 2" xfId="748"/>
    <cellStyle name="Normal 16" xfId="749"/>
    <cellStyle name="Normal 16 2" xfId="750"/>
    <cellStyle name="Normal 17" xfId="751"/>
    <cellStyle name="Normal 17 2" xfId="752"/>
    <cellStyle name="Normal 18" xfId="753"/>
    <cellStyle name="Normal 18 2" xfId="754"/>
    <cellStyle name="Normal 19" xfId="755"/>
    <cellStyle name="Normal 19 2" xfId="756"/>
    <cellStyle name="Normal 2" xfId="4"/>
    <cellStyle name="Normal 2 10" xfId="757"/>
    <cellStyle name="Normal 2 11" xfId="758"/>
    <cellStyle name="Normal 2 12" xfId="759"/>
    <cellStyle name="Normal 2 13" xfId="760"/>
    <cellStyle name="Normal 2 14" xfId="761"/>
    <cellStyle name="Normal 2 15" xfId="762"/>
    <cellStyle name="Normal 2 16" xfId="763"/>
    <cellStyle name="Normal 2 17" xfId="764"/>
    <cellStyle name="Normal 2 2" xfId="765"/>
    <cellStyle name="Normal 2 2 2" xfId="766"/>
    <cellStyle name="Normal 2 3" xfId="767"/>
    <cellStyle name="Normal 2 3 2" xfId="768"/>
    <cellStyle name="Normal 2 4" xfId="769"/>
    <cellStyle name="Normal 2 4 2" xfId="770"/>
    <cellStyle name="Normal 2 5" xfId="771"/>
    <cellStyle name="Normal 2 6" xfId="772"/>
    <cellStyle name="Normal 2 7" xfId="773"/>
    <cellStyle name="Normal 2 8" xfId="774"/>
    <cellStyle name="Normal 2 9" xfId="775"/>
    <cellStyle name="Normal 2_LGEElecBillingDeterminants2009-10" xfId="776"/>
    <cellStyle name="Normal 20" xfId="777"/>
    <cellStyle name="Normal 20 2" xfId="778"/>
    <cellStyle name="Normal 21" xfId="779"/>
    <cellStyle name="Normal 21 2" xfId="780"/>
    <cellStyle name="Normal 22" xfId="781"/>
    <cellStyle name="Normal 22 2" xfId="782"/>
    <cellStyle name="Normal 23" xfId="783"/>
    <cellStyle name="Normal 23 2" xfId="784"/>
    <cellStyle name="Normal 24" xfId="785"/>
    <cellStyle name="Normal 24 2" xfId="786"/>
    <cellStyle name="Normal 25" xfId="787"/>
    <cellStyle name="Normal 25 2" xfId="788"/>
    <cellStyle name="Normal 26" xfId="789"/>
    <cellStyle name="Normal 26 2" xfId="790"/>
    <cellStyle name="Normal 27" xfId="791"/>
    <cellStyle name="Normal 27 2" xfId="792"/>
    <cellStyle name="Normal 28" xfId="793"/>
    <cellStyle name="Normal 28 2" xfId="794"/>
    <cellStyle name="Normal 29" xfId="795"/>
    <cellStyle name="Normal 29 2" xfId="796"/>
    <cellStyle name="Normal 3" xfId="5"/>
    <cellStyle name="Normal 3 10" xfId="797"/>
    <cellStyle name="Normal 3 11" xfId="798"/>
    <cellStyle name="Normal 3 12" xfId="799"/>
    <cellStyle name="Normal 3 13" xfId="800"/>
    <cellStyle name="Normal 3 14" xfId="801"/>
    <cellStyle name="Normal 3 15" xfId="802"/>
    <cellStyle name="Normal 3 16" xfId="803"/>
    <cellStyle name="Normal 3 17" xfId="804"/>
    <cellStyle name="Normal 3 2" xfId="805"/>
    <cellStyle name="Normal 3 3" xfId="806"/>
    <cellStyle name="Normal 3 4" xfId="807"/>
    <cellStyle name="Normal 3 5" xfId="808"/>
    <cellStyle name="Normal 3 6" xfId="809"/>
    <cellStyle name="Normal 3 7" xfId="810"/>
    <cellStyle name="Normal 3 8" xfId="811"/>
    <cellStyle name="Normal 3 9" xfId="812"/>
    <cellStyle name="Normal 3_LGEElecBillingDeterminants2009-10" xfId="813"/>
    <cellStyle name="Normal 30" xfId="814"/>
    <cellStyle name="Normal 30 2" xfId="815"/>
    <cellStyle name="Normal 31" xfId="816"/>
    <cellStyle name="Normal 31 2" xfId="817"/>
    <cellStyle name="Normal 32" xfId="818"/>
    <cellStyle name="Normal 32 2" xfId="819"/>
    <cellStyle name="Normal 33" xfId="820"/>
    <cellStyle name="Normal 33 2" xfId="821"/>
    <cellStyle name="Normal 34" xfId="822"/>
    <cellStyle name="Normal 34 2" xfId="823"/>
    <cellStyle name="Normal 4" xfId="6"/>
    <cellStyle name="Normal 4 2" xfId="824"/>
    <cellStyle name="Normal 4 3" xfId="825"/>
    <cellStyle name="Normal 4_Regenerated Revenues LGE Gas 10312009" xfId="826"/>
    <cellStyle name="Normal 5" xfId="7"/>
    <cellStyle name="Normal 5 2" xfId="827"/>
    <cellStyle name="Normal 5 3" xfId="828"/>
    <cellStyle name="Normal 5 4" xfId="829"/>
    <cellStyle name="Normal 6" xfId="830"/>
    <cellStyle name="Normal 6 2" xfId="831"/>
    <cellStyle name="Normal 6 3" xfId="832"/>
    <cellStyle name="Normal 6 4" xfId="833"/>
    <cellStyle name="Normal 6 4 2" xfId="834"/>
    <cellStyle name="Normal 7" xfId="835"/>
    <cellStyle name="Normal 7 2" xfId="836"/>
    <cellStyle name="Normal 7 3" xfId="837"/>
    <cellStyle name="Normal 7 4" xfId="838"/>
    <cellStyle name="Normal 8" xfId="839"/>
    <cellStyle name="Normal 8 2" xfId="840"/>
    <cellStyle name="Normal 8 3" xfId="841"/>
    <cellStyle name="Normal 8 4" xfId="842"/>
    <cellStyle name="Normal 9" xfId="843"/>
    <cellStyle name="Normal 9 2" xfId="844"/>
    <cellStyle name="Normal 9 3" xfId="845"/>
    <cellStyle name="Normal 9 4" xfId="846"/>
    <cellStyle name="Normal_ESM Forms 2002 for Doug" xfId="8"/>
    <cellStyle name="Normal_KU VDT Plan Exhibits 12mosJune2005 v7 (FILED)" xfId="9"/>
    <cellStyle name="Note 10" xfId="847"/>
    <cellStyle name="Note 11" xfId="848"/>
    <cellStyle name="Note 12" xfId="849"/>
    <cellStyle name="Note 13" xfId="850"/>
    <cellStyle name="Note 14" xfId="851"/>
    <cellStyle name="Note 2" xfId="852"/>
    <cellStyle name="Note 2 2" xfId="853"/>
    <cellStyle name="Note 2 3" xfId="854"/>
    <cellStyle name="Note 3" xfId="855"/>
    <cellStyle name="Note 3 2" xfId="856"/>
    <cellStyle name="Note 3 3" xfId="857"/>
    <cellStyle name="Note 4" xfId="858"/>
    <cellStyle name="Note 4 2" xfId="859"/>
    <cellStyle name="Note 4 3" xfId="860"/>
    <cellStyle name="Note 5" xfId="861"/>
    <cellStyle name="Note 5 2" xfId="862"/>
    <cellStyle name="Note 5 3" xfId="863"/>
    <cellStyle name="Note 6" xfId="864"/>
    <cellStyle name="Note 6 2" xfId="865"/>
    <cellStyle name="Note 6 3" xfId="866"/>
    <cellStyle name="Note 7" xfId="867"/>
    <cellStyle name="Note 7 2" xfId="868"/>
    <cellStyle name="Note 7 3" xfId="869"/>
    <cellStyle name="Note 8" xfId="870"/>
    <cellStyle name="Note 8 2" xfId="871"/>
    <cellStyle name="Note 8 3" xfId="872"/>
    <cellStyle name="Note 9" xfId="873"/>
    <cellStyle name="Output 10" xfId="874"/>
    <cellStyle name="Output 11" xfId="875"/>
    <cellStyle name="Output 12" xfId="876"/>
    <cellStyle name="Output 13" xfId="877"/>
    <cellStyle name="Output 14" xfId="878"/>
    <cellStyle name="Output 15" xfId="879"/>
    <cellStyle name="Output 16" xfId="880"/>
    <cellStyle name="Output 2" xfId="881"/>
    <cellStyle name="Output 3" xfId="882"/>
    <cellStyle name="Output 4" xfId="883"/>
    <cellStyle name="Output 5" xfId="884"/>
    <cellStyle name="Output 6" xfId="885"/>
    <cellStyle name="Output 7" xfId="886"/>
    <cellStyle name="Output 8" xfId="887"/>
    <cellStyle name="Output 9" xfId="888"/>
    <cellStyle name="Output Amounts" xfId="889"/>
    <cellStyle name="Output Column Headings" xfId="890"/>
    <cellStyle name="Output Column Headings 2" xfId="891"/>
    <cellStyle name="Output Column Headings 3" xfId="892"/>
    <cellStyle name="Output Column Headings 4" xfId="893"/>
    <cellStyle name="Output Column Headings 5" xfId="894"/>
    <cellStyle name="Output Column Headings 6" xfId="895"/>
    <cellStyle name="Output Column Headings 7" xfId="896"/>
    <cellStyle name="Output Column Headings 8" xfId="897"/>
    <cellStyle name="Output Column Headings 9" xfId="898"/>
    <cellStyle name="Output Column Headings_Regenerated Revenues LGE Gas 2008-04 with Elec Gen-Seelye final version " xfId="899"/>
    <cellStyle name="Output Line Items" xfId="900"/>
    <cellStyle name="Output Line Items 2" xfId="901"/>
    <cellStyle name="Output Line Items 3" xfId="902"/>
    <cellStyle name="Output Line Items 4" xfId="903"/>
    <cellStyle name="Output Line Items 5" xfId="904"/>
    <cellStyle name="Output Line Items 6" xfId="905"/>
    <cellStyle name="Output Line Items 7" xfId="906"/>
    <cellStyle name="Output Line Items 8" xfId="907"/>
    <cellStyle name="Output Line Items 9" xfId="908"/>
    <cellStyle name="Output Line Items_Regenerated Revenues LGE Gas 2008-04 with Elec Gen-Seelye final version " xfId="909"/>
    <cellStyle name="Output Report Heading" xfId="910"/>
    <cellStyle name="Output Report Heading 2" xfId="911"/>
    <cellStyle name="Output Report Heading 3" xfId="912"/>
    <cellStyle name="Output Report Heading 4" xfId="913"/>
    <cellStyle name="Output Report Heading 5" xfId="914"/>
    <cellStyle name="Output Report Heading 6" xfId="915"/>
    <cellStyle name="Output Report Heading 7" xfId="916"/>
    <cellStyle name="Output Report Heading 8" xfId="917"/>
    <cellStyle name="Output Report Heading 9" xfId="918"/>
    <cellStyle name="Output Report Heading_Regenerated Revenues LGE Gas 2008-04 with Elec Gen-Seelye final version " xfId="919"/>
    <cellStyle name="Output Report Title" xfId="920"/>
    <cellStyle name="Output Report Title 2" xfId="921"/>
    <cellStyle name="Output Report Title 3" xfId="922"/>
    <cellStyle name="Output Report Title 4" xfId="923"/>
    <cellStyle name="Output Report Title 5" xfId="924"/>
    <cellStyle name="Output Report Title 6" xfId="925"/>
    <cellStyle name="Output Report Title 7" xfId="926"/>
    <cellStyle name="Output Report Title 8" xfId="927"/>
    <cellStyle name="Output Report Title 9" xfId="928"/>
    <cellStyle name="Output Report Title_Regenerated Revenues LGE Gas 2008-04 with Elec Gen-Seelye final version " xfId="929"/>
    <cellStyle name="Percent" xfId="3" builtinId="5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6" xfId="937"/>
    <cellStyle name="Percent 7" xfId="938"/>
    <cellStyle name="Percent 7 2" xfId="939"/>
    <cellStyle name="Percent 8" xfId="940"/>
    <cellStyle name="Percent 8 2" xfId="941"/>
    <cellStyle name="Percent 9" xfId="942"/>
    <cellStyle name="Percent 9 2" xfId="943"/>
    <cellStyle name="PSChar" xfId="944"/>
    <cellStyle name="PSDate" xfId="945"/>
    <cellStyle name="PSDec" xfId="946"/>
    <cellStyle name="PSHeading" xfId="947"/>
    <cellStyle name="PSInt" xfId="948"/>
    <cellStyle name="PSSpacer" xfId="949"/>
    <cellStyle name="ReportTitlePrompt" xfId="950"/>
    <cellStyle name="ReportTitleValue" xfId="951"/>
    <cellStyle name="RowAcctAbovePrompt" xfId="952"/>
    <cellStyle name="RowAcctSOBAbovePrompt" xfId="953"/>
    <cellStyle name="RowAcctSOBValue" xfId="954"/>
    <cellStyle name="RowAcctValue" xfId="955"/>
    <cellStyle name="RowAttrAbovePrompt" xfId="956"/>
    <cellStyle name="RowAttrValue" xfId="957"/>
    <cellStyle name="RowColSetAbovePrompt" xfId="958"/>
    <cellStyle name="RowColSetLeftPrompt" xfId="959"/>
    <cellStyle name="RowColSetValue" xfId="960"/>
    <cellStyle name="RowLeftPrompt" xfId="961"/>
    <cellStyle name="SampleUsingFormatMask" xfId="962"/>
    <cellStyle name="SampleWithNoFormatMask" xfId="963"/>
    <cellStyle name="SAPBEXaggData" xfId="964"/>
    <cellStyle name="SAPBEXaggDataEmph" xfId="965"/>
    <cellStyle name="SAPBEXaggItem" xfId="966"/>
    <cellStyle name="SAPBEXaggItemX" xfId="967"/>
    <cellStyle name="SAPBEXchaText" xfId="968"/>
    <cellStyle name="SAPBEXexcBad7" xfId="969"/>
    <cellStyle name="SAPBEXexcBad8" xfId="970"/>
    <cellStyle name="SAPBEXexcBad9" xfId="971"/>
    <cellStyle name="SAPBEXexcCritical4" xfId="972"/>
    <cellStyle name="SAPBEXexcCritical5" xfId="973"/>
    <cellStyle name="SAPBEXexcCritical6" xfId="974"/>
    <cellStyle name="SAPBEXexcGood1" xfId="975"/>
    <cellStyle name="SAPBEXexcGood2" xfId="976"/>
    <cellStyle name="SAPBEXexcGood3" xfId="977"/>
    <cellStyle name="SAPBEXfilterDrill" xfId="978"/>
    <cellStyle name="SAPBEXfilterItem" xfId="979"/>
    <cellStyle name="SAPBEXfilterText" xfId="980"/>
    <cellStyle name="SAPBEXfilterText 2" xfId="981"/>
    <cellStyle name="SAPBEXformats" xfId="982"/>
    <cellStyle name="SAPBEXheaderItem" xfId="983"/>
    <cellStyle name="SAPBEXheaderText" xfId="984"/>
    <cellStyle name="SAPBEXHLevel0" xfId="985"/>
    <cellStyle name="SAPBEXHLevel0 2" xfId="986"/>
    <cellStyle name="SAPBEXHLevel0X" xfId="987"/>
    <cellStyle name="SAPBEXHLevel0X 2" xfId="988"/>
    <cellStyle name="SAPBEXHLevel1" xfId="989"/>
    <cellStyle name="SAPBEXHLevel1 2" xfId="990"/>
    <cellStyle name="SAPBEXHLevel1X" xfId="991"/>
    <cellStyle name="SAPBEXHLevel1X 2" xfId="992"/>
    <cellStyle name="SAPBEXHLevel2" xfId="993"/>
    <cellStyle name="SAPBEXHLevel2 2" xfId="994"/>
    <cellStyle name="SAPBEXHLevel2X" xfId="995"/>
    <cellStyle name="SAPBEXHLevel2X 2" xfId="996"/>
    <cellStyle name="SAPBEXHLevel3" xfId="997"/>
    <cellStyle name="SAPBEXHLevel3 2" xfId="998"/>
    <cellStyle name="SAPBEXHLevel3X" xfId="999"/>
    <cellStyle name="SAPBEXHLevel3X 2" xfId="1000"/>
    <cellStyle name="SAPBEXresData" xfId="1001"/>
    <cellStyle name="SAPBEXresDataEmph" xfId="1002"/>
    <cellStyle name="SAPBEXresItem" xfId="1003"/>
    <cellStyle name="SAPBEXresItemX" xfId="1004"/>
    <cellStyle name="SAPBEXstdData" xfId="1005"/>
    <cellStyle name="SAPBEXstdDataEmph" xfId="1006"/>
    <cellStyle name="SAPBEXstdItem" xfId="1007"/>
    <cellStyle name="SAPBEXstdItemX" xfId="1008"/>
    <cellStyle name="SAPBEXtitle" xfId="1009"/>
    <cellStyle name="SAPBEXundefined" xfId="1010"/>
    <cellStyle name="SAPLocked" xfId="1011"/>
    <cellStyle name="Standard_CORE_20040805_Movement types_Sets_V0.1_e" xfId="1012"/>
    <cellStyle name="STYL5 - Style5" xfId="1013"/>
    <cellStyle name="STYL5 - Style5 2" xfId="1014"/>
    <cellStyle name="STYL5 - Style5 2 2" xfId="1015"/>
    <cellStyle name="STYL5 - Style5 3" xfId="1016"/>
    <cellStyle name="STYL5 - Style5 3 2" xfId="1017"/>
    <cellStyle name="STYL6 - Style6" xfId="1018"/>
    <cellStyle name="STYL6 - Style6 2" xfId="1019"/>
    <cellStyle name="STYL6 - Style6 2 2" xfId="1020"/>
    <cellStyle name="STYL6 - Style6 3" xfId="1021"/>
    <cellStyle name="STYL6 - Style6 3 2" xfId="1022"/>
    <cellStyle name="STYLE1 - Style1" xfId="1023"/>
    <cellStyle name="STYLE1 - Style1 2" xfId="1024"/>
    <cellStyle name="STYLE1 - Style1 2 2" xfId="1025"/>
    <cellStyle name="STYLE1 - Style1 3" xfId="1026"/>
    <cellStyle name="STYLE1 - Style1 3 2" xfId="1027"/>
    <cellStyle name="STYLE2 - Style2" xfId="1028"/>
    <cellStyle name="STYLE2 - Style2 2" xfId="1029"/>
    <cellStyle name="STYLE2 - Style2 2 2" xfId="1030"/>
    <cellStyle name="STYLE2 - Style2 3" xfId="1031"/>
    <cellStyle name="STYLE2 - Style2 3 2" xfId="1032"/>
    <cellStyle name="STYLE3 - Style3" xfId="1033"/>
    <cellStyle name="STYLE3 - Style3 2" xfId="1034"/>
    <cellStyle name="STYLE3 - Style3 2 2" xfId="1035"/>
    <cellStyle name="STYLE3 - Style3 3" xfId="1036"/>
    <cellStyle name="STYLE3 - Style3 3 2" xfId="1037"/>
    <cellStyle name="STYLE4 - Style4" xfId="1038"/>
    <cellStyle name="STYLE4 - Style4 2" xfId="1039"/>
    <cellStyle name="STYLE4 - Style4 2 2" xfId="1040"/>
    <cellStyle name="STYLE4 - Style4 3" xfId="1041"/>
    <cellStyle name="STYLE4 - Style4 3 2" xfId="1042"/>
    <cellStyle name="Title 10" xfId="1043"/>
    <cellStyle name="Title 11" xfId="1044"/>
    <cellStyle name="Title 12" xfId="1045"/>
    <cellStyle name="Title 13" xfId="1046"/>
    <cellStyle name="Title 14" xfId="1047"/>
    <cellStyle name="Title 15" xfId="1048"/>
    <cellStyle name="Title 16" xfId="1049"/>
    <cellStyle name="Title 2" xfId="1050"/>
    <cellStyle name="Title 3" xfId="1051"/>
    <cellStyle name="Title 4" xfId="1052"/>
    <cellStyle name="Title 5" xfId="1053"/>
    <cellStyle name="Title 6" xfId="1054"/>
    <cellStyle name="Title 7" xfId="1055"/>
    <cellStyle name="Title 8" xfId="1056"/>
    <cellStyle name="Title 9" xfId="1057"/>
    <cellStyle name="Total 10" xfId="1058"/>
    <cellStyle name="Total 11" xfId="1059"/>
    <cellStyle name="Total 12" xfId="1060"/>
    <cellStyle name="Total 13" xfId="1061"/>
    <cellStyle name="Total 14" xfId="1062"/>
    <cellStyle name="Total 15" xfId="1063"/>
    <cellStyle name="Total 16" xfId="1064"/>
    <cellStyle name="Total 2" xfId="1065"/>
    <cellStyle name="Total 2 2" xfId="1066"/>
    <cellStyle name="Total 3" xfId="1067"/>
    <cellStyle name="Total 3 2" xfId="1068"/>
    <cellStyle name="Total 4" xfId="1069"/>
    <cellStyle name="Total 5" xfId="1070"/>
    <cellStyle name="Total 6" xfId="1071"/>
    <cellStyle name="Total 7" xfId="1072"/>
    <cellStyle name="Total 8" xfId="1073"/>
    <cellStyle name="Total 9" xfId="1074"/>
    <cellStyle name="Undefiniert" xfId="1075"/>
    <cellStyle name="Undefiniert 2" xfId="1076"/>
    <cellStyle name="UploadThisRowValue" xfId="1077"/>
    <cellStyle name="Warning Text 10" xfId="1078"/>
    <cellStyle name="Warning Text 11" xfId="1079"/>
    <cellStyle name="Warning Text 12" xfId="1080"/>
    <cellStyle name="Warning Text 13" xfId="1081"/>
    <cellStyle name="Warning Text 14" xfId="1082"/>
    <cellStyle name="Warning Text 15" xfId="1083"/>
    <cellStyle name="Warning Text 16" xfId="1084"/>
    <cellStyle name="Warning Text 2" xfId="1085"/>
    <cellStyle name="Warning Text 3" xfId="1086"/>
    <cellStyle name="Warning Text 4" xfId="1087"/>
    <cellStyle name="Warning Text 5" xfId="1088"/>
    <cellStyle name="Warning Text 6" xfId="1089"/>
    <cellStyle name="Warning Text 7" xfId="1090"/>
    <cellStyle name="Warning Text 8" xfId="1091"/>
    <cellStyle name="Warning Text 9" xfId="10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Revenue%20Requirements/KU%20Revenue%20Requirements%20TY03312012%20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KU (Not Filed)"/>
      <sheetName val="Ex 1"/>
      <sheetName val="Ex 2"/>
      <sheetName val="Ex 3"/>
      <sheetName val="SuppSch-Ex 3(Page1,2)"/>
      <sheetName val="SuppSch-Ex 3(Page3)"/>
      <sheetName val="Ex 4 (Page1)"/>
      <sheetName val="SuppSch-Ex 4 (Page2)"/>
      <sheetName val="Ex 5"/>
      <sheetName val="EX 6"/>
      <sheetName val="Ex 7"/>
      <sheetName val="2.4-Ex 8 (ASSD)"/>
      <sheetName val="Ex 8"/>
      <sheetName val="Ex 9"/>
      <sheetName val="1.00"/>
      <sheetName val="1.01r"/>
      <sheetName val="1.02r"/>
      <sheetName val="1.01"/>
      <sheetName val="1.02"/>
      <sheetName val="1.03"/>
      <sheetName val="1.04"/>
      <sheetName val="1.04r"/>
      <sheetName val="1.05"/>
      <sheetName val="1.06"/>
      <sheetName val="1.07"/>
      <sheetName val="1.08"/>
      <sheetName val="1.07 Weighted Avg Factor"/>
      <sheetName val="1.09"/>
      <sheetName val="1.11r"/>
      <sheetName val="1.10"/>
      <sheetName val="1.11"/>
      <sheetName val="1.14r"/>
      <sheetName val="1.12"/>
      <sheetName val="1.13"/>
      <sheetName val="1.14"/>
      <sheetName val="1.19r"/>
      <sheetName val="1.20r"/>
      <sheetName val="1.15"/>
      <sheetName val="1.16"/>
      <sheetName val="1.17"/>
      <sheetName val="1.33"/>
      <sheetName val="1.34"/>
      <sheetName val="1.37"/>
      <sheetName val="1.38"/>
      <sheetName val="1.18"/>
      <sheetName val="1.19"/>
      <sheetName val="1.20"/>
      <sheetName val="1.21"/>
      <sheetName val="1.22"/>
      <sheetName val="1.23"/>
      <sheetName val="1.24-1.28"/>
      <sheetName val="1.29"/>
      <sheetName val="1.30"/>
      <sheetName val="1.31"/>
      <sheetName val="1.44"/>
      <sheetName val="1.45"/>
      <sheetName val="1.46"/>
      <sheetName val="1.32"/>
      <sheetName val="1.48"/>
      <sheetName val="Allocators"/>
    </sheetNames>
    <sheetDataSet>
      <sheetData sheetId="0">
        <row r="3">
          <cell r="B3" t="str">
            <v>March 31, 2012</v>
          </cell>
        </row>
        <row r="17">
          <cell r="A17" t="str">
            <v>1.01</v>
          </cell>
          <cell r="B17" t="str">
            <v>Conroy</v>
          </cell>
        </row>
      </sheetData>
      <sheetData sheetId="1" refreshError="1"/>
      <sheetData sheetId="2">
        <row r="1">
          <cell r="K1" t="str">
            <v>Exhibit 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61"/>
  <sheetViews>
    <sheetView zoomScale="90" zoomScaleNormal="90" workbookViewId="0">
      <pane xSplit="1" ySplit="5" topLeftCell="B6" activePane="bottomRight" state="frozen"/>
      <selection activeCell="L142" sqref="L142"/>
      <selection pane="topRight" activeCell="L142" sqref="L142"/>
      <selection pane="bottomLeft" activeCell="L142" sqref="L142"/>
      <selection pane="bottomRight" activeCell="J29" sqref="J29"/>
    </sheetView>
  </sheetViews>
  <sheetFormatPr defaultRowHeight="12"/>
  <cols>
    <col min="1" max="1" width="9" style="76" customWidth="1"/>
    <col min="2" max="3" width="14.7109375" style="69" customWidth="1"/>
    <col min="4" max="4" width="18.42578125" style="69" bestFit="1" customWidth="1"/>
    <col min="5" max="5" width="14.140625" style="69" customWidth="1"/>
    <col min="6" max="7" width="13.85546875" style="69" bestFit="1" customWidth="1"/>
    <col min="8" max="8" width="18.42578125" style="69" bestFit="1" customWidth="1"/>
    <col min="9" max="9" width="12.42578125" style="69" customWidth="1"/>
    <col min="10" max="12" width="13.5703125" style="69" customWidth="1"/>
    <col min="13" max="14" width="18.140625" style="69" customWidth="1"/>
    <col min="15" max="15" width="14.7109375" style="69" customWidth="1"/>
    <col min="16" max="16" width="17.42578125" style="69" bestFit="1" customWidth="1"/>
    <col min="17" max="17" width="15.85546875" style="69" customWidth="1"/>
    <col min="18" max="18" width="17" style="69" bestFit="1" customWidth="1"/>
    <col min="19" max="19" width="14.7109375" style="69" bestFit="1" customWidth="1"/>
    <col min="20" max="20" width="13.85546875" style="69" customWidth="1"/>
    <col min="21" max="21" width="18.7109375" style="69" bestFit="1" customWidth="1"/>
    <col min="22" max="22" width="14.7109375" style="69" customWidth="1"/>
    <col min="23" max="23" width="17.140625" style="69" bestFit="1" customWidth="1"/>
    <col min="24" max="24" width="15.85546875" style="69" customWidth="1"/>
    <col min="25" max="25" width="17.42578125" style="69" bestFit="1" customWidth="1"/>
    <col min="26" max="26" width="15.140625" style="69" bestFit="1" customWidth="1"/>
    <col min="27" max="27" width="27" style="69" customWidth="1"/>
    <col min="28" max="28" width="18.140625" style="69" bestFit="1" customWidth="1"/>
    <col min="29" max="29" width="15.85546875" style="69" bestFit="1" customWidth="1"/>
    <col min="30" max="33" width="18.140625" style="72" customWidth="1"/>
    <col min="34" max="35" width="15.85546875" style="72" customWidth="1"/>
    <col min="36" max="36" width="18.140625" style="72" bestFit="1" customWidth="1"/>
    <col min="37" max="37" width="13.5703125" style="72" customWidth="1"/>
    <col min="38" max="42" width="15.85546875" style="72" customWidth="1"/>
    <col min="43" max="43" width="18.140625" style="72" bestFit="1" customWidth="1"/>
    <col min="44" max="44" width="15.85546875" style="72" customWidth="1"/>
    <col min="45" max="45" width="18.140625" style="72" bestFit="1" customWidth="1"/>
    <col min="46" max="46" width="25.42578125" style="72" customWidth="1"/>
    <col min="47" max="47" width="19.28515625" style="72" bestFit="1" customWidth="1"/>
    <col min="48" max="48" width="17.140625" style="72" bestFit="1" customWidth="1"/>
    <col min="49" max="49" width="19.42578125" style="72" bestFit="1" customWidth="1"/>
    <col min="50" max="50" width="18.28515625" style="72" bestFit="1" customWidth="1"/>
    <col min="51" max="51" width="9" style="72" customWidth="1"/>
    <col min="52" max="52" width="18.140625" style="72" customWidth="1"/>
    <col min="53" max="53" width="17" style="72" customWidth="1"/>
    <col min="54" max="54" width="13.85546875" style="72" bestFit="1" customWidth="1"/>
    <col min="55" max="55" width="13.5703125" style="72" customWidth="1"/>
    <col min="56" max="56" width="19.28515625" style="72" bestFit="1" customWidth="1"/>
    <col min="57" max="58" width="12.42578125" style="73" customWidth="1"/>
    <col min="59" max="60" width="17" style="72" customWidth="1"/>
    <col min="61" max="61" width="14.85546875" style="72" bestFit="1" customWidth="1"/>
    <col min="62" max="62" width="23.85546875" style="73" bestFit="1" customWidth="1"/>
    <col min="63" max="63" width="16.7109375" style="79" bestFit="1" customWidth="1"/>
    <col min="64" max="64" width="16.7109375" style="76" bestFit="1" customWidth="1"/>
    <col min="65" max="65" width="14.85546875" style="76" bestFit="1" customWidth="1"/>
    <col min="66" max="66" width="17.7109375" style="76" bestFit="1" customWidth="1"/>
    <col min="67" max="67" width="10" style="76" bestFit="1" customWidth="1"/>
    <col min="68" max="68" width="9.140625" style="76"/>
    <col min="69" max="69" width="12.140625" style="76" bestFit="1" customWidth="1"/>
    <col min="70" max="70" width="16.140625" style="76" bestFit="1" customWidth="1"/>
    <col min="71" max="71" width="16.85546875" style="76" bestFit="1" customWidth="1"/>
    <col min="72" max="72" width="9.5703125" style="76" bestFit="1" customWidth="1"/>
    <col min="73" max="73" width="15" style="76" bestFit="1" customWidth="1"/>
    <col min="74" max="74" width="13.28515625" style="76" bestFit="1" customWidth="1"/>
    <col min="75" max="16384" width="9.140625" style="76"/>
  </cols>
  <sheetData>
    <row r="1" spans="1:75" s="1" customFormat="1">
      <c r="B1" s="2" t="s">
        <v>0</v>
      </c>
      <c r="C1" s="2"/>
      <c r="D1" s="2"/>
      <c r="E1" s="2"/>
      <c r="F1" s="2"/>
      <c r="G1" s="2"/>
      <c r="H1" s="2"/>
      <c r="I1" s="2"/>
      <c r="J1" s="3"/>
      <c r="K1" s="4" t="s">
        <v>1</v>
      </c>
      <c r="L1" s="2"/>
      <c r="M1" s="3"/>
      <c r="N1" s="2"/>
      <c r="O1" s="2" t="s">
        <v>2</v>
      </c>
      <c r="P1" s="5"/>
      <c r="Q1" s="5"/>
      <c r="R1" s="5"/>
      <c r="S1" s="6"/>
      <c r="T1" s="6"/>
      <c r="U1" s="6"/>
      <c r="V1" s="2" t="s">
        <v>3</v>
      </c>
      <c r="W1" s="5"/>
      <c r="X1" s="5"/>
      <c r="Y1" s="5"/>
      <c r="Z1" s="6"/>
      <c r="AA1" s="7" t="s">
        <v>64</v>
      </c>
      <c r="AB1" s="8" t="s">
        <v>4</v>
      </c>
      <c r="AC1" s="8" t="s">
        <v>4</v>
      </c>
      <c r="AD1" s="9" t="s">
        <v>5</v>
      </c>
      <c r="AE1" s="10" t="s">
        <v>94</v>
      </c>
      <c r="AF1" s="11" t="s">
        <v>96</v>
      </c>
      <c r="AG1" s="12"/>
      <c r="AH1" s="13" t="s">
        <v>6</v>
      </c>
      <c r="AI1" s="14"/>
      <c r="AJ1" s="14"/>
      <c r="AK1" s="15"/>
      <c r="AL1" s="16" t="s">
        <v>67</v>
      </c>
      <c r="AM1" s="17"/>
      <c r="AN1" s="18"/>
      <c r="AO1" s="19"/>
      <c r="AP1" s="13" t="s">
        <v>7</v>
      </c>
      <c r="AQ1" s="14"/>
      <c r="AR1" s="14"/>
      <c r="AS1" s="15"/>
      <c r="AT1" s="7" t="s">
        <v>64</v>
      </c>
      <c r="AU1" s="20" t="s">
        <v>8</v>
      </c>
      <c r="AV1" s="20" t="s">
        <v>9</v>
      </c>
      <c r="AW1" s="21" t="s">
        <v>10</v>
      </c>
      <c r="AX1" s="22"/>
      <c r="AY1" s="23"/>
      <c r="AZ1" s="23"/>
      <c r="BA1" s="21" t="s">
        <v>86</v>
      </c>
      <c r="BB1" s="22"/>
      <c r="BC1" s="24"/>
      <c r="BD1" s="19" t="s">
        <v>102</v>
      </c>
      <c r="BE1" s="25"/>
      <c r="BF1" s="26" t="s">
        <v>11</v>
      </c>
      <c r="BG1" s="27"/>
      <c r="BH1" s="27"/>
      <c r="BI1" s="28"/>
      <c r="BJ1" s="29" t="s">
        <v>11</v>
      </c>
      <c r="BK1" s="30"/>
    </row>
    <row r="2" spans="1:75" s="1" customFormat="1">
      <c r="A2" s="31" t="s">
        <v>12</v>
      </c>
      <c r="B2" s="32" t="s">
        <v>91</v>
      </c>
      <c r="C2" s="33"/>
      <c r="D2" s="33"/>
      <c r="E2" s="34" t="s">
        <v>13</v>
      </c>
      <c r="F2" s="6"/>
      <c r="G2" s="35"/>
      <c r="H2" s="35"/>
      <c r="I2" s="34" t="s">
        <v>14</v>
      </c>
      <c r="J2" s="6"/>
      <c r="K2" s="32" t="s">
        <v>15</v>
      </c>
      <c r="L2" s="5" t="s">
        <v>16</v>
      </c>
      <c r="M2" s="6"/>
      <c r="N2" s="36"/>
      <c r="O2" s="8" t="s">
        <v>17</v>
      </c>
      <c r="P2" s="5" t="s">
        <v>18</v>
      </c>
      <c r="Q2" s="5"/>
      <c r="R2" s="6"/>
      <c r="S2" s="6"/>
      <c r="T2" s="8" t="s">
        <v>70</v>
      </c>
      <c r="U2" s="8" t="s">
        <v>19</v>
      </c>
      <c r="V2" s="8" t="s">
        <v>58</v>
      </c>
      <c r="W2" s="5" t="s">
        <v>66</v>
      </c>
      <c r="X2" s="5"/>
      <c r="Y2" s="6"/>
      <c r="Z2" s="6"/>
      <c r="AA2" s="37" t="s">
        <v>63</v>
      </c>
      <c r="AB2" s="38" t="s">
        <v>68</v>
      </c>
      <c r="AC2" s="38" t="s">
        <v>69</v>
      </c>
      <c r="AD2" s="28" t="s">
        <v>20</v>
      </c>
      <c r="AE2" s="9" t="s">
        <v>95</v>
      </c>
      <c r="AF2" s="28" t="s">
        <v>97</v>
      </c>
      <c r="AG2" s="28" t="s">
        <v>98</v>
      </c>
      <c r="AH2" s="28"/>
      <c r="AI2" s="14" t="s">
        <v>18</v>
      </c>
      <c r="AJ2" s="14"/>
      <c r="AK2" s="15"/>
      <c r="AL2" s="39" t="s">
        <v>106</v>
      </c>
      <c r="AM2" s="14" t="s">
        <v>21</v>
      </c>
      <c r="AN2" s="15"/>
      <c r="AO2" s="27"/>
      <c r="AP2" s="39"/>
      <c r="AQ2" s="14" t="s">
        <v>66</v>
      </c>
      <c r="AR2" s="14"/>
      <c r="AS2" s="15"/>
      <c r="AT2" s="37" t="s">
        <v>63</v>
      </c>
      <c r="AU2" s="14" t="s">
        <v>22</v>
      </c>
      <c r="AV2" s="14"/>
      <c r="AW2" s="14"/>
      <c r="AX2" s="15"/>
      <c r="AY2" s="40" t="s">
        <v>24</v>
      </c>
      <c r="AZ2" s="28" t="s">
        <v>25</v>
      </c>
      <c r="BB2" s="41" t="s">
        <v>26</v>
      </c>
      <c r="BC2" s="42"/>
      <c r="BD2" s="43"/>
      <c r="BE2" s="44"/>
      <c r="BF2" s="45" t="s">
        <v>27</v>
      </c>
      <c r="BG2" s="15"/>
      <c r="BH2" s="15"/>
      <c r="BI2" s="28"/>
      <c r="BJ2" s="46" t="s">
        <v>27</v>
      </c>
      <c r="BK2" s="30"/>
      <c r="BQ2" s="30" t="s">
        <v>99</v>
      </c>
    </row>
    <row r="3" spans="1:75" s="1" customFormat="1" ht="24">
      <c r="A3" s="31" t="s">
        <v>28</v>
      </c>
      <c r="B3" s="32" t="s">
        <v>29</v>
      </c>
      <c r="C3" s="47" t="s">
        <v>92</v>
      </c>
      <c r="D3" s="48"/>
      <c r="E3" s="8" t="s">
        <v>30</v>
      </c>
      <c r="F3" s="8" t="s">
        <v>31</v>
      </c>
      <c r="G3" s="47" t="s">
        <v>92</v>
      </c>
      <c r="H3" s="48"/>
      <c r="I3" s="8" t="s">
        <v>13</v>
      </c>
      <c r="J3" s="8" t="s">
        <v>32</v>
      </c>
      <c r="K3" s="32" t="s">
        <v>33</v>
      </c>
      <c r="L3" s="49" t="s">
        <v>31</v>
      </c>
      <c r="M3" s="8" t="s">
        <v>34</v>
      </c>
      <c r="N3" s="8" t="s">
        <v>76</v>
      </c>
      <c r="O3" s="8" t="s">
        <v>35</v>
      </c>
      <c r="P3" s="5" t="s">
        <v>17</v>
      </c>
      <c r="Q3" s="6"/>
      <c r="R3" s="5" t="s">
        <v>36</v>
      </c>
      <c r="S3" s="6"/>
      <c r="T3" s="8" t="s">
        <v>71</v>
      </c>
      <c r="U3" s="50" t="s">
        <v>103</v>
      </c>
      <c r="V3" s="51"/>
      <c r="W3" s="5" t="s">
        <v>17</v>
      </c>
      <c r="X3" s="6"/>
      <c r="Y3" s="5" t="s">
        <v>36</v>
      </c>
      <c r="Z3" s="6"/>
      <c r="AA3" s="52" t="s">
        <v>73</v>
      </c>
      <c r="AB3" s="8" t="s">
        <v>37</v>
      </c>
      <c r="AC3" s="8" t="s">
        <v>37</v>
      </c>
      <c r="AD3" s="28" t="s">
        <v>31</v>
      </c>
      <c r="AE3" s="9" t="s">
        <v>31</v>
      </c>
      <c r="AF3" s="28"/>
      <c r="AG3" s="28"/>
      <c r="AH3" s="28" t="s">
        <v>58</v>
      </c>
      <c r="AI3" s="28" t="s">
        <v>17</v>
      </c>
      <c r="AJ3" s="14" t="s">
        <v>36</v>
      </c>
      <c r="AK3" s="15"/>
      <c r="AL3" s="53" t="s">
        <v>107</v>
      </c>
      <c r="AM3" s="40" t="s">
        <v>38</v>
      </c>
      <c r="AN3" s="28" t="s">
        <v>39</v>
      </c>
      <c r="AO3" s="53" t="s">
        <v>104</v>
      </c>
      <c r="AP3" s="28" t="s">
        <v>58</v>
      </c>
      <c r="AQ3" s="28" t="s">
        <v>17</v>
      </c>
      <c r="AR3" s="14" t="s">
        <v>36</v>
      </c>
      <c r="AS3" s="15"/>
      <c r="AT3" s="52" t="s">
        <v>65</v>
      </c>
      <c r="AU3" s="54" t="s">
        <v>40</v>
      </c>
      <c r="AV3" s="40" t="s">
        <v>41</v>
      </c>
      <c r="AW3" s="40" t="s">
        <v>42</v>
      </c>
      <c r="AX3" s="28" t="s">
        <v>43</v>
      </c>
      <c r="AY3" s="55"/>
      <c r="AZ3" s="28" t="s">
        <v>44</v>
      </c>
      <c r="BA3" s="40" t="s">
        <v>23</v>
      </c>
      <c r="BB3" s="56" t="s">
        <v>45</v>
      </c>
      <c r="BC3" s="56" t="s">
        <v>46</v>
      </c>
      <c r="BD3" s="56" t="s">
        <v>89</v>
      </c>
      <c r="BE3" s="57" t="s">
        <v>81</v>
      </c>
      <c r="BF3" s="57" t="s">
        <v>47</v>
      </c>
      <c r="BG3" s="38" t="s">
        <v>80</v>
      </c>
      <c r="BH3" s="38" t="s">
        <v>48</v>
      </c>
      <c r="BI3" s="28" t="s">
        <v>78</v>
      </c>
      <c r="BJ3" s="29" t="s">
        <v>47</v>
      </c>
      <c r="BK3" s="30"/>
      <c r="BQ3" s="1" t="s">
        <v>100</v>
      </c>
      <c r="BT3" s="1" t="s">
        <v>105</v>
      </c>
    </row>
    <row r="4" spans="1:75" s="1" customFormat="1">
      <c r="A4" s="58"/>
      <c r="B4" s="32" t="s">
        <v>50</v>
      </c>
      <c r="C4" s="8" t="s">
        <v>58</v>
      </c>
      <c r="D4" s="8" t="s">
        <v>93</v>
      </c>
      <c r="E4" s="8"/>
      <c r="F4" s="8"/>
      <c r="G4" s="8" t="s">
        <v>58</v>
      </c>
      <c r="H4" s="8" t="s">
        <v>93</v>
      </c>
      <c r="I4" s="8"/>
      <c r="J4" s="8"/>
      <c r="K4" s="32"/>
      <c r="L4" s="32"/>
      <c r="M4" s="8" t="s">
        <v>51</v>
      </c>
      <c r="N4" s="8" t="s">
        <v>77</v>
      </c>
      <c r="O4" s="8" t="s">
        <v>52</v>
      </c>
      <c r="P4" s="8" t="s">
        <v>33</v>
      </c>
      <c r="Q4" s="8" t="s">
        <v>53</v>
      </c>
      <c r="R4" s="8" t="s">
        <v>54</v>
      </c>
      <c r="S4" s="8" t="s">
        <v>55</v>
      </c>
      <c r="T4" s="8" t="s">
        <v>72</v>
      </c>
      <c r="U4" s="8" t="s">
        <v>51</v>
      </c>
      <c r="V4" s="8" t="s">
        <v>51</v>
      </c>
      <c r="W4" s="8" t="s">
        <v>33</v>
      </c>
      <c r="X4" s="8" t="s">
        <v>53</v>
      </c>
      <c r="Y4" s="8" t="s">
        <v>54</v>
      </c>
      <c r="Z4" s="8" t="s">
        <v>55</v>
      </c>
      <c r="AA4" s="49" t="s">
        <v>62</v>
      </c>
      <c r="AB4" s="51"/>
      <c r="AC4" s="51"/>
      <c r="AD4" s="28" t="s">
        <v>49</v>
      </c>
      <c r="AE4" s="28" t="s">
        <v>49</v>
      </c>
      <c r="AF4" s="28"/>
      <c r="AG4" s="28"/>
      <c r="AH4" s="39"/>
      <c r="AI4" s="28"/>
      <c r="AJ4" s="28" t="s">
        <v>54</v>
      </c>
      <c r="AK4" s="28" t="s">
        <v>55</v>
      </c>
      <c r="AL4" s="28" t="s">
        <v>56</v>
      </c>
      <c r="AM4" s="59"/>
      <c r="AN4" s="39"/>
      <c r="AO4" s="39"/>
      <c r="AP4" s="39"/>
      <c r="AQ4" s="28"/>
      <c r="AR4" s="28" t="s">
        <v>54</v>
      </c>
      <c r="AS4" s="28" t="s">
        <v>55</v>
      </c>
      <c r="AT4" s="28" t="s">
        <v>49</v>
      </c>
      <c r="AU4" s="39"/>
      <c r="AV4" s="59"/>
      <c r="AW4" s="60" t="s">
        <v>74</v>
      </c>
      <c r="AX4" s="38" t="s">
        <v>75</v>
      </c>
      <c r="AY4" s="61" t="s">
        <v>85</v>
      </c>
      <c r="AZ4" s="62"/>
      <c r="BA4" s="55" t="s">
        <v>44</v>
      </c>
      <c r="BB4" s="59"/>
      <c r="BC4" s="63"/>
      <c r="BD4" s="60" t="s">
        <v>90</v>
      </c>
      <c r="BE4" s="64" t="s">
        <v>82</v>
      </c>
      <c r="BF4" s="29" t="s">
        <v>57</v>
      </c>
      <c r="BG4" s="39"/>
      <c r="BH4" s="39"/>
      <c r="BI4" s="28" t="s">
        <v>79</v>
      </c>
      <c r="BJ4" s="29" t="s">
        <v>61</v>
      </c>
      <c r="BK4" s="30" t="s">
        <v>83</v>
      </c>
      <c r="BL4" s="1" t="s">
        <v>70</v>
      </c>
      <c r="BM4" s="1" t="s">
        <v>59</v>
      </c>
      <c r="BN4" s="30" t="s">
        <v>84</v>
      </c>
      <c r="BO4" s="30" t="s">
        <v>87</v>
      </c>
      <c r="BP4" s="30" t="s">
        <v>88</v>
      </c>
      <c r="BQ4" s="30" t="s">
        <v>101</v>
      </c>
    </row>
    <row r="5" spans="1:75" s="1" customFormat="1">
      <c r="A5" s="65">
        <v>1</v>
      </c>
      <c r="B5" s="66">
        <f t="shared" ref="B5:AG5" si="0">A5+1</f>
        <v>2</v>
      </c>
      <c r="C5" s="66">
        <f t="shared" si="0"/>
        <v>3</v>
      </c>
      <c r="D5" s="66">
        <f t="shared" si="0"/>
        <v>4</v>
      </c>
      <c r="E5" s="66">
        <f t="shared" si="0"/>
        <v>5</v>
      </c>
      <c r="F5" s="66">
        <f t="shared" si="0"/>
        <v>6</v>
      </c>
      <c r="G5" s="66">
        <f t="shared" si="0"/>
        <v>7</v>
      </c>
      <c r="H5" s="66">
        <f t="shared" si="0"/>
        <v>8</v>
      </c>
      <c r="I5" s="66">
        <f t="shared" si="0"/>
        <v>9</v>
      </c>
      <c r="J5" s="66">
        <f t="shared" si="0"/>
        <v>10</v>
      </c>
      <c r="K5" s="66">
        <f t="shared" si="0"/>
        <v>11</v>
      </c>
      <c r="L5" s="66">
        <f t="shared" si="0"/>
        <v>12</v>
      </c>
      <c r="M5" s="66">
        <f t="shared" si="0"/>
        <v>13</v>
      </c>
      <c r="N5" s="66">
        <f t="shared" si="0"/>
        <v>14</v>
      </c>
      <c r="O5" s="66">
        <f t="shared" si="0"/>
        <v>15</v>
      </c>
      <c r="P5" s="66">
        <f t="shared" si="0"/>
        <v>16</v>
      </c>
      <c r="Q5" s="66">
        <f t="shared" si="0"/>
        <v>17</v>
      </c>
      <c r="R5" s="66">
        <f t="shared" si="0"/>
        <v>18</v>
      </c>
      <c r="S5" s="66">
        <f t="shared" si="0"/>
        <v>19</v>
      </c>
      <c r="T5" s="66">
        <f t="shared" si="0"/>
        <v>20</v>
      </c>
      <c r="U5" s="66">
        <f t="shared" si="0"/>
        <v>21</v>
      </c>
      <c r="V5" s="66">
        <f t="shared" si="0"/>
        <v>22</v>
      </c>
      <c r="W5" s="66">
        <f t="shared" si="0"/>
        <v>23</v>
      </c>
      <c r="X5" s="66">
        <f t="shared" si="0"/>
        <v>24</v>
      </c>
      <c r="Y5" s="66">
        <f t="shared" si="0"/>
        <v>25</v>
      </c>
      <c r="Z5" s="66">
        <f t="shared" si="0"/>
        <v>26</v>
      </c>
      <c r="AA5" s="66">
        <f t="shared" si="0"/>
        <v>27</v>
      </c>
      <c r="AB5" s="66">
        <f t="shared" si="0"/>
        <v>28</v>
      </c>
      <c r="AC5" s="66">
        <f t="shared" si="0"/>
        <v>29</v>
      </c>
      <c r="AD5" s="66">
        <f t="shared" si="0"/>
        <v>30</v>
      </c>
      <c r="AE5" s="66">
        <f t="shared" si="0"/>
        <v>31</v>
      </c>
      <c r="AF5" s="66">
        <f t="shared" si="0"/>
        <v>32</v>
      </c>
      <c r="AG5" s="66">
        <f t="shared" si="0"/>
        <v>33</v>
      </c>
      <c r="AH5" s="66">
        <f t="shared" ref="AH5:BQ5" si="1">AG5+1</f>
        <v>34</v>
      </c>
      <c r="AI5" s="66">
        <f t="shared" si="1"/>
        <v>35</v>
      </c>
      <c r="AJ5" s="66">
        <f t="shared" si="1"/>
        <v>36</v>
      </c>
      <c r="AK5" s="66">
        <f t="shared" si="1"/>
        <v>37</v>
      </c>
      <c r="AL5" s="66">
        <f t="shared" si="1"/>
        <v>38</v>
      </c>
      <c r="AM5" s="66">
        <f t="shared" si="1"/>
        <v>39</v>
      </c>
      <c r="AN5" s="66">
        <f t="shared" si="1"/>
        <v>40</v>
      </c>
      <c r="AO5" s="66">
        <f t="shared" si="1"/>
        <v>41</v>
      </c>
      <c r="AP5" s="66">
        <f t="shared" si="1"/>
        <v>42</v>
      </c>
      <c r="AQ5" s="66">
        <f t="shared" si="1"/>
        <v>43</v>
      </c>
      <c r="AR5" s="66">
        <f t="shared" si="1"/>
        <v>44</v>
      </c>
      <c r="AS5" s="66">
        <f t="shared" si="1"/>
        <v>45</v>
      </c>
      <c r="AT5" s="66">
        <f t="shared" si="1"/>
        <v>46</v>
      </c>
      <c r="AU5" s="66">
        <f t="shared" si="1"/>
        <v>47</v>
      </c>
      <c r="AV5" s="66">
        <f t="shared" si="1"/>
        <v>48</v>
      </c>
      <c r="AW5" s="66">
        <f t="shared" si="1"/>
        <v>49</v>
      </c>
      <c r="AX5" s="66">
        <f t="shared" si="1"/>
        <v>50</v>
      </c>
      <c r="AY5" s="66">
        <f t="shared" si="1"/>
        <v>51</v>
      </c>
      <c r="AZ5" s="66">
        <f t="shared" si="1"/>
        <v>52</v>
      </c>
      <c r="BA5" s="66">
        <f t="shared" si="1"/>
        <v>53</v>
      </c>
      <c r="BB5" s="66">
        <f t="shared" si="1"/>
        <v>54</v>
      </c>
      <c r="BC5" s="67">
        <f t="shared" si="1"/>
        <v>55</v>
      </c>
      <c r="BD5" s="67">
        <f t="shared" si="1"/>
        <v>56</v>
      </c>
      <c r="BE5" s="66">
        <f t="shared" si="1"/>
        <v>57</v>
      </c>
      <c r="BF5" s="66">
        <f t="shared" si="1"/>
        <v>58</v>
      </c>
      <c r="BG5" s="66">
        <f t="shared" si="1"/>
        <v>59</v>
      </c>
      <c r="BH5" s="66">
        <f t="shared" si="1"/>
        <v>60</v>
      </c>
      <c r="BI5" s="66">
        <f t="shared" si="1"/>
        <v>61</v>
      </c>
      <c r="BJ5" s="66">
        <f t="shared" si="1"/>
        <v>62</v>
      </c>
      <c r="BK5" s="66">
        <f t="shared" si="1"/>
        <v>63</v>
      </c>
      <c r="BL5" s="66">
        <f t="shared" si="1"/>
        <v>64</v>
      </c>
      <c r="BM5" s="66">
        <f t="shared" si="1"/>
        <v>65</v>
      </c>
      <c r="BN5" s="66">
        <f t="shared" si="1"/>
        <v>66</v>
      </c>
      <c r="BO5" s="66">
        <f t="shared" si="1"/>
        <v>67</v>
      </c>
      <c r="BP5" s="66">
        <f t="shared" si="1"/>
        <v>68</v>
      </c>
      <c r="BQ5" s="66">
        <f t="shared" si="1"/>
        <v>69</v>
      </c>
    </row>
    <row r="6" spans="1:75">
      <c r="A6" s="68">
        <v>40210</v>
      </c>
      <c r="B6" s="69">
        <v>40939137.509999998</v>
      </c>
      <c r="E6" s="69">
        <v>100003.86</v>
      </c>
      <c r="F6" s="69">
        <v>0</v>
      </c>
      <c r="I6" s="69">
        <v>0</v>
      </c>
      <c r="J6" s="69">
        <v>868837.62</v>
      </c>
      <c r="K6" s="69">
        <v>152959</v>
      </c>
      <c r="L6" s="69">
        <v>108708</v>
      </c>
      <c r="M6" s="70">
        <v>82614</v>
      </c>
      <c r="N6" s="71">
        <v>-38363</v>
      </c>
      <c r="O6" s="69">
        <v>15208626.960000001</v>
      </c>
      <c r="P6" s="69">
        <v>8763876.4399999995</v>
      </c>
      <c r="Q6" s="69">
        <v>736376.57</v>
      </c>
      <c r="R6" s="69">
        <v>0</v>
      </c>
      <c r="S6" s="69">
        <v>0</v>
      </c>
      <c r="T6" s="69">
        <v>4706.07</v>
      </c>
      <c r="U6" s="72">
        <v>0</v>
      </c>
      <c r="V6" s="69">
        <v>3920976.97</v>
      </c>
      <c r="W6" s="69">
        <v>0</v>
      </c>
      <c r="X6" s="69">
        <v>0</v>
      </c>
      <c r="Y6" s="69">
        <v>3895477.74</v>
      </c>
      <c r="Z6" s="72">
        <v>0</v>
      </c>
      <c r="AA6" s="72">
        <v>0</v>
      </c>
      <c r="AB6" s="72">
        <v>0</v>
      </c>
      <c r="AC6" s="72">
        <v>0</v>
      </c>
      <c r="AD6" s="72">
        <v>1576700000</v>
      </c>
      <c r="AH6" s="72">
        <v>646370000</v>
      </c>
      <c r="AI6" s="72">
        <v>461264000</v>
      </c>
      <c r="AJ6" s="72">
        <v>0</v>
      </c>
      <c r="AK6" s="72">
        <v>0</v>
      </c>
      <c r="AL6" s="72">
        <v>-1918000</v>
      </c>
      <c r="AM6" s="72">
        <v>119301000</v>
      </c>
      <c r="AN6" s="72">
        <v>-185655771</v>
      </c>
      <c r="AO6" s="72">
        <f t="shared" ref="AO6:AO10" si="2">AM6+AN6</f>
        <v>-66354771</v>
      </c>
      <c r="AP6" s="72">
        <v>135531000</v>
      </c>
      <c r="AQ6" s="72">
        <v>0</v>
      </c>
      <c r="AR6" s="72">
        <v>134715000</v>
      </c>
      <c r="AS6" s="72">
        <v>0</v>
      </c>
      <c r="AT6" s="72">
        <v>0</v>
      </c>
      <c r="AU6" s="72">
        <v>113769523</v>
      </c>
      <c r="AV6" s="72">
        <v>0</v>
      </c>
      <c r="AW6" s="72">
        <v>184079697</v>
      </c>
      <c r="AX6" s="72">
        <v>46704000</v>
      </c>
      <c r="AY6" s="72">
        <v>0</v>
      </c>
      <c r="AZ6" s="72">
        <v>0</v>
      </c>
      <c r="BA6" s="72">
        <v>1680572594</v>
      </c>
      <c r="BB6" s="72">
        <v>16323</v>
      </c>
      <c r="BC6" s="72">
        <v>2781627</v>
      </c>
      <c r="BD6" s="72">
        <v>0</v>
      </c>
      <c r="BE6" s="73">
        <v>2.7539999999999999E-2</v>
      </c>
      <c r="BF6" s="73">
        <f>ROUND(BG6/BH6-BE6,5)</f>
        <v>-2.2000000000000001E-4</v>
      </c>
      <c r="BG6" s="72">
        <f t="shared" ref="BG6" si="3">BK6+BL6-BM6-BN6-AB6</f>
        <v>53988733</v>
      </c>
      <c r="BH6" s="74">
        <v>1976510551</v>
      </c>
      <c r="BI6" s="73"/>
      <c r="BJ6" s="72"/>
      <c r="BK6" s="71">
        <f t="shared" ref="BK6:BK8" si="4">ROUND(SUM(B6:J6),0)+ROUND(N6,0)</f>
        <v>41869616</v>
      </c>
      <c r="BL6" s="69">
        <f t="shared" ref="BL6:BL8" si="5">ROUND(O6-SUM(P6:S6),0)+ROUND(P6,0)+ROUND(Q6,0)+ROUND(R6,0)+ROUND(S6,0)-ROUND(T6,0)</f>
        <v>15203921</v>
      </c>
      <c r="BM6" s="69">
        <f t="shared" ref="BM6:BM8" si="6">ROUND(V6-SUM(W6:AA6),0)+ROUND(W6+X6,0)+ROUND(Y6+Z6,0)+ROUND((V6-W6-X6-Y6-Z6)*0.01,0)</f>
        <v>3921232</v>
      </c>
      <c r="BN6" s="75">
        <v>-836428</v>
      </c>
      <c r="BO6" s="76">
        <v>1007</v>
      </c>
      <c r="BP6" s="76">
        <v>0</v>
      </c>
      <c r="BQ6" s="76">
        <v>0</v>
      </c>
      <c r="BR6" s="69"/>
      <c r="BS6" s="69"/>
      <c r="BT6" s="73">
        <f t="shared" ref="BT6:BT10" si="7">BE6+BF6</f>
        <v>2.7319999999999997E-2</v>
      </c>
      <c r="BU6" s="72">
        <f t="shared" ref="BU6:BU10" si="8">ROUND(BA6*BT6,0)</f>
        <v>45913243</v>
      </c>
    </row>
    <row r="7" spans="1:75">
      <c r="A7" s="68">
        <v>40238</v>
      </c>
      <c r="B7" s="69">
        <v>31949051.440000001</v>
      </c>
      <c r="E7" s="69">
        <v>225134.54</v>
      </c>
      <c r="F7" s="69">
        <f>-F9</f>
        <v>-481.15</v>
      </c>
      <c r="I7" s="69">
        <v>0.02</v>
      </c>
      <c r="J7" s="69">
        <v>723784.89</v>
      </c>
      <c r="K7" s="69">
        <v>1267388</v>
      </c>
      <c r="L7" s="69">
        <v>442278</v>
      </c>
      <c r="M7" s="70">
        <v>1188751</v>
      </c>
      <c r="N7" s="71">
        <v>-363641</v>
      </c>
      <c r="O7" s="69">
        <v>15214538.32</v>
      </c>
      <c r="P7" s="69">
        <v>6123135.9100000001</v>
      </c>
      <c r="Q7" s="69">
        <v>172564.82</v>
      </c>
      <c r="R7" s="69">
        <v>0</v>
      </c>
      <c r="S7" s="69">
        <v>0</v>
      </c>
      <c r="T7" s="69">
        <v>0</v>
      </c>
      <c r="U7" s="72">
        <v>0</v>
      </c>
      <c r="V7" s="69">
        <v>1000823.92</v>
      </c>
      <c r="W7" s="69">
        <v>0</v>
      </c>
      <c r="X7" s="69">
        <v>0</v>
      </c>
      <c r="Y7" s="69">
        <v>996315.52</v>
      </c>
      <c r="Z7" s="72">
        <v>0</v>
      </c>
      <c r="AA7" s="72">
        <v>0</v>
      </c>
      <c r="AB7" s="72">
        <v>0</v>
      </c>
      <c r="AC7" s="72">
        <v>0</v>
      </c>
      <c r="AD7" s="72">
        <v>1262023000</v>
      </c>
      <c r="AH7" s="72">
        <v>595482000</v>
      </c>
      <c r="AI7" s="72">
        <v>317594000</v>
      </c>
      <c r="AJ7" s="72">
        <v>0</v>
      </c>
      <c r="AK7" s="72">
        <v>0</v>
      </c>
      <c r="AL7" s="72">
        <v>-4538000</v>
      </c>
      <c r="AM7" s="72">
        <v>25029000</v>
      </c>
      <c r="AN7" s="72">
        <v>144693801</v>
      </c>
      <c r="AO7" s="72">
        <f t="shared" si="2"/>
        <v>169722801</v>
      </c>
      <c r="AP7" s="72">
        <v>34792000</v>
      </c>
      <c r="AQ7" s="72">
        <v>0</v>
      </c>
      <c r="AR7" s="72">
        <v>34646000</v>
      </c>
      <c r="AS7" s="72">
        <v>0</v>
      </c>
      <c r="AT7" s="72">
        <v>0</v>
      </c>
      <c r="AU7" s="72">
        <v>92642653</v>
      </c>
      <c r="AV7" s="72">
        <v>0</v>
      </c>
      <c r="AW7" s="72">
        <v>52138023</v>
      </c>
      <c r="AX7" s="72">
        <v>45284400</v>
      </c>
      <c r="AY7" s="72">
        <v>0</v>
      </c>
      <c r="AZ7" s="72">
        <v>0</v>
      </c>
      <c r="BA7" s="72">
        <v>1618732269</v>
      </c>
      <c r="BB7" s="72">
        <v>12670</v>
      </c>
      <c r="BC7" s="72">
        <v>2688085</v>
      </c>
      <c r="BD7" s="72">
        <v>0</v>
      </c>
      <c r="BE7" s="73">
        <v>2.7539999999999999E-2</v>
      </c>
      <c r="BF7" s="73">
        <f>ROUND(BG7/BH7-BE7,5)</f>
        <v>0</v>
      </c>
      <c r="BG7" s="72">
        <f t="shared" ref="BG7:BG13" si="9">BK7+BL7-BM7-BN7-AB7</f>
        <v>47496960</v>
      </c>
      <c r="BH7" s="74">
        <v>1724398249</v>
      </c>
      <c r="BI7" s="73">
        <v>1.1E-4</v>
      </c>
      <c r="BJ7" s="72"/>
      <c r="BK7" s="71">
        <f t="shared" si="4"/>
        <v>32533849</v>
      </c>
      <c r="BL7" s="69">
        <f t="shared" si="5"/>
        <v>15214539</v>
      </c>
      <c r="BM7" s="69">
        <f t="shared" si="6"/>
        <v>1000869</v>
      </c>
      <c r="BN7" s="75">
        <v>-749441</v>
      </c>
      <c r="BO7" s="76">
        <v>559</v>
      </c>
      <c r="BP7" s="76">
        <v>0</v>
      </c>
      <c r="BQ7" s="76">
        <v>0</v>
      </c>
      <c r="BR7" s="69"/>
      <c r="BS7" s="69"/>
      <c r="BT7" s="73">
        <f t="shared" si="7"/>
        <v>2.7539999999999999E-2</v>
      </c>
      <c r="BU7" s="72">
        <f t="shared" si="8"/>
        <v>44579887</v>
      </c>
    </row>
    <row r="8" spans="1:75">
      <c r="A8" s="68">
        <v>40269</v>
      </c>
      <c r="B8" s="69">
        <v>25738367.699999999</v>
      </c>
      <c r="E8" s="69">
        <v>325606.53999999998</v>
      </c>
      <c r="F8" s="69">
        <v>0</v>
      </c>
      <c r="I8" s="69">
        <v>0</v>
      </c>
      <c r="J8" s="69">
        <v>1173106.31</v>
      </c>
      <c r="K8" s="69">
        <v>423869</v>
      </c>
      <c r="L8" s="69">
        <v>385458</v>
      </c>
      <c r="M8" s="70">
        <v>15322</v>
      </c>
      <c r="N8" s="71">
        <v>0</v>
      </c>
      <c r="O8" s="69">
        <v>12717983.1</v>
      </c>
      <c r="P8" s="69">
        <v>9650455.3800000008</v>
      </c>
      <c r="Q8" s="69">
        <v>99474.83</v>
      </c>
      <c r="R8" s="69">
        <v>0</v>
      </c>
      <c r="S8" s="69">
        <v>241.85</v>
      </c>
      <c r="T8" s="69">
        <v>0</v>
      </c>
      <c r="U8" s="72">
        <v>0</v>
      </c>
      <c r="V8" s="69">
        <v>574530.71</v>
      </c>
      <c r="W8" s="69">
        <v>0</v>
      </c>
      <c r="X8" s="69">
        <v>0</v>
      </c>
      <c r="Y8" s="69">
        <v>556113.43000000005</v>
      </c>
      <c r="Z8" s="72">
        <v>0</v>
      </c>
      <c r="AA8" s="72">
        <v>0</v>
      </c>
      <c r="AB8" s="72">
        <v>0</v>
      </c>
      <c r="AC8" s="72">
        <v>0</v>
      </c>
      <c r="AD8" s="72">
        <v>1009027000</v>
      </c>
      <c r="AH8" s="72">
        <v>580335000</v>
      </c>
      <c r="AI8" s="72">
        <v>505251000</v>
      </c>
      <c r="AJ8" s="72">
        <v>0</v>
      </c>
      <c r="AK8" s="72">
        <v>11000</v>
      </c>
      <c r="AL8" s="72">
        <v>-6133000</v>
      </c>
      <c r="AM8" s="72">
        <v>8145000</v>
      </c>
      <c r="AN8" s="72">
        <v>76098647</v>
      </c>
      <c r="AO8" s="72">
        <f t="shared" si="2"/>
        <v>84243647</v>
      </c>
      <c r="AP8" s="72">
        <v>21075000</v>
      </c>
      <c r="AQ8" s="72">
        <v>0</v>
      </c>
      <c r="AR8" s="72">
        <v>20379000</v>
      </c>
      <c r="AS8" s="72">
        <v>0</v>
      </c>
      <c r="AT8" s="72">
        <v>0</v>
      </c>
      <c r="AU8" s="72">
        <v>63721570</v>
      </c>
      <c r="AV8" s="72">
        <v>0</v>
      </c>
      <c r="AW8" s="72">
        <v>85851253</v>
      </c>
      <c r="AX8" s="72">
        <f>19093600+23305200</f>
        <v>42398800</v>
      </c>
      <c r="AY8" s="72">
        <v>0</v>
      </c>
      <c r="AZ8" s="72">
        <v>0</v>
      </c>
      <c r="BA8" s="72">
        <v>1390766758</v>
      </c>
      <c r="BB8" s="72">
        <v>7122</v>
      </c>
      <c r="BC8" s="72">
        <v>1858050</v>
      </c>
      <c r="BD8" s="72">
        <v>0</v>
      </c>
      <c r="BE8" s="73">
        <v>2.7539999999999999E-2</v>
      </c>
      <c r="BF8" s="73">
        <f t="shared" ref="BF8:BF16" si="10">ROUND(BG8/BH8-BE8,5)</f>
        <v>-8.5999999999999998E-4</v>
      </c>
      <c r="BG8" s="72">
        <f t="shared" si="9"/>
        <v>39319961</v>
      </c>
      <c r="BH8" s="74">
        <v>1473693945</v>
      </c>
      <c r="BI8" s="73"/>
      <c r="BJ8" s="72"/>
      <c r="BK8" s="71">
        <f t="shared" si="4"/>
        <v>27237081</v>
      </c>
      <c r="BL8" s="69">
        <f t="shared" si="5"/>
        <v>12717983</v>
      </c>
      <c r="BM8" s="69">
        <f t="shared" si="6"/>
        <v>574714</v>
      </c>
      <c r="BN8" s="75">
        <f>ROUND((ROUND((BA8-AY8)*BF6,0)-ROUND((BH6-(SUM(AU6:AX6)+AY6+SUM(BB6:BC6)))*IF(BI6="",BF6,BI6),0))*ROUND(BH8/(BH8-SUM(AU8:AX8,AY8,BB8:BC8)),8),0)</f>
        <v>60389</v>
      </c>
      <c r="BO8" s="76">
        <v>197</v>
      </c>
      <c r="BP8" s="76">
        <v>38</v>
      </c>
      <c r="BQ8" s="76">
        <v>0</v>
      </c>
      <c r="BR8" s="69"/>
      <c r="BS8" s="69"/>
      <c r="BT8" s="73">
        <f t="shared" si="7"/>
        <v>2.6679999999999999E-2</v>
      </c>
      <c r="BU8" s="72">
        <f t="shared" si="8"/>
        <v>37105657</v>
      </c>
    </row>
    <row r="9" spans="1:75">
      <c r="A9" s="68">
        <v>40299</v>
      </c>
      <c r="B9" s="69">
        <f>6239024.23+24488588.71+2107424.27+142756.87</f>
        <v>32977794.080000002</v>
      </c>
      <c r="C9" s="69">
        <v>142756.87</v>
      </c>
      <c r="D9" s="69">
        <v>35626.400000000001</v>
      </c>
      <c r="E9" s="69">
        <f>116787.18+212080.92+26492.8+847188.91</f>
        <v>1202549.81</v>
      </c>
      <c r="F9" s="69">
        <v>481.15</v>
      </c>
      <c r="G9" s="69">
        <v>847188.91</v>
      </c>
      <c r="H9" s="69">
        <v>211424.47</v>
      </c>
      <c r="I9" s="69">
        <v>0</v>
      </c>
      <c r="J9" s="69">
        <v>3314626.3</v>
      </c>
      <c r="K9" s="69">
        <v>1285692</v>
      </c>
      <c r="L9" s="69">
        <v>949952</v>
      </c>
      <c r="M9" s="70">
        <v>962102</v>
      </c>
      <c r="N9" s="71">
        <v>-626362</v>
      </c>
      <c r="O9" s="69">
        <v>12850660.42</v>
      </c>
      <c r="P9" s="69">
        <v>7533053.6100000003</v>
      </c>
      <c r="Q9" s="69">
        <v>205021.56</v>
      </c>
      <c r="R9" s="69">
        <v>330.68</v>
      </c>
      <c r="S9" s="69">
        <v>0</v>
      </c>
      <c r="T9" s="69">
        <v>0</v>
      </c>
      <c r="U9" s="72">
        <v>0</v>
      </c>
      <c r="V9" s="69">
        <v>1157070.33</v>
      </c>
      <c r="W9" s="69">
        <v>28122.38</v>
      </c>
      <c r="X9" s="69">
        <v>32.26</v>
      </c>
      <c r="Y9" s="69">
        <v>1045136.48</v>
      </c>
      <c r="Z9" s="72">
        <v>0</v>
      </c>
      <c r="AA9" s="72">
        <v>0</v>
      </c>
      <c r="AB9" s="72">
        <v>0</v>
      </c>
      <c r="AC9" s="72">
        <v>0</v>
      </c>
      <c r="AD9" s="72">
        <v>1292513000</v>
      </c>
      <c r="AE9" s="72">
        <v>5069000</v>
      </c>
      <c r="AF9" s="72">
        <v>614000</v>
      </c>
      <c r="AG9" s="72">
        <v>646000</v>
      </c>
      <c r="AH9" s="72">
        <v>483838000</v>
      </c>
      <c r="AI9" s="72">
        <v>358849000</v>
      </c>
      <c r="AJ9" s="72">
        <v>6000</v>
      </c>
      <c r="AK9" s="72">
        <v>0</v>
      </c>
      <c r="AL9" s="72">
        <v>28878000</v>
      </c>
      <c r="AM9" s="72">
        <v>57878000</v>
      </c>
      <c r="AN9" s="72">
        <v>47166861</v>
      </c>
      <c r="AO9" s="72">
        <f t="shared" si="2"/>
        <v>105044861</v>
      </c>
      <c r="AP9" s="72">
        <v>41837000</v>
      </c>
      <c r="AQ9" s="72">
        <v>650000</v>
      </c>
      <c r="AR9" s="72">
        <v>39331000</v>
      </c>
      <c r="AS9" s="72">
        <v>0</v>
      </c>
      <c r="AT9" s="72">
        <v>0</v>
      </c>
      <c r="AU9" s="72">
        <v>66309312</v>
      </c>
      <c r="AV9" s="72">
        <v>0</v>
      </c>
      <c r="AW9" s="72">
        <f>100170560+4197987</f>
        <v>104368547</v>
      </c>
      <c r="AX9" s="72">
        <f>72130000-23305200</f>
        <v>48824800</v>
      </c>
      <c r="AY9" s="72">
        <v>0</v>
      </c>
      <c r="AZ9" s="72">
        <v>0</v>
      </c>
      <c r="BA9" s="72">
        <v>1297459070</v>
      </c>
      <c r="BB9" s="72">
        <v>5359</v>
      </c>
      <c r="BC9" s="72">
        <v>1173851</v>
      </c>
      <c r="BD9" s="72">
        <v>0</v>
      </c>
      <c r="BE9" s="73">
        <v>2.7539999999999999E-2</v>
      </c>
      <c r="BF9" s="73">
        <f t="shared" si="10"/>
        <v>1.6100000000000001E-3</v>
      </c>
      <c r="BG9" s="72">
        <f t="shared" si="9"/>
        <v>48507544</v>
      </c>
      <c r="BH9" s="74">
        <v>1664254018</v>
      </c>
      <c r="BI9" s="73"/>
      <c r="BJ9" s="72"/>
      <c r="BK9" s="71">
        <f>ROUND(B9-(C9*(IF(AE9=0,0,ROUND((AF9+AG9+((AF9+AG9)*0.01))/AE9,5)))),0)+ROUND(E9,0)+ROUND(F9,0)+ROUND(I9,0)-SUM(IF(AE9=0,0,ROUND(G9*ROUND((AF9+AG9+((AF9+AG9)*0.01))/AE9,5),0)))+ROUND(J9,0)+ROUND(N9,0)</f>
        <v>36620554</v>
      </c>
      <c r="BL9" s="69">
        <f t="shared" ref="BL9:BL21" si="11">ROUND(O9-SUM(P9:S9),0)+ROUND(P9,0)+ROUND(Q9,0)+ROUND(R9,0)+ROUND(S9,0)-ROUND(T9,0)</f>
        <v>12850662</v>
      </c>
      <c r="BM9" s="69">
        <f t="shared" ref="BM9:BM31" si="12">ROUND(V9-SUM(W9:AA9),0)+ROUND(W9+X9,0)+ROUND(Y9+Z9,0)+ROUND((V9-W9-X9-Y9-Z9)*0.01,0)</f>
        <v>1157908</v>
      </c>
      <c r="BN9" s="75">
        <f>ROUND((ROUND((BA9-AY9)*BF7,0)-ROUND((BH7-(SUM(AU7:AX7)+AY7+SUM(BB7:BC7)))*IF(BI7="",BF7,BI7),0))*ROUND(BH9/(BH9-SUM(AU9:AX9,AY9,BB9:BC9)),8),0)</f>
        <v>-194236</v>
      </c>
      <c r="BO9" s="76">
        <v>72</v>
      </c>
      <c r="BP9" s="76">
        <v>135</v>
      </c>
      <c r="BQ9" s="72">
        <v>113000</v>
      </c>
      <c r="BR9" s="69"/>
      <c r="BS9" s="69"/>
      <c r="BT9" s="73">
        <f t="shared" si="7"/>
        <v>2.9149999999999999E-2</v>
      </c>
      <c r="BU9" s="72">
        <f t="shared" si="8"/>
        <v>37820932</v>
      </c>
    </row>
    <row r="10" spans="1:75">
      <c r="A10" s="68">
        <v>40330</v>
      </c>
      <c r="B10" s="69">
        <f>12292144.84+28348778.63+2551293.73+1278586.04+1064104.63</f>
        <v>45534907.869999997</v>
      </c>
      <c r="C10" s="69">
        <v>1064104.6299999999</v>
      </c>
      <c r="D10" s="69">
        <v>266888.09000000003</v>
      </c>
      <c r="E10" s="69">
        <v>1739047.48</v>
      </c>
      <c r="F10" s="69">
        <v>1435.18</v>
      </c>
      <c r="G10" s="69">
        <v>1397817.37</v>
      </c>
      <c r="H10" s="69">
        <v>350586.56</v>
      </c>
      <c r="I10" s="69">
        <v>206907.56</v>
      </c>
      <c r="J10" s="69">
        <v>5887811.5899999999</v>
      </c>
      <c r="K10" s="69">
        <v>1119085</v>
      </c>
      <c r="L10" s="69">
        <v>864875</v>
      </c>
      <c r="M10" s="70">
        <v>650243</v>
      </c>
      <c r="N10" s="71">
        <v>-396033</v>
      </c>
      <c r="O10" s="69">
        <v>10612470.550000001</v>
      </c>
      <c r="P10" s="69">
        <v>5052133.49</v>
      </c>
      <c r="Q10" s="69">
        <v>120188.95</v>
      </c>
      <c r="R10" s="69">
        <v>407.49</v>
      </c>
      <c r="S10" s="69">
        <v>0</v>
      </c>
      <c r="T10" s="69">
        <v>0</v>
      </c>
      <c r="U10" s="72">
        <v>0</v>
      </c>
      <c r="V10" s="69">
        <v>368795.85</v>
      </c>
      <c r="W10" s="69">
        <v>196225.75</v>
      </c>
      <c r="X10" s="69">
        <v>31.14</v>
      </c>
      <c r="Y10" s="69">
        <v>165881.89000000001</v>
      </c>
      <c r="Z10" s="72">
        <v>0</v>
      </c>
      <c r="AA10" s="72">
        <v>0</v>
      </c>
      <c r="AB10" s="72">
        <v>0</v>
      </c>
      <c r="AC10" s="72">
        <v>0</v>
      </c>
      <c r="AD10" s="72">
        <v>1738022000</v>
      </c>
      <c r="AE10" s="72">
        <f>43290000+6997000+7432000</f>
        <v>57719000</v>
      </c>
      <c r="AF10" s="72">
        <v>6997000</v>
      </c>
      <c r="AG10" s="72">
        <v>7432000</v>
      </c>
      <c r="AH10" s="72">
        <v>327991000</v>
      </c>
      <c r="AI10" s="72">
        <v>217108000</v>
      </c>
      <c r="AJ10" s="72">
        <v>8000</v>
      </c>
      <c r="AK10" s="72">
        <v>0</v>
      </c>
      <c r="AL10" s="72">
        <v>-24105000</v>
      </c>
      <c r="AM10" s="72">
        <v>-17756000</v>
      </c>
      <c r="AN10" s="72">
        <v>89604658</v>
      </c>
      <c r="AO10" s="72">
        <f t="shared" si="2"/>
        <v>71848658</v>
      </c>
      <c r="AP10" s="72">
        <v>8899000</v>
      </c>
      <c r="AQ10" s="72">
        <v>4252000</v>
      </c>
      <c r="AR10" s="72">
        <v>4557000</v>
      </c>
      <c r="AS10" s="72">
        <v>0</v>
      </c>
      <c r="AT10" s="72">
        <v>0</v>
      </c>
      <c r="AU10" s="72">
        <v>70450447</v>
      </c>
      <c r="AV10" s="72">
        <v>0</v>
      </c>
      <c r="AW10" s="72">
        <v>127849798</v>
      </c>
      <c r="AX10" s="72">
        <v>61078400</v>
      </c>
      <c r="AY10" s="72">
        <v>0</v>
      </c>
      <c r="AZ10" s="72">
        <v>0</v>
      </c>
      <c r="BA10" s="72">
        <v>1558213081</v>
      </c>
      <c r="BB10" s="72">
        <v>7599</v>
      </c>
      <c r="BC10" s="72">
        <v>1490017</v>
      </c>
      <c r="BD10" s="72">
        <v>0</v>
      </c>
      <c r="BE10" s="73">
        <v>2.7539999999999999E-2</v>
      </c>
      <c r="BF10" s="73">
        <f t="shared" si="10"/>
        <v>5.1799999999999997E-3</v>
      </c>
      <c r="BG10" s="72">
        <f t="shared" si="9"/>
        <v>62873066</v>
      </c>
      <c r="BH10" s="74">
        <v>1921459336</v>
      </c>
      <c r="BI10" s="73"/>
      <c r="BJ10" s="72"/>
      <c r="BK10" s="71">
        <f>ROUND(B10-(C10*(IF(AE10=0,0,ROUND((AF10+AG10+((AF10+AG10)*0.01))/AE10,5)))),0)+ROUND(E10,0)+ROUND(F10,0)+ROUND(I10,0)-SUM(IF(AE10=0,0,ROUND(G10*ROUND((AF10+AG10+((AF10+AG10)*0.01))/AE10,5),0)))+ROUND(J10,0)+ROUND(N10,0)</f>
        <v>52352466</v>
      </c>
      <c r="BL10" s="69">
        <f t="shared" si="11"/>
        <v>10612470</v>
      </c>
      <c r="BM10" s="69">
        <f t="shared" si="12"/>
        <v>368863</v>
      </c>
      <c r="BN10" s="75">
        <f>ROUND((ROUND((BA10-AY10)*BF8,0)-ROUND((BH8-(SUM(AU8:AX8)+AY8+SUM(BB8:BC8)))*IF(BI8="",BF8,BI8),0))*ROUND(BH10/(BH10-SUM(AU10:AX10,AY10,BB10:BC10)),8),0)</f>
        <v>-276993</v>
      </c>
      <c r="BO10" s="76">
        <v>0</v>
      </c>
      <c r="BP10" s="76">
        <v>357</v>
      </c>
      <c r="BQ10" s="72">
        <v>4392000</v>
      </c>
      <c r="BR10" s="69"/>
      <c r="BS10" s="69"/>
      <c r="BT10" s="73">
        <f t="shared" si="7"/>
        <v>3.2719999999999999E-2</v>
      </c>
      <c r="BU10" s="72">
        <f t="shared" si="8"/>
        <v>50984732</v>
      </c>
      <c r="BV10" s="77">
        <f>SUM(BU6:BU10)</f>
        <v>216404451</v>
      </c>
      <c r="BW10" s="76">
        <f>BV10/SUM(BA6:BA10)</f>
        <v>2.8679008662209318E-2</v>
      </c>
    </row>
    <row r="11" spans="1:75" ht="12" customHeight="1">
      <c r="A11" s="68">
        <v>40360</v>
      </c>
      <c r="B11" s="69">
        <v>46065888.369999997</v>
      </c>
      <c r="C11" s="69">
        <v>427.97</v>
      </c>
      <c r="D11" s="69">
        <v>107.34</v>
      </c>
      <c r="E11" s="69">
        <v>256065.47</v>
      </c>
      <c r="F11" s="69">
        <v>0</v>
      </c>
      <c r="G11" s="69">
        <v>728.46</v>
      </c>
      <c r="H11" s="69">
        <v>182.7</v>
      </c>
      <c r="I11" s="69">
        <v>0</v>
      </c>
      <c r="J11" s="69">
        <v>6868048.75</v>
      </c>
      <c r="K11" s="69">
        <v>168549</v>
      </c>
      <c r="L11" s="69">
        <v>80853</v>
      </c>
      <c r="M11" s="70">
        <v>262601</v>
      </c>
      <c r="N11" s="71">
        <v>-174905</v>
      </c>
      <c r="O11" s="69">
        <v>10256369.720000001</v>
      </c>
      <c r="P11" s="69">
        <f>6673417.91-56697</f>
        <v>6616720.9100000001</v>
      </c>
      <c r="Q11" s="69">
        <f>151564.93-8612.75</f>
        <v>142952.18</v>
      </c>
      <c r="R11" s="69">
        <v>0</v>
      </c>
      <c r="S11" s="69">
        <v>0</v>
      </c>
      <c r="T11" s="69">
        <v>14320.08</v>
      </c>
      <c r="U11" s="72">
        <v>0</v>
      </c>
      <c r="V11" s="69">
        <v>610126.71</v>
      </c>
      <c r="W11" s="69">
        <v>12822.17</v>
      </c>
      <c r="X11" s="69">
        <v>0</v>
      </c>
      <c r="Y11" s="69">
        <f>612251.22-10750.82</f>
        <v>601500.4</v>
      </c>
      <c r="Z11" s="72">
        <v>0</v>
      </c>
      <c r="AA11" s="72">
        <v>0</v>
      </c>
      <c r="AB11" s="72">
        <v>0</v>
      </c>
      <c r="AC11" s="72">
        <v>0</v>
      </c>
      <c r="AD11" s="72">
        <v>1777121000</v>
      </c>
      <c r="AE11" s="72">
        <v>0</v>
      </c>
      <c r="AF11" s="72">
        <v>0</v>
      </c>
      <c r="AG11" s="72">
        <v>0</v>
      </c>
      <c r="AH11" s="72">
        <v>359343000</v>
      </c>
      <c r="AI11" s="72">
        <f>286832000-2812000</f>
        <v>284020000</v>
      </c>
      <c r="AJ11" s="72">
        <v>0</v>
      </c>
      <c r="AK11" s="72">
        <v>0</v>
      </c>
      <c r="AL11" s="72">
        <v>-3264000</v>
      </c>
      <c r="AM11" s="72">
        <v>-464000</v>
      </c>
      <c r="AN11" s="72">
        <v>72203660</v>
      </c>
      <c r="AO11" s="72">
        <f t="shared" ref="AO11:AO21" si="13">AM11+AN11</f>
        <v>71739660</v>
      </c>
      <c r="AP11" s="72">
        <v>16462000</v>
      </c>
      <c r="AQ11" s="72">
        <v>245000</v>
      </c>
      <c r="AR11" s="72">
        <f>16608000-276000</f>
        <v>16332000</v>
      </c>
      <c r="AS11" s="72">
        <v>0</v>
      </c>
      <c r="AT11" s="72">
        <v>0</v>
      </c>
      <c r="AU11" s="72">
        <v>74486450</v>
      </c>
      <c r="AV11" s="72">
        <v>0</v>
      </c>
      <c r="AW11" s="72">
        <v>134754603</v>
      </c>
      <c r="AX11" s="72">
        <v>63821200</v>
      </c>
      <c r="AY11" s="72">
        <v>0</v>
      </c>
      <c r="AZ11" s="72">
        <v>0</v>
      </c>
      <c r="BA11" s="72">
        <v>1710117050</v>
      </c>
      <c r="BB11" s="72">
        <v>7549</v>
      </c>
      <c r="BC11" s="72">
        <v>1593488</v>
      </c>
      <c r="BD11" s="72">
        <v>0</v>
      </c>
      <c r="BE11" s="73">
        <v>2.7539999999999999E-2</v>
      </c>
      <c r="BF11" s="73">
        <f t="shared" si="10"/>
        <v>3.3500000000000001E-3</v>
      </c>
      <c r="BG11" s="72">
        <f t="shared" si="9"/>
        <v>62149794</v>
      </c>
      <c r="BH11" s="74">
        <v>2012058911</v>
      </c>
      <c r="BI11" s="73"/>
      <c r="BJ11" s="72"/>
      <c r="BK11" s="71">
        <f>ROUND(B11-(C11*(IF(AE11=0,(D11/C11),ROUND((AF11+AG11+((AF11+AG11)*0.01))/AE11,5)))),0)+ROUND(E11,0)+ROUND(I11,0)+ROUND(F11-(G11*(IF(AE11=0,(H11/G11),ROUND((AF11+AG11+((AF11+AG11)*0.01))/AE11,5)))),0)+ROUND(J11,0)+ROUND(N11,0)</f>
        <v>53014807</v>
      </c>
      <c r="BL11" s="69">
        <f t="shared" si="11"/>
        <v>10242050</v>
      </c>
      <c r="BM11" s="69">
        <f t="shared" si="12"/>
        <v>610084</v>
      </c>
      <c r="BN11" s="75">
        <f>ROUND((ROUND((BA11-AY11)*BF9,0)-ROUND((BH9-(SUM(AU9:AX9)+AY9+SUM(BB9:BC9)))*IF(BI9="",BF9,BI9),0))*ROUND(BH11/(BH11-SUM(AU11:AX11,AY11,BB11:BC11)),8),0)</f>
        <v>496979</v>
      </c>
      <c r="BO11" s="76">
        <v>0</v>
      </c>
      <c r="BP11" s="76">
        <v>412</v>
      </c>
      <c r="BQ11" s="76">
        <v>0</v>
      </c>
      <c r="BR11" s="69"/>
      <c r="BS11" s="69"/>
      <c r="BT11" s="73">
        <f>BE11+BF11</f>
        <v>3.0889999999999997E-2</v>
      </c>
      <c r="BU11" s="72">
        <f>ROUND(BA11*BT11,0)</f>
        <v>52825516</v>
      </c>
    </row>
    <row r="12" spans="1:75">
      <c r="A12" s="68">
        <v>40391</v>
      </c>
      <c r="B12" s="69">
        <v>45755834.380000003</v>
      </c>
      <c r="C12" s="69">
        <v>0</v>
      </c>
      <c r="D12" s="69">
        <v>0</v>
      </c>
      <c r="E12" s="69">
        <v>262727.71999999997</v>
      </c>
      <c r="F12" s="69">
        <v>0</v>
      </c>
      <c r="G12" s="69">
        <v>0</v>
      </c>
      <c r="H12" s="69">
        <v>0</v>
      </c>
      <c r="I12" s="69">
        <v>0</v>
      </c>
      <c r="J12" s="69">
        <v>6919472.5300000003</v>
      </c>
      <c r="K12" s="69">
        <v>1183126</v>
      </c>
      <c r="L12" s="69">
        <v>481351</v>
      </c>
      <c r="M12" s="70">
        <v>1313349</v>
      </c>
      <c r="N12" s="71">
        <v>-611574</v>
      </c>
      <c r="O12" s="69">
        <v>14074536.619999999</v>
      </c>
      <c r="P12" s="69">
        <v>6317868.7699999996</v>
      </c>
      <c r="Q12" s="69">
        <v>121515.27</v>
      </c>
      <c r="R12" s="69">
        <v>0</v>
      </c>
      <c r="S12" s="69">
        <v>0</v>
      </c>
      <c r="T12" s="69">
        <v>21293.51</v>
      </c>
      <c r="U12" s="72">
        <v>0</v>
      </c>
      <c r="V12" s="69">
        <v>514091.37</v>
      </c>
      <c r="W12" s="69">
        <v>0</v>
      </c>
      <c r="X12" s="69">
        <v>0</v>
      </c>
      <c r="Y12" s="69">
        <v>514037.96</v>
      </c>
      <c r="Z12" s="72">
        <v>0</v>
      </c>
      <c r="AA12" s="72">
        <v>0</v>
      </c>
      <c r="AB12" s="72">
        <v>2220402</v>
      </c>
      <c r="AC12" s="72">
        <v>0</v>
      </c>
      <c r="AD12" s="72">
        <v>1777392000</v>
      </c>
      <c r="AE12" s="72">
        <v>0</v>
      </c>
      <c r="AF12" s="72">
        <v>0</v>
      </c>
      <c r="AG12" s="72">
        <v>0</v>
      </c>
      <c r="AH12" s="72">
        <v>424646000</v>
      </c>
      <c r="AI12" s="72">
        <v>278518000</v>
      </c>
      <c r="AJ12" s="72">
        <v>0</v>
      </c>
      <c r="AK12" s="72">
        <v>0</v>
      </c>
      <c r="AL12" s="72">
        <v>106997000</v>
      </c>
      <c r="AM12" s="72">
        <v>108366000</v>
      </c>
      <c r="AN12" s="72">
        <v>139855847</v>
      </c>
      <c r="AO12" s="72">
        <f t="shared" si="13"/>
        <v>248221847</v>
      </c>
      <c r="AP12" s="72">
        <v>14803000</v>
      </c>
      <c r="AQ12" s="72">
        <v>0</v>
      </c>
      <c r="AR12" s="72">
        <v>14803000</v>
      </c>
      <c r="AS12" s="72">
        <v>0</v>
      </c>
      <c r="AT12" s="72">
        <v>0</v>
      </c>
      <c r="AU12" s="72">
        <v>75857815</v>
      </c>
      <c r="AV12" s="72">
        <v>0</v>
      </c>
      <c r="AW12" s="72">
        <f>(12400668-6431309)+130685698</f>
        <v>136655057</v>
      </c>
      <c r="AX12" s="72">
        <v>65168800</v>
      </c>
      <c r="AY12" s="72">
        <v>0</v>
      </c>
      <c r="AZ12" s="72">
        <v>0</v>
      </c>
      <c r="BA12" s="72">
        <v>1744276992</v>
      </c>
      <c r="BB12" s="72">
        <v>8619</v>
      </c>
      <c r="BC12" s="72">
        <v>1694870</v>
      </c>
      <c r="BD12" s="72">
        <v>0</v>
      </c>
      <c r="BE12" s="73">
        <v>2.7539999999999999E-2</v>
      </c>
      <c r="BF12" s="73">
        <f t="shared" si="10"/>
        <v>1.4300000000000001E-3</v>
      </c>
      <c r="BG12" s="72">
        <f t="shared" si="9"/>
        <v>63147936</v>
      </c>
      <c r="BH12" s="74">
        <v>2179683175</v>
      </c>
      <c r="BI12" s="73"/>
      <c r="BJ12" s="72"/>
      <c r="BK12" s="71">
        <f t="shared" ref="BK12:BK21" si="14">ROUND(B12-(C12*(IF(AE12=0,0,ROUND((AF12+AG12+((AF12+AG12)*0.01))/AE12,5)))),0)+ROUND(E12,0)+ROUND(F12,0)+ROUND(I12,0)-SUM(IF(AE12=0,0,ROUND(G12*ROUND((AF12+AG12+((AF12+AG12)*0.01))/AE12,5),0)))+ROUND(J12,0)+ROUND(N12,0)</f>
        <v>52326461</v>
      </c>
      <c r="BL12" s="69">
        <f t="shared" si="11"/>
        <v>14053243</v>
      </c>
      <c r="BM12" s="69">
        <f t="shared" si="12"/>
        <v>514092</v>
      </c>
      <c r="BN12" s="75">
        <f>ROUND((ROUND((BA12-AY12)*BF10,0)-ROUND((BH10-(SUM(AU10:AX10)+AY10+SUM(BB10:BC10)))*IF(BI10="",BF10,BI10),0))*ROUND(BH12/(BH12-SUM(AU12:AX12,AY12,BB12:BC12)),8),0)</f>
        <v>497274</v>
      </c>
      <c r="BO12" s="76">
        <v>0</v>
      </c>
      <c r="BP12" s="76">
        <v>414</v>
      </c>
      <c r="BQ12" s="76">
        <v>0</v>
      </c>
      <c r="BR12" s="69"/>
      <c r="BS12" s="69"/>
      <c r="BT12" s="73">
        <f t="shared" ref="BT12:BT22" si="15">BE12+BF12</f>
        <v>2.8969999999999999E-2</v>
      </c>
      <c r="BU12" s="72">
        <f t="shared" ref="BU12:BU22" si="16">ROUND(BA12*BT12,0)</f>
        <v>50531704</v>
      </c>
    </row>
    <row r="13" spans="1:75">
      <c r="A13" s="68">
        <v>40422</v>
      </c>
      <c r="B13" s="69">
        <v>35249169.299999997</v>
      </c>
      <c r="C13" s="69">
        <v>431866.7</v>
      </c>
      <c r="D13" s="69">
        <v>108035.77</v>
      </c>
      <c r="E13" s="69">
        <v>539065.42000000004</v>
      </c>
      <c r="F13" s="69">
        <v>13.75</v>
      </c>
      <c r="G13" s="69">
        <v>233901.28</v>
      </c>
      <c r="H13" s="69">
        <v>58512.75</v>
      </c>
      <c r="I13" s="69">
        <v>0</v>
      </c>
      <c r="J13" s="69">
        <v>3159147.2</v>
      </c>
      <c r="K13" s="69">
        <v>1589298</v>
      </c>
      <c r="L13" s="69">
        <v>658733</v>
      </c>
      <c r="M13" s="70">
        <v>1146147</v>
      </c>
      <c r="N13" s="71">
        <v>-215582</v>
      </c>
      <c r="O13" s="69">
        <v>12281838.539999999</v>
      </c>
      <c r="P13" s="69">
        <v>8184559.3700000001</v>
      </c>
      <c r="Q13" s="69">
        <v>112117.4</v>
      </c>
      <c r="R13" s="69">
        <v>0</v>
      </c>
      <c r="S13" s="69">
        <v>0</v>
      </c>
      <c r="T13" s="69">
        <v>0</v>
      </c>
      <c r="U13" s="72">
        <v>0</v>
      </c>
      <c r="V13" s="69">
        <v>505178.36</v>
      </c>
      <c r="W13" s="69">
        <v>0</v>
      </c>
      <c r="X13" s="69">
        <v>0</v>
      </c>
      <c r="Y13" s="69">
        <v>501425.53</v>
      </c>
      <c r="Z13" s="72">
        <v>0</v>
      </c>
      <c r="AA13" s="72">
        <v>0</v>
      </c>
      <c r="AB13" s="72">
        <v>0</v>
      </c>
      <c r="AC13" s="72">
        <v>0</v>
      </c>
      <c r="AD13" s="72">
        <v>1338539000</v>
      </c>
      <c r="AE13" s="72">
        <v>23786000</v>
      </c>
      <c r="AF13" s="72">
        <v>2877000</v>
      </c>
      <c r="AG13" s="72">
        <v>3054000</v>
      </c>
      <c r="AH13" s="72">
        <v>497808000</v>
      </c>
      <c r="AI13" s="72">
        <v>398552000</v>
      </c>
      <c r="AJ13" s="72">
        <v>0</v>
      </c>
      <c r="AK13" s="72">
        <v>0</v>
      </c>
      <c r="AL13" s="72">
        <v>22532000</v>
      </c>
      <c r="AM13" s="72">
        <v>35138000</v>
      </c>
      <c r="AN13" s="72">
        <v>107155488</v>
      </c>
      <c r="AO13" s="72">
        <f t="shared" si="13"/>
        <v>142293488</v>
      </c>
      <c r="AP13" s="72">
        <v>17577000</v>
      </c>
      <c r="AQ13" s="72">
        <v>0</v>
      </c>
      <c r="AR13" s="72">
        <v>17468000</v>
      </c>
      <c r="AS13" s="72">
        <v>0</v>
      </c>
      <c r="AT13" s="72">
        <v>0</v>
      </c>
      <c r="AU13" s="72">
        <v>65993798</v>
      </c>
      <c r="AV13" s="72">
        <v>0</v>
      </c>
      <c r="AW13" s="72">
        <v>109254725</v>
      </c>
      <c r="AX13" s="72">
        <v>51643200</v>
      </c>
      <c r="AY13" s="72">
        <v>0</v>
      </c>
      <c r="AZ13" s="72">
        <v>0</v>
      </c>
      <c r="BA13" s="72">
        <v>1669223615</v>
      </c>
      <c r="BB13" s="72">
        <v>6157</v>
      </c>
      <c r="BC13" s="72">
        <v>1772017</v>
      </c>
      <c r="BD13" s="72">
        <v>0</v>
      </c>
      <c r="BE13" s="73">
        <v>2.7539999999999999E-2</v>
      </c>
      <c r="BF13" s="73">
        <f t="shared" si="10"/>
        <v>1.3500000000000001E-3</v>
      </c>
      <c r="BG13" s="72">
        <f t="shared" si="9"/>
        <v>50276995</v>
      </c>
      <c r="BH13" s="74">
        <v>1740256029</v>
      </c>
      <c r="BI13" s="69"/>
      <c r="BJ13" s="72"/>
      <c r="BK13" s="71">
        <f t="shared" si="14"/>
        <v>38564146</v>
      </c>
      <c r="BL13" s="69">
        <f t="shared" si="11"/>
        <v>12281838</v>
      </c>
      <c r="BM13" s="69">
        <f t="shared" si="12"/>
        <v>505217</v>
      </c>
      <c r="BN13" s="75">
        <f>ROUND((ROUND((BA13-AY13)*0.00352,0)-ROUND((BH11-(SUM(AU11:AX11)+AY11+SUM(BB11:BC11)))*IF(BI11="",BF11,BI11),0))*ROUND(BH13/(BH13-SUM(AU13:AX13,AY13,BB13:BC13)),8),0)</f>
        <v>63772</v>
      </c>
      <c r="BO13" s="76">
        <v>29</v>
      </c>
      <c r="BP13" s="76">
        <v>209</v>
      </c>
      <c r="BQ13" s="72">
        <v>907000</v>
      </c>
      <c r="BR13" s="69"/>
      <c r="BS13" s="69"/>
      <c r="BT13" s="73">
        <f t="shared" si="15"/>
        <v>2.8889999999999999E-2</v>
      </c>
      <c r="BU13" s="72">
        <f t="shared" si="16"/>
        <v>48223870</v>
      </c>
    </row>
    <row r="14" spans="1:75">
      <c r="A14" s="68">
        <v>40452</v>
      </c>
      <c r="B14" s="69">
        <v>24992698.079999998</v>
      </c>
      <c r="C14" s="69">
        <v>1854805.71</v>
      </c>
      <c r="D14" s="69">
        <v>484883.31</v>
      </c>
      <c r="E14" s="69">
        <v>590391.43000000005</v>
      </c>
      <c r="F14" s="69">
        <v>0</v>
      </c>
      <c r="G14" s="69">
        <v>333739.93</v>
      </c>
      <c r="H14" s="69">
        <v>87246.29</v>
      </c>
      <c r="I14" s="69">
        <v>0</v>
      </c>
      <c r="J14" s="69">
        <v>565733.31000000006</v>
      </c>
      <c r="K14" s="69">
        <v>1602034</v>
      </c>
      <c r="L14" s="69">
        <v>1555911</v>
      </c>
      <c r="M14" s="70">
        <v>286187</v>
      </c>
      <c r="N14" s="71">
        <v>-240064</v>
      </c>
      <c r="O14" s="69">
        <v>11663943.5</v>
      </c>
      <c r="P14" s="69">
        <v>10078472.33</v>
      </c>
      <c r="Q14" s="69">
        <v>169140.52</v>
      </c>
      <c r="R14" s="69">
        <v>0</v>
      </c>
      <c r="S14" s="69">
        <v>0</v>
      </c>
      <c r="T14" s="69">
        <v>0</v>
      </c>
      <c r="U14" s="72">
        <v>0</v>
      </c>
      <c r="V14" s="69">
        <v>926622.16</v>
      </c>
      <c r="W14" s="69">
        <v>0</v>
      </c>
      <c r="X14" s="69">
        <v>0</v>
      </c>
      <c r="Y14" s="69">
        <v>926587.44</v>
      </c>
      <c r="Z14" s="72">
        <v>0</v>
      </c>
      <c r="AA14" s="72">
        <v>0</v>
      </c>
      <c r="AB14" s="72">
        <v>0</v>
      </c>
      <c r="AC14" s="72">
        <v>0</v>
      </c>
      <c r="AD14" s="72">
        <v>1081081000</v>
      </c>
      <c r="AE14" s="72">
        <v>97899000</v>
      </c>
      <c r="AF14" s="72">
        <v>12369000</v>
      </c>
      <c r="AG14" s="72">
        <v>13139000</v>
      </c>
      <c r="AH14" s="72">
        <v>576927000</v>
      </c>
      <c r="AI14" s="72">
        <v>521498000</v>
      </c>
      <c r="AJ14" s="72">
        <v>0</v>
      </c>
      <c r="AK14" s="72">
        <v>0</v>
      </c>
      <c r="AL14" s="72">
        <v>-13413000</v>
      </c>
      <c r="AM14" s="72">
        <v>26587008</v>
      </c>
      <c r="AN14" s="72">
        <v>130818972</v>
      </c>
      <c r="AO14" s="72">
        <f t="shared" si="13"/>
        <v>157405980</v>
      </c>
      <c r="AP14" s="72">
        <v>35237000</v>
      </c>
      <c r="AQ14" s="72">
        <v>0</v>
      </c>
      <c r="AR14" s="72">
        <v>35236000</v>
      </c>
      <c r="AS14" s="72">
        <v>0</v>
      </c>
      <c r="AT14" s="72">
        <v>0</v>
      </c>
      <c r="AU14" s="72">
        <v>70958362</v>
      </c>
      <c r="AV14" s="72">
        <v>0</v>
      </c>
      <c r="AW14" s="72">
        <v>92688808</v>
      </c>
      <c r="AX14" s="72">
        <v>43270000</v>
      </c>
      <c r="AY14" s="72">
        <v>0</v>
      </c>
      <c r="AZ14" s="72">
        <v>0</v>
      </c>
      <c r="BA14" s="72">
        <v>1374815688</v>
      </c>
      <c r="BB14" s="72">
        <v>5350</v>
      </c>
      <c r="BC14" s="72">
        <v>1479820</v>
      </c>
      <c r="BD14" s="72">
        <v>0</v>
      </c>
      <c r="BE14" s="73">
        <v>2.7539999999999999E-2</v>
      </c>
      <c r="BF14" s="73">
        <f t="shared" si="10"/>
        <v>-2.5699999999999998E-3</v>
      </c>
      <c r="BG14" s="72">
        <f t="shared" ref="BG14:BG21" si="17">BK14+BL14-BM14-BN14-AB14</f>
        <v>36976672</v>
      </c>
      <c r="BH14" s="74">
        <v>1480652698</v>
      </c>
      <c r="BI14" s="69"/>
      <c r="BJ14" s="72"/>
      <c r="BK14" s="71">
        <f t="shared" si="14"/>
        <v>25332820</v>
      </c>
      <c r="BL14" s="69">
        <f t="shared" si="11"/>
        <v>11663944</v>
      </c>
      <c r="BM14" s="69">
        <f t="shared" si="12"/>
        <v>926622</v>
      </c>
      <c r="BN14" s="75">
        <f>ROUND((ROUND((BA14-AY14)*0.00141,0)-ROUND((BH12-(SUM(AU12:AX12)+AY12+SUM(BB12:BC12)))*IF(BI12="",BF12,BI12),0))*ROUND(BH14/(BH14-SUM(AU14:AX14,AY14,BB14:BC14)),8),0)</f>
        <v>-906530</v>
      </c>
      <c r="BO14" s="76">
        <v>206</v>
      </c>
      <c r="BP14" s="76">
        <v>18</v>
      </c>
      <c r="BQ14" s="72">
        <v>2431000</v>
      </c>
      <c r="BR14" s="69"/>
      <c r="BS14" s="69"/>
      <c r="BT14" s="73">
        <f t="shared" si="15"/>
        <v>2.4969999999999999E-2</v>
      </c>
      <c r="BU14" s="72">
        <f t="shared" si="16"/>
        <v>34329148</v>
      </c>
    </row>
    <row r="15" spans="1:75">
      <c r="A15" s="68">
        <v>40483</v>
      </c>
      <c r="B15" s="69">
        <v>28718801.780000001</v>
      </c>
      <c r="C15" s="69">
        <v>377473.46</v>
      </c>
      <c r="D15" s="69">
        <v>93888.97</v>
      </c>
      <c r="E15" s="69">
        <v>354604.43</v>
      </c>
      <c r="F15" s="69">
        <v>890.81</v>
      </c>
      <c r="G15" s="69">
        <v>1654.44</v>
      </c>
      <c r="H15" s="69">
        <v>411.51</v>
      </c>
      <c r="I15" s="69">
        <v>0</v>
      </c>
      <c r="J15" s="69">
        <v>382768.38</v>
      </c>
      <c r="K15" s="69">
        <v>2061835</v>
      </c>
      <c r="L15" s="69">
        <v>712010</v>
      </c>
      <c r="M15" s="70">
        <v>378213</v>
      </c>
      <c r="N15" s="71">
        <v>0</v>
      </c>
      <c r="O15" s="69">
        <v>11091548.449999999</v>
      </c>
      <c r="P15" s="69">
        <v>9372879.3800000008</v>
      </c>
      <c r="Q15" s="69">
        <v>254252.27</v>
      </c>
      <c r="R15" s="69">
        <v>0</v>
      </c>
      <c r="S15" s="69">
        <v>0</v>
      </c>
      <c r="T15" s="69">
        <v>0</v>
      </c>
      <c r="U15" s="72">
        <v>0</v>
      </c>
      <c r="V15" s="69">
        <v>1096666.6000000001</v>
      </c>
      <c r="W15" s="69">
        <v>0</v>
      </c>
      <c r="X15" s="69">
        <v>0</v>
      </c>
      <c r="Y15" s="69">
        <v>1096666.6000000001</v>
      </c>
      <c r="Z15" s="72">
        <v>0</v>
      </c>
      <c r="AA15" s="72">
        <v>0</v>
      </c>
      <c r="AB15" s="72">
        <v>0</v>
      </c>
      <c r="AC15" s="72">
        <v>0</v>
      </c>
      <c r="AD15" s="72">
        <v>1180007000</v>
      </c>
      <c r="AE15" s="72">
        <v>21760000</v>
      </c>
      <c r="AF15" s="72">
        <v>2852000</v>
      </c>
      <c r="AG15" s="72">
        <v>2745000</v>
      </c>
      <c r="AH15" s="72">
        <v>545720000</v>
      </c>
      <c r="AI15" s="72">
        <v>499028000</v>
      </c>
      <c r="AJ15" s="72">
        <v>0</v>
      </c>
      <c r="AK15" s="72">
        <v>0</v>
      </c>
      <c r="AL15" s="72">
        <v>-10946000</v>
      </c>
      <c r="AM15" s="72">
        <v>16563992</v>
      </c>
      <c r="AN15" s="72">
        <v>115403428</v>
      </c>
      <c r="AO15" s="72">
        <f t="shared" si="13"/>
        <v>131967420</v>
      </c>
      <c r="AP15" s="72">
        <v>36980000</v>
      </c>
      <c r="AQ15" s="72">
        <v>0</v>
      </c>
      <c r="AR15" s="72">
        <v>36980000</v>
      </c>
      <c r="AS15" s="72">
        <v>0</v>
      </c>
      <c r="AT15" s="72">
        <v>0</v>
      </c>
      <c r="AU15" s="72">
        <v>82618802</v>
      </c>
      <c r="AV15" s="72">
        <v>0</v>
      </c>
      <c r="AW15" s="72">
        <f>98613350+4735392-5520000</f>
        <v>97828742</v>
      </c>
      <c r="AX15" s="72">
        <v>43304400</v>
      </c>
      <c r="AY15" s="72">
        <v>0</v>
      </c>
      <c r="AZ15" s="72">
        <v>0</v>
      </c>
      <c r="BA15" s="72">
        <v>1284320615</v>
      </c>
      <c r="BB15" s="72">
        <v>8647</v>
      </c>
      <c r="BC15" s="72">
        <v>1343366</v>
      </c>
      <c r="BD15" s="72">
        <v>0</v>
      </c>
      <c r="BE15" s="73">
        <v>2.7539999999999999E-2</v>
      </c>
      <c r="BF15" s="73">
        <v>-2.15E-3</v>
      </c>
      <c r="BG15" s="72">
        <f t="shared" si="17"/>
        <v>39711642</v>
      </c>
      <c r="BH15" s="74">
        <v>1569218896</v>
      </c>
      <c r="BI15" s="69"/>
      <c r="BJ15" s="72"/>
      <c r="BK15" s="71">
        <f t="shared" si="14"/>
        <v>29358571</v>
      </c>
      <c r="BL15" s="69">
        <f t="shared" si="11"/>
        <v>11091548</v>
      </c>
      <c r="BM15" s="69">
        <f t="shared" si="12"/>
        <v>1096667</v>
      </c>
      <c r="BN15" s="75">
        <f>ROUND((ROUND((BA15-AY15)*BF13,0)-ROUND((BH13-(SUM(AU13:AX13)+AY13+SUM(BB13:BC13)))*IF(BI13="",BF13,BI13),0))*ROUND(BH15/(BH15-SUM(AU15:AX15,AY15,BB15:BC15)),8),0)</f>
        <v>-358190</v>
      </c>
      <c r="BO15" s="76">
        <v>536</v>
      </c>
      <c r="BP15" s="76">
        <v>0</v>
      </c>
      <c r="BQ15" s="72">
        <v>1900000</v>
      </c>
      <c r="BR15" s="69"/>
      <c r="BS15" s="69"/>
      <c r="BT15" s="73">
        <f t="shared" si="15"/>
        <v>2.5389999999999999E-2</v>
      </c>
      <c r="BU15" s="72">
        <f t="shared" si="16"/>
        <v>32608900</v>
      </c>
    </row>
    <row r="16" spans="1:75">
      <c r="A16" s="68">
        <v>40513</v>
      </c>
      <c r="B16" s="69">
        <v>43263079.100000001</v>
      </c>
      <c r="C16" s="69">
        <v>3358977.86</v>
      </c>
      <c r="D16" s="69">
        <v>842330.88</v>
      </c>
      <c r="E16" s="69">
        <v>656278.64</v>
      </c>
      <c r="F16" s="69">
        <v>0</v>
      </c>
      <c r="G16" s="69">
        <v>260098.88</v>
      </c>
      <c r="H16" s="69">
        <v>65225</v>
      </c>
      <c r="I16" s="69">
        <v>0</v>
      </c>
      <c r="J16" s="69">
        <v>5298978.07</v>
      </c>
      <c r="K16" s="69">
        <v>1516434</v>
      </c>
      <c r="L16" s="69">
        <v>1350448</v>
      </c>
      <c r="M16" s="70">
        <v>585386</v>
      </c>
      <c r="N16" s="71">
        <v>-419400</v>
      </c>
      <c r="O16" s="69">
        <v>15183010.949999999</v>
      </c>
      <c r="P16" s="69">
        <v>10908776.859999999</v>
      </c>
      <c r="Q16" s="69">
        <v>211307.29</v>
      </c>
      <c r="R16" s="69">
        <v>0</v>
      </c>
      <c r="S16" s="69">
        <v>0</v>
      </c>
      <c r="T16" s="69">
        <v>0</v>
      </c>
      <c r="U16" s="72">
        <v>0</v>
      </c>
      <c r="V16" s="69">
        <v>958111.64</v>
      </c>
      <c r="W16" s="69">
        <v>0</v>
      </c>
      <c r="X16" s="69">
        <v>0</v>
      </c>
      <c r="Y16" s="69">
        <v>958111.64</v>
      </c>
      <c r="Z16" s="72">
        <v>0</v>
      </c>
      <c r="AA16" s="72">
        <v>0</v>
      </c>
      <c r="AB16" s="72">
        <v>0</v>
      </c>
      <c r="AC16" s="72">
        <v>0</v>
      </c>
      <c r="AD16" s="72">
        <v>1779423000</v>
      </c>
      <c r="AE16" s="72">
        <v>160556000</v>
      </c>
      <c r="AF16" s="72">
        <v>19453000</v>
      </c>
      <c r="AG16" s="72">
        <v>20678000</v>
      </c>
      <c r="AH16" s="72">
        <v>601048000</v>
      </c>
      <c r="AI16" s="72">
        <v>489542000</v>
      </c>
      <c r="AJ16" s="72">
        <v>0</v>
      </c>
      <c r="AK16" s="72">
        <v>0</v>
      </c>
      <c r="AL16" s="72">
        <v>4850250</v>
      </c>
      <c r="AM16" s="72">
        <v>47724250</v>
      </c>
      <c r="AN16" s="72">
        <v>-82010158</v>
      </c>
      <c r="AO16" s="72">
        <f t="shared" si="13"/>
        <v>-34285908</v>
      </c>
      <c r="AP16" s="72">
        <v>30373000</v>
      </c>
      <c r="AQ16" s="72">
        <v>0</v>
      </c>
      <c r="AR16" s="72">
        <v>30373000</v>
      </c>
      <c r="AS16" s="72">
        <v>0</v>
      </c>
      <c r="AT16" s="72">
        <v>0</v>
      </c>
      <c r="AU16" s="72">
        <v>134836047</v>
      </c>
      <c r="AV16" s="72">
        <v>0</v>
      </c>
      <c r="AW16" s="72">
        <f>125833549+6996126</f>
        <v>132829675</v>
      </c>
      <c r="AX16" s="72">
        <v>52352800</v>
      </c>
      <c r="AY16" s="72">
        <v>0</v>
      </c>
      <c r="AZ16" s="72">
        <v>0</v>
      </c>
      <c r="BA16" s="72">
        <v>1667742464</v>
      </c>
      <c r="BB16" s="72">
        <v>15049</v>
      </c>
      <c r="BC16" s="72">
        <v>2280249</v>
      </c>
      <c r="BD16" s="72">
        <v>0</v>
      </c>
      <c r="BE16" s="73">
        <v>2.7539999999999999E-2</v>
      </c>
      <c r="BF16" s="73">
        <f t="shared" si="10"/>
        <v>1.48E-3</v>
      </c>
      <c r="BG16" s="72">
        <f t="shared" si="17"/>
        <v>63302832</v>
      </c>
      <c r="BH16" s="74">
        <v>2181399705</v>
      </c>
      <c r="BI16" s="69"/>
      <c r="BJ16" s="72"/>
      <c r="BK16" s="71">
        <f t="shared" si="14"/>
        <v>47885300</v>
      </c>
      <c r="BL16" s="69">
        <f t="shared" si="11"/>
        <v>15183011</v>
      </c>
      <c r="BM16" s="69">
        <f t="shared" si="12"/>
        <v>958112</v>
      </c>
      <c r="BN16" s="75">
        <f>ROUND((ROUND((BA16-AY16)*BF14,0)-ROUND((BH14-(SUM(AU14:AX14)+AY14+SUM(BB14:BC14)))*IF(BI14="",BF14,BI14),0))*ROUND(BH16/(BH16-SUM(AU16:AX16,AY16,BB16:BC16)),8),0)</f>
        <v>-1192633</v>
      </c>
      <c r="BO16" s="76">
        <v>1157</v>
      </c>
      <c r="BP16" s="76">
        <v>0</v>
      </c>
      <c r="BQ16" s="72">
        <v>420000</v>
      </c>
      <c r="BR16" s="69"/>
      <c r="BS16" s="69"/>
      <c r="BT16" s="73">
        <f t="shared" si="15"/>
        <v>2.9019999999999997E-2</v>
      </c>
      <c r="BU16" s="72">
        <f t="shared" si="16"/>
        <v>48397886</v>
      </c>
    </row>
    <row r="17" spans="1:75">
      <c r="A17" s="68">
        <v>40544</v>
      </c>
      <c r="B17" s="69">
        <v>47479629.020000003</v>
      </c>
      <c r="C17" s="69">
        <v>7230011.7400000002</v>
      </c>
      <c r="D17" s="69">
        <v>1818171.54</v>
      </c>
      <c r="E17" s="69">
        <v>424765.9</v>
      </c>
      <c r="F17" s="69">
        <v>0</v>
      </c>
      <c r="G17" s="69">
        <v>86891.58</v>
      </c>
      <c r="H17" s="69">
        <v>21851.119999999999</v>
      </c>
      <c r="I17" s="69">
        <v>0</v>
      </c>
      <c r="J17" s="69">
        <v>2102716.2599999998</v>
      </c>
      <c r="K17" s="69">
        <v>1525390</v>
      </c>
      <c r="L17" s="69">
        <v>1238361</v>
      </c>
      <c r="M17" s="70">
        <v>489871</v>
      </c>
      <c r="N17" s="71">
        <v>-202842</v>
      </c>
      <c r="O17" s="69">
        <v>13247347.939999999</v>
      </c>
      <c r="P17" s="69">
        <v>10622537.51</v>
      </c>
      <c r="Q17" s="69">
        <v>604867.68999999994</v>
      </c>
      <c r="R17" s="69">
        <v>0</v>
      </c>
      <c r="S17" s="69">
        <v>0</v>
      </c>
      <c r="T17" s="69">
        <v>0</v>
      </c>
      <c r="U17" s="72">
        <v>0</v>
      </c>
      <c r="V17" s="69">
        <v>3174733.6</v>
      </c>
      <c r="W17" s="69">
        <v>0</v>
      </c>
      <c r="X17" s="69">
        <v>0</v>
      </c>
      <c r="Y17" s="69">
        <v>3163571.59</v>
      </c>
      <c r="Z17" s="72">
        <v>0</v>
      </c>
      <c r="AA17" s="72">
        <v>0</v>
      </c>
      <c r="AB17" s="72">
        <v>0</v>
      </c>
      <c r="AC17" s="72">
        <v>0</v>
      </c>
      <c r="AD17" s="72">
        <v>1904350000</v>
      </c>
      <c r="AE17" s="72">
        <v>370773000</v>
      </c>
      <c r="AF17" s="72">
        <v>47860000</v>
      </c>
      <c r="AG17" s="72">
        <v>44987000</v>
      </c>
      <c r="AH17" s="72">
        <v>584279000</v>
      </c>
      <c r="AI17" s="72">
        <v>509422000</v>
      </c>
      <c r="AJ17" s="72">
        <v>0</v>
      </c>
      <c r="AK17" s="72">
        <v>0</v>
      </c>
      <c r="AL17" s="72">
        <v>2202065</v>
      </c>
      <c r="AM17" s="72">
        <v>160578065</v>
      </c>
      <c r="AN17" s="72">
        <v>-64573436</v>
      </c>
      <c r="AO17" s="72">
        <f t="shared" si="13"/>
        <v>96004629</v>
      </c>
      <c r="AP17" s="72">
        <v>103401000</v>
      </c>
      <c r="AQ17" s="72">
        <v>0</v>
      </c>
      <c r="AR17" s="72">
        <v>103075000</v>
      </c>
      <c r="AS17" s="72">
        <v>0</v>
      </c>
      <c r="AT17" s="72">
        <v>0</v>
      </c>
      <c r="AU17" s="72">
        <v>130046085</v>
      </c>
      <c r="AV17" s="72">
        <v>0</v>
      </c>
      <c r="AW17" s="72">
        <f>124207349+7163391</f>
        <v>131370740</v>
      </c>
      <c r="AX17" s="72">
        <v>53027600</v>
      </c>
      <c r="AY17" s="72">
        <v>0</v>
      </c>
      <c r="AZ17" s="72">
        <v>0</v>
      </c>
      <c r="BA17" s="72">
        <v>1969772373</v>
      </c>
      <c r="BB17" s="72">
        <v>9595</v>
      </c>
      <c r="BC17" s="72">
        <v>3109257</v>
      </c>
      <c r="BD17" s="72">
        <v>0</v>
      </c>
      <c r="BE17" s="73">
        <v>2.7539999999999999E-2</v>
      </c>
      <c r="BF17" s="73">
        <v>-2.0000000000000002E-5</v>
      </c>
      <c r="BG17" s="72">
        <f t="shared" si="17"/>
        <v>59602463</v>
      </c>
      <c r="BH17" s="74">
        <v>2165851031</v>
      </c>
      <c r="BI17" s="69"/>
      <c r="BJ17" s="72"/>
      <c r="BK17" s="71">
        <f t="shared" si="14"/>
        <v>47953677</v>
      </c>
      <c r="BL17" s="69">
        <f t="shared" si="11"/>
        <v>13247349</v>
      </c>
      <c r="BM17" s="69">
        <f t="shared" si="12"/>
        <v>3174846</v>
      </c>
      <c r="BN17" s="75">
        <f>ROUND((ROUND((BA17-AY17)*BF15,0)-ROUND((BH15-(SUM(AU15:AX15)+AY15+SUM(BB15:BC15)))*IF(BI15="",BF15,BI15),0))*ROUND(BH17/(BH17-SUM(AU17:AX17,AY17,BB17:BC17)),8),0)</f>
        <v>-1576283</v>
      </c>
      <c r="BO17" s="76">
        <v>1127</v>
      </c>
      <c r="BP17" s="76">
        <v>0</v>
      </c>
      <c r="BQ17" s="72">
        <v>40000</v>
      </c>
      <c r="BR17" s="69"/>
      <c r="BS17" s="69"/>
      <c r="BT17" s="73">
        <f t="shared" si="15"/>
        <v>2.7519999999999999E-2</v>
      </c>
      <c r="BU17" s="72">
        <f t="shared" si="16"/>
        <v>54208136</v>
      </c>
    </row>
    <row r="18" spans="1:75">
      <c r="A18" s="68">
        <v>40575</v>
      </c>
      <c r="B18" s="69">
        <v>41139511.719999999</v>
      </c>
      <c r="C18" s="69">
        <v>7002440.9500000002</v>
      </c>
      <c r="D18" s="69">
        <v>1760063.53</v>
      </c>
      <c r="E18" s="69">
        <v>851779.19</v>
      </c>
      <c r="F18" s="69">
        <v>0</v>
      </c>
      <c r="G18" s="69">
        <v>504445.22</v>
      </c>
      <c r="H18" s="69">
        <v>126792.31</v>
      </c>
      <c r="I18" s="69">
        <v>0</v>
      </c>
      <c r="J18" s="69">
        <v>1871839.15</v>
      </c>
      <c r="K18" s="69">
        <v>831224</v>
      </c>
      <c r="L18" s="69">
        <v>845562</v>
      </c>
      <c r="M18" s="70">
        <v>63238</v>
      </c>
      <c r="N18" s="71">
        <v>-77576</v>
      </c>
      <c r="O18" s="69">
        <v>8558521.9399999995</v>
      </c>
      <c r="P18" s="69">
        <v>7160500.75</v>
      </c>
      <c r="Q18" s="69">
        <v>486405.57</v>
      </c>
      <c r="R18" s="69">
        <v>732.08</v>
      </c>
      <c r="S18" s="69">
        <v>0</v>
      </c>
      <c r="T18" s="69">
        <v>0</v>
      </c>
      <c r="U18" s="72">
        <v>0</v>
      </c>
      <c r="V18" s="69">
        <v>3614565.85</v>
      </c>
      <c r="W18" s="69">
        <v>16340.07</v>
      </c>
      <c r="X18" s="69">
        <v>15.09</v>
      </c>
      <c r="Y18" s="69">
        <v>3315257.9</v>
      </c>
      <c r="Z18" s="72">
        <v>0</v>
      </c>
      <c r="AA18" s="72">
        <v>0</v>
      </c>
      <c r="AB18" s="72">
        <v>0</v>
      </c>
      <c r="AC18" s="72">
        <v>0</v>
      </c>
      <c r="AD18" s="72">
        <v>1686208000</v>
      </c>
      <c r="AE18" s="72">
        <v>351293000</v>
      </c>
      <c r="AF18" s="72">
        <v>42651000</v>
      </c>
      <c r="AG18" s="72">
        <v>45358000</v>
      </c>
      <c r="AH18" s="72">
        <v>369770000</v>
      </c>
      <c r="AI18" s="72">
        <v>335000000</v>
      </c>
      <c r="AJ18" s="72">
        <v>29000</v>
      </c>
      <c r="AK18" s="72">
        <v>0</v>
      </c>
      <c r="AL18" s="72">
        <v>3151981</v>
      </c>
      <c r="AM18" s="72">
        <v>178902981</v>
      </c>
      <c r="AN18" s="72">
        <v>-104631232</v>
      </c>
      <c r="AO18" s="72">
        <f t="shared" si="13"/>
        <v>74271749</v>
      </c>
      <c r="AP18" s="72">
        <v>127566000</v>
      </c>
      <c r="AQ18" s="72">
        <v>586000</v>
      </c>
      <c r="AR18" s="72">
        <v>116977000</v>
      </c>
      <c r="AS18" s="72">
        <v>0</v>
      </c>
      <c r="AT18" s="72">
        <v>0</v>
      </c>
      <c r="AU18" s="72">
        <v>94971636</v>
      </c>
      <c r="AV18" s="72">
        <v>0</v>
      </c>
      <c r="AW18" s="72">
        <v>106136753</v>
      </c>
      <c r="AX18" s="72">
        <v>45020400</v>
      </c>
      <c r="AY18" s="72">
        <v>0</v>
      </c>
      <c r="AZ18" s="72">
        <v>0</v>
      </c>
      <c r="BA18" s="72">
        <v>1641581988</v>
      </c>
      <c r="BB18" s="72">
        <v>11830</v>
      </c>
      <c r="BC18" s="72">
        <v>2537438</v>
      </c>
      <c r="BD18" s="72">
        <v>0</v>
      </c>
      <c r="BE18" s="73">
        <v>2.7539999999999999E-2</v>
      </c>
      <c r="BF18" s="73">
        <v>-2.9999999999999997E-4</v>
      </c>
      <c r="BG18" s="72">
        <f t="shared" si="17"/>
        <v>47203035</v>
      </c>
      <c r="BH18" s="74">
        <v>1733410436</v>
      </c>
      <c r="BI18" s="69"/>
      <c r="BJ18" s="72"/>
      <c r="BK18" s="71">
        <f t="shared" si="14"/>
        <v>41886086</v>
      </c>
      <c r="BL18" s="69">
        <f t="shared" si="11"/>
        <v>8558523</v>
      </c>
      <c r="BM18" s="69">
        <f t="shared" si="12"/>
        <v>3617396</v>
      </c>
      <c r="BN18" s="75">
        <f>ROUND((ROUND((BA18-AY18)*BF16,0)-ROUND((BH16-(SUM(AU16:AX16)+AY16+SUM(BB16:BC16)))*IF(BI16="",BF16,BI16),0))*ROUND(BH18/(BH18-SUM(AU18:AX18,AY18,BB18:BC18)),8),0)</f>
        <v>-375822</v>
      </c>
      <c r="BO18" s="76">
        <v>737</v>
      </c>
      <c r="BP18" s="76">
        <v>0</v>
      </c>
      <c r="BQ18" s="76">
        <v>0</v>
      </c>
      <c r="BR18" s="69"/>
      <c r="BS18" s="69"/>
      <c r="BT18" s="73">
        <f t="shared" si="15"/>
        <v>2.7239999999999997E-2</v>
      </c>
      <c r="BU18" s="72">
        <f t="shared" si="16"/>
        <v>44716693</v>
      </c>
    </row>
    <row r="19" spans="1:75">
      <c r="A19" s="68">
        <v>40603</v>
      </c>
      <c r="B19" s="69">
        <v>37718575.490000002</v>
      </c>
      <c r="C19" s="69">
        <v>4612227.28</v>
      </c>
      <c r="D19" s="69">
        <v>1195074.21</v>
      </c>
      <c r="E19" s="69">
        <v>1397290.92</v>
      </c>
      <c r="F19" s="69">
        <v>1157767.82</v>
      </c>
      <c r="G19" s="69">
        <v>1099811.52</v>
      </c>
      <c r="H19" s="69">
        <v>284972.17</v>
      </c>
      <c r="I19" s="69">
        <v>0</v>
      </c>
      <c r="J19" s="69">
        <v>674984.87</v>
      </c>
      <c r="K19" s="69">
        <v>1747401</v>
      </c>
      <c r="L19" s="69">
        <v>1417485</v>
      </c>
      <c r="M19" s="70">
        <v>646412</v>
      </c>
      <c r="N19" s="71">
        <v>-316496</v>
      </c>
      <c r="O19" s="69">
        <v>10149111.07</v>
      </c>
      <c r="P19" s="69">
        <v>7963526.9100000001</v>
      </c>
      <c r="Q19" s="69">
        <v>383603.29</v>
      </c>
      <c r="R19" s="69">
        <v>0</v>
      </c>
      <c r="S19" s="69">
        <v>0</v>
      </c>
      <c r="T19" s="69">
        <v>0</v>
      </c>
      <c r="U19" s="72">
        <v>0</v>
      </c>
      <c r="V19" s="69">
        <v>2860093.7</v>
      </c>
      <c r="W19" s="69">
        <v>0</v>
      </c>
      <c r="X19" s="69">
        <v>0</v>
      </c>
      <c r="Y19" s="69">
        <v>2802312.19</v>
      </c>
      <c r="Z19" s="72">
        <v>0</v>
      </c>
      <c r="AA19" s="72">
        <v>0</v>
      </c>
      <c r="AB19" s="72">
        <v>0</v>
      </c>
      <c r="AC19" s="72">
        <v>0</v>
      </c>
      <c r="AD19" s="72">
        <v>1533712000</v>
      </c>
      <c r="AE19" s="72">
        <v>217981000</v>
      </c>
      <c r="AF19" s="72">
        <v>27279000</v>
      </c>
      <c r="AG19" s="72">
        <v>29015000</v>
      </c>
      <c r="AH19" s="72">
        <v>429073000</v>
      </c>
      <c r="AI19" s="72">
        <v>375647000</v>
      </c>
      <c r="AJ19" s="72">
        <v>0</v>
      </c>
      <c r="AK19" s="72">
        <v>0</v>
      </c>
      <c r="AL19" s="72">
        <v>2968286</v>
      </c>
      <c r="AM19" s="72">
        <v>127767286</v>
      </c>
      <c r="AN19" s="72">
        <v>-46383052</v>
      </c>
      <c r="AO19" s="72">
        <f t="shared" si="13"/>
        <v>81384234</v>
      </c>
      <c r="AP19" s="72">
        <v>102939000</v>
      </c>
      <c r="AQ19" s="72">
        <v>0</v>
      </c>
      <c r="AR19" s="72">
        <v>100968000</v>
      </c>
      <c r="AS19" s="72">
        <v>0</v>
      </c>
      <c r="AT19" s="72">
        <v>0</v>
      </c>
      <c r="AU19" s="72">
        <v>94066096</v>
      </c>
      <c r="AV19" s="72">
        <v>0</v>
      </c>
      <c r="AW19" s="72">
        <f>99163159+5039689</f>
        <v>104202848</v>
      </c>
      <c r="AX19" s="72">
        <v>46387200</v>
      </c>
      <c r="AY19" s="72">
        <v>0</v>
      </c>
      <c r="AZ19" s="72">
        <v>0</v>
      </c>
      <c r="BA19" s="72">
        <v>1521658104</v>
      </c>
      <c r="BB19" s="72">
        <v>4914</v>
      </c>
      <c r="BC19" s="72">
        <v>1492785</v>
      </c>
      <c r="BD19" s="72">
        <v>0</v>
      </c>
      <c r="BE19" s="73">
        <v>2.7539999999999999E-2</v>
      </c>
      <c r="BF19" s="73">
        <f>ROUND(BG19/BH19-BE19,5)</f>
        <v>-5.9000000000000003E-4</v>
      </c>
      <c r="BG19" s="72">
        <f t="shared" si="17"/>
        <v>46009512</v>
      </c>
      <c r="BH19" s="74">
        <v>1707207991</v>
      </c>
      <c r="BI19" s="69"/>
      <c r="BJ19" s="72"/>
      <c r="BK19" s="71">
        <f t="shared" si="14"/>
        <v>39142252</v>
      </c>
      <c r="BL19" s="69">
        <f t="shared" si="11"/>
        <v>10149111</v>
      </c>
      <c r="BM19" s="69">
        <f t="shared" si="12"/>
        <v>2860672</v>
      </c>
      <c r="BN19" s="75">
        <f>ROUND(((ROUND((BA19-AY19)*BF17,0)-ROUND((BH17-(SUM(AU17:AX17)+AY17+SUM(BB17:BC17)))*IF(BI17="",BF17,BI17),0))+353918)*ROUND(BH19/(BH19-SUM(AU19:AX19,AY19,BB19:BC19)),8),0)</f>
        <v>421179</v>
      </c>
      <c r="BO19" s="76">
        <v>569</v>
      </c>
      <c r="BP19" s="76">
        <v>4</v>
      </c>
      <c r="BQ19" s="76">
        <v>0</v>
      </c>
      <c r="BT19" s="73">
        <f t="shared" si="15"/>
        <v>2.6949999999999998E-2</v>
      </c>
      <c r="BU19" s="72">
        <f t="shared" si="16"/>
        <v>41008686</v>
      </c>
    </row>
    <row r="20" spans="1:75">
      <c r="A20" s="68">
        <v>40634</v>
      </c>
      <c r="B20" s="69">
        <v>28334225.539999999</v>
      </c>
      <c r="C20" s="69">
        <v>296009.99</v>
      </c>
      <c r="D20" s="69">
        <v>82900.56</v>
      </c>
      <c r="E20" s="69">
        <v>357080.93</v>
      </c>
      <c r="F20" s="69">
        <v>504.51</v>
      </c>
      <c r="G20" s="69">
        <v>26919.64</v>
      </c>
      <c r="H20" s="69">
        <v>7539.12</v>
      </c>
      <c r="I20" s="69">
        <v>0</v>
      </c>
      <c r="J20" s="69">
        <v>2920782.61</v>
      </c>
      <c r="K20" s="69">
        <v>519851</v>
      </c>
      <c r="L20" s="69">
        <v>368867</v>
      </c>
      <c r="M20" s="70">
        <v>196422</v>
      </c>
      <c r="N20" s="71">
        <f t="shared" ref="N20:N31" si="18">IF(L20+M20&lt;K20,0,K20-L20-M20)</f>
        <v>-45438</v>
      </c>
      <c r="O20" s="69">
        <v>10940785.529999999</v>
      </c>
      <c r="P20" s="69">
        <v>7986928.5499999998</v>
      </c>
      <c r="Q20" s="69">
        <v>131464.45000000001</v>
      </c>
      <c r="R20" s="69">
        <v>40.86</v>
      </c>
      <c r="S20" s="69">
        <v>0</v>
      </c>
      <c r="T20" s="69">
        <v>0</v>
      </c>
      <c r="U20" s="72">
        <v>0</v>
      </c>
      <c r="V20" s="69">
        <v>911383.64</v>
      </c>
      <c r="W20" s="69">
        <v>323.13</v>
      </c>
      <c r="X20" s="69">
        <v>0.43</v>
      </c>
      <c r="Y20" s="69">
        <v>910534.89</v>
      </c>
      <c r="Z20" s="72">
        <v>0</v>
      </c>
      <c r="AA20" s="72">
        <v>0</v>
      </c>
      <c r="AB20" s="72">
        <v>0</v>
      </c>
      <c r="AC20" s="72">
        <v>0</v>
      </c>
      <c r="AD20" s="72">
        <v>1149598000</v>
      </c>
      <c r="AE20" s="72">
        <v>13603000</v>
      </c>
      <c r="AF20" s="72">
        <v>1840000</v>
      </c>
      <c r="AG20" s="72">
        <v>1958000</v>
      </c>
      <c r="AH20" s="72">
        <v>447174000</v>
      </c>
      <c r="AI20" s="72">
        <v>367550000</v>
      </c>
      <c r="AJ20" s="72">
        <v>1000</v>
      </c>
      <c r="AK20" s="72">
        <v>0</v>
      </c>
      <c r="AL20" s="72">
        <v>13599451</v>
      </c>
      <c r="AM20" s="72">
        <v>43020451</v>
      </c>
      <c r="AN20" s="72">
        <v>41057960</v>
      </c>
      <c r="AO20" s="72">
        <f t="shared" si="13"/>
        <v>84078411</v>
      </c>
      <c r="AP20" s="72">
        <v>32756000</v>
      </c>
      <c r="AQ20" s="72">
        <v>8000</v>
      </c>
      <c r="AR20" s="72">
        <v>32734000</v>
      </c>
      <c r="AS20" s="72">
        <v>0</v>
      </c>
      <c r="AT20" s="72">
        <v>0</v>
      </c>
      <c r="AU20" s="72">
        <v>69099808</v>
      </c>
      <c r="AV20" s="72">
        <v>0</v>
      </c>
      <c r="AW20" s="72">
        <f>86620122+4012300</f>
        <v>90632422</v>
      </c>
      <c r="AX20" s="72">
        <v>41748800</v>
      </c>
      <c r="AY20" s="72">
        <v>0</v>
      </c>
      <c r="AZ20" s="72">
        <v>0</v>
      </c>
      <c r="BA20" s="72">
        <v>1379963352</v>
      </c>
      <c r="BB20" s="72">
        <v>4873</v>
      </c>
      <c r="BC20" s="72">
        <v>1920959</v>
      </c>
      <c r="BD20" s="72">
        <v>0</v>
      </c>
      <c r="BE20" s="73">
        <v>2.7539999999999999E-2</v>
      </c>
      <c r="BF20" s="73">
        <f>ROUND(BG20/BH20-BE20,5)</f>
        <v>2.9E-4</v>
      </c>
      <c r="BG20" s="72">
        <f t="shared" si="17"/>
        <v>41469089</v>
      </c>
      <c r="BH20" s="74">
        <f>SUM(AD20,-AF20,-AG20,AH20,AL20,-AP20,-ROUND(SUM(AD20,-AF20,-AG20,AH20,AL20)*ROUND(SUM(AM9:AN20)/((SUM(AD9:AD20,AH9:AH20,AL9:AL20)-10203000)-SUM(AF9:AG20)),8),0))</f>
        <v>1490352072</v>
      </c>
      <c r="BI20" s="69"/>
      <c r="BJ20" s="72"/>
      <c r="BK20" s="71">
        <f t="shared" si="14"/>
        <v>31476091</v>
      </c>
      <c r="BL20" s="69">
        <f t="shared" si="11"/>
        <v>10940786</v>
      </c>
      <c r="BM20" s="69">
        <f t="shared" si="12"/>
        <v>911389</v>
      </c>
      <c r="BN20" s="75">
        <f>ROUND((ROUND((BA20-AY20)*BF18,0)-ROUND((BH18-(SUM(AU18:AX18)+AY18+SUM(BB18:BC18)))*IF(BI18="",BF18,BI18),0))*ROUND(BH20/(BH20-SUM(AU20:AX20,AY20,BB20:BC20)),8),0)</f>
        <v>36399</v>
      </c>
      <c r="BO20" s="76">
        <v>218</v>
      </c>
      <c r="BP20" s="76">
        <v>22</v>
      </c>
      <c r="BQ20" s="76">
        <v>0</v>
      </c>
      <c r="BT20" s="73">
        <f t="shared" si="15"/>
        <v>2.7829999999999997E-2</v>
      </c>
      <c r="BU20" s="72">
        <f t="shared" si="16"/>
        <v>38404380</v>
      </c>
    </row>
    <row r="21" spans="1:75">
      <c r="A21" s="68">
        <v>40664</v>
      </c>
      <c r="B21" s="69">
        <f>10651962.35+20697598.45+1476964.59+7385015.96</f>
        <v>40211541.349999994</v>
      </c>
      <c r="C21" s="69">
        <v>7385015.96</v>
      </c>
      <c r="D21" s="69">
        <v>1881037.42</v>
      </c>
      <c r="E21" s="69">
        <f>124076.25+481860.32+60877.65+592476.46</f>
        <v>1259290.6800000002</v>
      </c>
      <c r="F21" s="69">
        <v>0</v>
      </c>
      <c r="G21" s="69">
        <v>592476.46</v>
      </c>
      <c r="H21" s="69">
        <v>150909.68</v>
      </c>
      <c r="I21" s="69">
        <v>3556.39</v>
      </c>
      <c r="J21" s="69">
        <v>3021111.59</v>
      </c>
      <c r="K21" s="69">
        <v>1682233</v>
      </c>
      <c r="L21" s="69">
        <v>1620023</v>
      </c>
      <c r="M21" s="70">
        <v>448257</v>
      </c>
      <c r="N21" s="71">
        <f t="shared" si="18"/>
        <v>-386047</v>
      </c>
      <c r="O21" s="69">
        <v>6670907.6399999997</v>
      </c>
      <c r="P21" s="69">
        <v>4612960.67</v>
      </c>
      <c r="Q21" s="69">
        <v>340082.85</v>
      </c>
      <c r="R21" s="69">
        <v>27813.82</v>
      </c>
      <c r="S21" s="69">
        <v>0</v>
      </c>
      <c r="T21" s="69">
        <v>0</v>
      </c>
      <c r="U21" s="72">
        <v>0</v>
      </c>
      <c r="V21" s="69">
        <v>3105652.46</v>
      </c>
      <c r="W21" s="69">
        <v>230066.81</v>
      </c>
      <c r="X21" s="69">
        <v>498.66</v>
      </c>
      <c r="Y21" s="69">
        <v>2448554.4</v>
      </c>
      <c r="Z21" s="72">
        <v>0</v>
      </c>
      <c r="AA21" s="72">
        <v>0</v>
      </c>
      <c r="AB21" s="72">
        <v>0</v>
      </c>
      <c r="AC21" s="72">
        <v>0</v>
      </c>
      <c r="AD21" s="72">
        <v>1590373000</v>
      </c>
      <c r="AE21" s="72">
        <v>346043000</v>
      </c>
      <c r="AF21" s="72">
        <v>42573000</v>
      </c>
      <c r="AG21" s="72">
        <v>45278000</v>
      </c>
      <c r="AH21" s="72">
        <v>258160000</v>
      </c>
      <c r="AI21" s="72">
        <v>211197000</v>
      </c>
      <c r="AJ21" s="72">
        <v>882000</v>
      </c>
      <c r="AK21" s="72">
        <v>0</v>
      </c>
      <c r="AL21" s="72">
        <v>8780924</v>
      </c>
      <c r="AM21" s="72">
        <v>169268924</v>
      </c>
      <c r="AN21" s="72">
        <v>-113969010</v>
      </c>
      <c r="AO21" s="72">
        <f t="shared" si="13"/>
        <v>55299914</v>
      </c>
      <c r="AP21" s="72">
        <v>107610000</v>
      </c>
      <c r="AQ21" s="72">
        <v>8230000</v>
      </c>
      <c r="AR21" s="72">
        <v>86379000</v>
      </c>
      <c r="AS21" s="72">
        <v>0</v>
      </c>
      <c r="AT21" s="72">
        <v>0</v>
      </c>
      <c r="AU21" s="72">
        <v>69498031</v>
      </c>
      <c r="AV21" s="72">
        <v>0</v>
      </c>
      <c r="AW21" s="72">
        <f>97040301+4349828</f>
        <v>101390129</v>
      </c>
      <c r="AX21" s="72">
        <v>46859600</v>
      </c>
      <c r="AY21" s="72">
        <v>0</v>
      </c>
      <c r="AZ21" s="72">
        <v>0</v>
      </c>
      <c r="BA21" s="72">
        <v>1296344179</v>
      </c>
      <c r="BB21" s="72">
        <v>4208</v>
      </c>
      <c r="BC21" s="72">
        <v>1529370</v>
      </c>
      <c r="BD21" s="72">
        <v>0</v>
      </c>
      <c r="BE21" s="73">
        <v>2.7539999999999999E-2</v>
      </c>
      <c r="BF21" s="73">
        <f>ROUND(BG21/BH21-BE21,5)</f>
        <v>1.3799999999999999E-3</v>
      </c>
      <c r="BG21" s="72">
        <f t="shared" si="17"/>
        <v>45512020</v>
      </c>
      <c r="BH21" s="74">
        <f>SUM(AD21,-AF21,-AG21,AH21,AL21,-AP21,-ROUND(SUM(AD21,-AF21,-AG21,AH21,AL21)*ROUND(SUM(AM10:AN21)/((SUM(AD10:AD21,AH10:AH21,AL10:AL21)-10090000)-SUM(AF10:AG21)),8),0))</f>
        <v>1573514629</v>
      </c>
      <c r="BI21" s="69"/>
      <c r="BJ21" s="72"/>
      <c r="BK21" s="71">
        <f t="shared" si="14"/>
        <v>42063944</v>
      </c>
      <c r="BL21" s="69">
        <f t="shared" si="11"/>
        <v>6670908</v>
      </c>
      <c r="BM21" s="69">
        <f t="shared" si="12"/>
        <v>3109917</v>
      </c>
      <c r="BN21" s="75">
        <f>ROUND((ROUND((BA21-AY21)*BF19,0)-ROUND((BH19-(SUM(AU19:AX19)+AY19+SUM(BB19:BC19)))*IF(BI19="",BF19,BI19),0))*ROUND(BH21/(BH21-SUM(AU21:AX21,AY21,BB21:BC21)),8),0)</f>
        <v>112915</v>
      </c>
      <c r="BO21" s="76">
        <v>142</v>
      </c>
      <c r="BP21" s="76">
        <v>126</v>
      </c>
      <c r="BQ21" s="76">
        <v>0</v>
      </c>
      <c r="BT21" s="73">
        <f t="shared" si="15"/>
        <v>2.8919999999999998E-2</v>
      </c>
      <c r="BU21" s="72">
        <f t="shared" si="16"/>
        <v>37490274</v>
      </c>
    </row>
    <row r="22" spans="1:75">
      <c r="A22" s="68">
        <v>40695</v>
      </c>
      <c r="B22" s="69">
        <v>48206461.579999998</v>
      </c>
      <c r="C22" s="69">
        <v>8476990.8200000003</v>
      </c>
      <c r="D22" s="69">
        <v>2147730.39</v>
      </c>
      <c r="E22" s="69">
        <v>511180.26</v>
      </c>
      <c r="F22" s="69">
        <v>-2089.9699999999998</v>
      </c>
      <c r="G22" s="69">
        <v>152412.07</v>
      </c>
      <c r="H22" s="69">
        <v>38615.120000000003</v>
      </c>
      <c r="I22" s="69">
        <v>0</v>
      </c>
      <c r="J22" s="69">
        <v>4009164.36</v>
      </c>
      <c r="K22" s="69">
        <v>670349</v>
      </c>
      <c r="L22" s="69">
        <v>556017</v>
      </c>
      <c r="M22" s="70">
        <v>352704</v>
      </c>
      <c r="N22" s="71">
        <f t="shared" si="18"/>
        <v>-238372</v>
      </c>
      <c r="O22" s="69">
        <f>4447156.52-54181.76</f>
        <v>4392974.76</v>
      </c>
      <c r="P22" s="69">
        <v>2783475.54</v>
      </c>
      <c r="Q22" s="69">
        <v>226266.66</v>
      </c>
      <c r="R22" s="69">
        <v>45629.96</v>
      </c>
      <c r="S22" s="69">
        <v>0</v>
      </c>
      <c r="T22" s="69">
        <v>0</v>
      </c>
      <c r="U22" s="72">
        <v>0</v>
      </c>
      <c r="V22" s="69">
        <v>3668986.34</v>
      </c>
      <c r="W22" s="69">
        <v>846613.47</v>
      </c>
      <c r="X22" s="69">
        <v>4202.57</v>
      </c>
      <c r="Y22" s="69">
        <v>2027919.25</v>
      </c>
      <c r="Z22" s="72">
        <v>0</v>
      </c>
      <c r="AA22" s="72">
        <v>0</v>
      </c>
      <c r="AB22" s="72">
        <v>0</v>
      </c>
      <c r="AC22" s="72">
        <v>0</v>
      </c>
      <c r="AD22" s="72">
        <v>1921376000</v>
      </c>
      <c r="AE22" s="72">
        <v>403053000</v>
      </c>
      <c r="AF22" s="72">
        <v>49344000</v>
      </c>
      <c r="AG22" s="72">
        <v>52439000</v>
      </c>
      <c r="AH22" s="72">
        <v>169823000</v>
      </c>
      <c r="AI22" s="72">
        <v>128241000</v>
      </c>
      <c r="AJ22" s="72">
        <v>1000000</v>
      </c>
      <c r="AK22" s="72">
        <v>0</v>
      </c>
      <c r="AL22" s="72">
        <v>12666800</v>
      </c>
      <c r="AM22" s="72">
        <v>197219800</v>
      </c>
      <c r="AN22" s="72">
        <v>-94318879</v>
      </c>
      <c r="AO22" s="72">
        <f>AM22+AN22</f>
        <v>102900921</v>
      </c>
      <c r="AP22" s="72">
        <v>120266000</v>
      </c>
      <c r="AQ22" s="72">
        <v>21663000</v>
      </c>
      <c r="AR22" s="72">
        <v>75035000</v>
      </c>
      <c r="AS22" s="72">
        <v>0</v>
      </c>
      <c r="AT22" s="72">
        <v>0</v>
      </c>
      <c r="AU22" s="72">
        <v>69946216</v>
      </c>
      <c r="AV22" s="72">
        <v>0</v>
      </c>
      <c r="AW22" s="72">
        <v>115969398</v>
      </c>
      <c r="AX22" s="72">
        <v>55590400</v>
      </c>
      <c r="AY22" s="72">
        <v>0</v>
      </c>
      <c r="AZ22" s="72">
        <v>0</v>
      </c>
      <c r="BA22" s="72">
        <v>1526528523</v>
      </c>
      <c r="BB22" s="72">
        <v>4831</v>
      </c>
      <c r="BC22" s="72">
        <v>1527580</v>
      </c>
      <c r="BD22" s="72">
        <v>888076</v>
      </c>
      <c r="BE22" s="73">
        <v>2.7539999999999999E-2</v>
      </c>
      <c r="BF22" s="73">
        <f>ROUND(BG22/BH22-BE22,5)</f>
        <v>1.08E-3</v>
      </c>
      <c r="BG22" s="72">
        <f>BK22+BL22-BM22-BN22-AB22</f>
        <v>50920942</v>
      </c>
      <c r="BH22" s="74">
        <f t="shared" ref="BH22:BH27" si="19">SUM(AD22,-AF22,-AG22,AH22,AL22,-AP22,-ROUND(SUM(AD22,-AF22,-AG22,AH22,AL22)*ROUND(SUM(AO11:AO22)/(SUM(AD11:AD22,AH11:AH22,AL11:AL22)-SUM(AF11:AG22)),8),0))</f>
        <v>1779169014</v>
      </c>
      <c r="BI22" s="69"/>
      <c r="BJ22" s="72"/>
      <c r="BK22" s="71">
        <f t="shared" ref="BK22:BK31" si="20">ROUND(B22-(C22*(IF(AE22=0,0,ROUND((AF22+AG22+((AF22+AG22)*0.01))/AE22,5)))),0)+ROUND(E22,0)+ROUND(F22,0)+ROUND(I22,0)-SUM(IF(AE22=0,0,ROUND(G22*ROUND((AF22+AG22+((AF22+AG22)*0.01))/AE22,5),0)))+ROUND(J22,0)+ROUND(N22,0)</f>
        <v>50285328</v>
      </c>
      <c r="BL22" s="69">
        <f t="shared" ref="BL22:BL31" si="21">ROUND(O22-T22-U22,0)</f>
        <v>4392975</v>
      </c>
      <c r="BM22" s="69">
        <f>ROUND(V22-SUM(W22:AA22),0)+ROUND(W22+X22,0)+ROUND(Y22+Z22,0)+ROUND((V22-W22-X22-Y22-Z22)*0.01,0)</f>
        <v>3676889</v>
      </c>
      <c r="BN22" s="75">
        <f>ROUND((ROUND((BA22-AY22)*BF20,0)-ROUND((BH20-(SUM(AU20:AX20)+AY20+SUM(BB20:BC20)))*IF(BI20="",BF20,BI20),0))*ROUND(BH22/(BH22-SUM(AU22:AX22,AY22,BB22:BC22)),8),0)</f>
        <v>80472</v>
      </c>
      <c r="BO22" s="76">
        <v>0</v>
      </c>
      <c r="BP22" s="76">
        <v>259</v>
      </c>
      <c r="BQ22" s="76">
        <v>0</v>
      </c>
      <c r="BT22" s="73">
        <f t="shared" si="15"/>
        <v>2.862E-2</v>
      </c>
      <c r="BU22" s="72">
        <f t="shared" si="16"/>
        <v>43689246</v>
      </c>
      <c r="BV22" s="77">
        <f>SUM(BU11:BU22)</f>
        <v>526434439</v>
      </c>
      <c r="BW22" s="76">
        <f>BV22/SUM(BA11:BA22)</f>
        <v>2.802218529454583E-2</v>
      </c>
    </row>
    <row r="23" spans="1:75">
      <c r="A23" s="68">
        <v>40725</v>
      </c>
      <c r="B23" s="69">
        <v>52585357.869999997</v>
      </c>
      <c r="C23" s="69">
        <v>8677642.8599999994</v>
      </c>
      <c r="D23" s="69">
        <v>2200650.23</v>
      </c>
      <c r="E23" s="69">
        <v>543635.27</v>
      </c>
      <c r="F23" s="69">
        <v>508.65</v>
      </c>
      <c r="G23" s="69">
        <v>236197.29</v>
      </c>
      <c r="H23" s="69">
        <v>59899.63</v>
      </c>
      <c r="I23" s="69">
        <v>0</v>
      </c>
      <c r="J23" s="69">
        <v>6544354.79</v>
      </c>
      <c r="K23" s="69">
        <v>932682</v>
      </c>
      <c r="L23" s="69">
        <v>648159</v>
      </c>
      <c r="M23" s="70">
        <v>471521</v>
      </c>
      <c r="N23" s="71">
        <f t="shared" si="18"/>
        <v>-186998</v>
      </c>
      <c r="O23" s="69">
        <f>6672928.03</f>
        <v>6672928.0300000003</v>
      </c>
      <c r="P23" s="69">
        <v>3775334.39</v>
      </c>
      <c r="Q23" s="69">
        <v>281308.2</v>
      </c>
      <c r="R23" s="69">
        <v>33493.449999999997</v>
      </c>
      <c r="S23" s="69">
        <v>0</v>
      </c>
      <c r="T23" s="69">
        <v>13399.41</v>
      </c>
      <c r="U23" s="69">
        <v>138759.18</v>
      </c>
      <c r="V23" s="69">
        <v>2951908.74</v>
      </c>
      <c r="W23" s="69">
        <v>323957.52</v>
      </c>
      <c r="X23" s="69">
        <v>2119</v>
      </c>
      <c r="Y23" s="69">
        <v>2183841.7000000002</v>
      </c>
      <c r="Z23" s="72">
        <v>0</v>
      </c>
      <c r="AA23" s="72">
        <v>0</v>
      </c>
      <c r="AB23" s="72">
        <v>0</v>
      </c>
      <c r="AC23" s="72">
        <v>0</v>
      </c>
      <c r="AD23" s="72">
        <v>2102035000</v>
      </c>
      <c r="AE23" s="72">
        <v>401777000</v>
      </c>
      <c r="AF23" s="72">
        <v>49276000</v>
      </c>
      <c r="AG23" s="72">
        <v>52279000</v>
      </c>
      <c r="AH23" s="72">
        <v>223530000</v>
      </c>
      <c r="AI23" s="72">
        <v>165231000</v>
      </c>
      <c r="AJ23" s="72">
        <v>714000</v>
      </c>
      <c r="AK23" s="72">
        <v>0</v>
      </c>
      <c r="AL23" s="72">
        <v>13749212</v>
      </c>
      <c r="AO23" s="72">
        <v>70658952</v>
      </c>
      <c r="AP23" s="72">
        <v>97265000</v>
      </c>
      <c r="AQ23" s="72">
        <v>8108000</v>
      </c>
      <c r="AR23" s="72">
        <v>76982000</v>
      </c>
      <c r="AS23" s="72">
        <v>0</v>
      </c>
      <c r="AT23" s="72">
        <v>0</v>
      </c>
      <c r="AU23" s="72">
        <v>76979593</v>
      </c>
      <c r="AV23" s="72">
        <v>0</v>
      </c>
      <c r="AW23" s="72">
        <f>128954570+6056631</f>
        <v>135011201</v>
      </c>
      <c r="AX23" s="72">
        <v>65086000</v>
      </c>
      <c r="AY23" s="72">
        <v>0</v>
      </c>
      <c r="AZ23" s="72">
        <v>0</v>
      </c>
      <c r="BA23" s="72">
        <v>1599481519</v>
      </c>
      <c r="BB23" s="72">
        <v>6595</v>
      </c>
      <c r="BC23" s="72">
        <v>1474755</v>
      </c>
      <c r="BD23" s="72">
        <v>2465824</v>
      </c>
      <c r="BE23" s="73">
        <v>2.6679999999999999E-2</v>
      </c>
      <c r="BF23" s="73">
        <f>ROUND(BG23/BH23-BE23,5)</f>
        <v>3.1199999999999999E-3</v>
      </c>
      <c r="BG23" s="72">
        <f>BK23+BL23-BM23-BN23-AB23</f>
        <v>60387246</v>
      </c>
      <c r="BH23" s="74">
        <f t="shared" si="19"/>
        <v>2026370618</v>
      </c>
      <c r="BI23" s="69"/>
      <c r="BJ23" s="72"/>
      <c r="BK23" s="71">
        <f t="shared" si="20"/>
        <v>57211244</v>
      </c>
      <c r="BL23" s="69">
        <f t="shared" si="21"/>
        <v>6520769</v>
      </c>
      <c r="BM23" s="69">
        <f t="shared" si="12"/>
        <v>2956330</v>
      </c>
      <c r="BN23" s="75">
        <f>ROUND((ROUND((BA23-AY23-BD23)*BF21,0)-ROUND((BH21-(SUM(AU21:AX21)+AY21+SUM(BB21:BC21)))*IF(BI21="",BF21,BI21),0))*ROUND(BH23/(BH23-SUM(AU23:AX23,AY23,BB23:BC23)),8),0)</f>
        <v>388437</v>
      </c>
      <c r="BO23" s="76">
        <v>0</v>
      </c>
      <c r="BP23" s="76">
        <v>454</v>
      </c>
      <c r="BQ23" s="76">
        <v>0</v>
      </c>
      <c r="BT23" s="73">
        <f t="shared" ref="BT23:BT27" si="22">BE23+BF23</f>
        <v>2.98E-2</v>
      </c>
      <c r="BU23" s="72">
        <f t="shared" ref="BU23:BU27" si="23">ROUND(BA23*BT23,0)</f>
        <v>47664549</v>
      </c>
    </row>
    <row r="24" spans="1:75">
      <c r="A24" s="68">
        <v>40756</v>
      </c>
      <c r="B24" s="69">
        <v>48881166.990000002</v>
      </c>
      <c r="C24" s="69">
        <v>6613318.3600000003</v>
      </c>
      <c r="D24" s="69">
        <v>1686065.52</v>
      </c>
      <c r="E24" s="69">
        <v>804223.32</v>
      </c>
      <c r="F24" s="69">
        <v>791.83</v>
      </c>
      <c r="G24" s="69">
        <v>539756.51</v>
      </c>
      <c r="H24" s="69">
        <v>137610.92000000001</v>
      </c>
      <c r="I24" s="69">
        <v>0</v>
      </c>
      <c r="J24" s="69">
        <v>4840688.32</v>
      </c>
      <c r="K24" s="69">
        <v>1997774</v>
      </c>
      <c r="L24" s="69">
        <v>2157168</v>
      </c>
      <c r="M24" s="70">
        <v>74581</v>
      </c>
      <c r="N24" s="71">
        <f t="shared" si="18"/>
        <v>-233975</v>
      </c>
      <c r="O24" s="69">
        <f>7133428.98</f>
        <v>7133428.9800000004</v>
      </c>
      <c r="P24" s="69">
        <v>4858128.97</v>
      </c>
      <c r="Q24" s="69">
        <v>181388.87</v>
      </c>
      <c r="R24" s="69">
        <v>7254.9</v>
      </c>
      <c r="S24" s="69">
        <v>0</v>
      </c>
      <c r="T24" s="69">
        <v>2039.18</v>
      </c>
      <c r="U24" s="69">
        <v>70069.03</v>
      </c>
      <c r="V24" s="69">
        <v>1628578.39</v>
      </c>
      <c r="W24" s="69">
        <v>165932.42000000001</v>
      </c>
      <c r="X24" s="69">
        <v>295.86</v>
      </c>
      <c r="Y24" s="69">
        <v>1298071.33</v>
      </c>
      <c r="Z24" s="72">
        <v>0</v>
      </c>
      <c r="AA24" s="72">
        <v>0</v>
      </c>
      <c r="AB24" s="72">
        <v>0</v>
      </c>
      <c r="AC24" s="72">
        <v>0</v>
      </c>
      <c r="AD24" s="72">
        <v>1920646000</v>
      </c>
      <c r="AE24" s="72">
        <v>308700000</v>
      </c>
      <c r="AF24" s="72">
        <v>38039000</v>
      </c>
      <c r="AG24" s="72">
        <v>40404000</v>
      </c>
      <c r="AH24" s="72">
        <v>271956000</v>
      </c>
      <c r="AI24" s="72">
        <v>214643000</v>
      </c>
      <c r="AJ24" s="72">
        <v>177000</v>
      </c>
      <c r="AK24" s="72">
        <v>0</v>
      </c>
      <c r="AL24" s="72">
        <v>13168313</v>
      </c>
      <c r="AO24" s="72">
        <v>54047924</v>
      </c>
      <c r="AP24" s="72">
        <v>51618000</v>
      </c>
      <c r="AQ24" s="72">
        <v>3723000</v>
      </c>
      <c r="AR24" s="72">
        <v>43067000</v>
      </c>
      <c r="AS24" s="72">
        <v>0</v>
      </c>
      <c r="AT24" s="72">
        <v>0</v>
      </c>
      <c r="AU24" s="72">
        <v>75935742</v>
      </c>
      <c r="AV24" s="72">
        <v>0</v>
      </c>
      <c r="AW24" s="72">
        <f>121768537+5757328</f>
        <v>127525865</v>
      </c>
      <c r="AX24" s="72">
        <v>61537200</v>
      </c>
      <c r="AY24" s="72">
        <v>0</v>
      </c>
      <c r="AZ24" s="72">
        <v>0</v>
      </c>
      <c r="BA24" s="72">
        <v>1758228088</v>
      </c>
      <c r="BB24" s="72">
        <v>5269</v>
      </c>
      <c r="BC24" s="72">
        <v>1605089</v>
      </c>
      <c r="BD24" s="72">
        <v>1353404</v>
      </c>
      <c r="BE24" s="73">
        <v>2.6679999999999999E-2</v>
      </c>
      <c r="BF24" s="73">
        <f t="shared" ref="BF24" si="24">ROUND(BG24/BH24-BE24,5)</f>
        <v>2.3600000000000001E-3</v>
      </c>
      <c r="BG24" s="72">
        <f t="shared" ref="BG24:BG29" si="25">BK24+BL24-BM24-BN24-AC24</f>
        <v>57612742</v>
      </c>
      <c r="BH24" s="74">
        <f t="shared" si="19"/>
        <v>1983922032</v>
      </c>
      <c r="BI24" s="69"/>
      <c r="BJ24" s="72"/>
      <c r="BK24" s="71">
        <f t="shared" si="20"/>
        <v>52457058</v>
      </c>
      <c r="BL24" s="69">
        <f t="shared" si="21"/>
        <v>7061321</v>
      </c>
      <c r="BM24" s="69">
        <f t="shared" si="12"/>
        <v>1630221</v>
      </c>
      <c r="BN24" s="75">
        <f>ROUND((ROUND((BA24-AY24-BD24)*BF22,0)-ROUND((BH22-(SUM(AU22:AX22)+AY22+SUM(BB22:BC22)))*IF(BI22="",BF22,BI22),0))*ROUND(BH24/(BH24-SUM(AU24:AX24,AY24,BB24:BC24)),8),0)</f>
        <v>275416</v>
      </c>
      <c r="BO24" s="76">
        <v>0</v>
      </c>
      <c r="BP24" s="76">
        <v>326</v>
      </c>
      <c r="BQ24" s="76">
        <v>0</v>
      </c>
      <c r="BT24" s="73">
        <f t="shared" si="22"/>
        <v>2.904E-2</v>
      </c>
      <c r="BU24" s="72">
        <f t="shared" si="23"/>
        <v>51058944</v>
      </c>
    </row>
    <row r="25" spans="1:75">
      <c r="A25" s="68">
        <v>40787</v>
      </c>
      <c r="B25" s="69">
        <v>34451062.700000003</v>
      </c>
      <c r="C25" s="69">
        <v>4221297.3899999997</v>
      </c>
      <c r="D25" s="69">
        <v>1082045.1599999999</v>
      </c>
      <c r="E25" s="69">
        <v>1074928.0900000001</v>
      </c>
      <c r="F25" s="69">
        <v>0</v>
      </c>
      <c r="G25" s="69">
        <v>651157.69999999995</v>
      </c>
      <c r="H25" s="69">
        <v>166911.25</v>
      </c>
      <c r="I25" s="69">
        <v>544.38</v>
      </c>
      <c r="J25" s="69">
        <v>2367224.4900000002</v>
      </c>
      <c r="K25" s="69">
        <v>933198</v>
      </c>
      <c r="L25" s="69">
        <v>797234</v>
      </c>
      <c r="M25" s="70">
        <v>6304</v>
      </c>
      <c r="N25" s="71">
        <f t="shared" si="18"/>
        <v>0</v>
      </c>
      <c r="O25" s="69">
        <v>9662611.5999999996</v>
      </c>
      <c r="P25" s="69">
        <v>8069822.5999999996</v>
      </c>
      <c r="Q25" s="69">
        <v>209100.36</v>
      </c>
      <c r="R25" s="69">
        <v>0</v>
      </c>
      <c r="S25" s="69">
        <v>0</v>
      </c>
      <c r="T25" s="69">
        <v>11.88</v>
      </c>
      <c r="U25" s="72">
        <v>38699.67</v>
      </c>
      <c r="V25" s="69">
        <v>2334759.67</v>
      </c>
      <c r="W25" s="69">
        <v>0</v>
      </c>
      <c r="X25" s="69">
        <v>0</v>
      </c>
      <c r="Y25" s="69">
        <v>2323327.25</v>
      </c>
      <c r="Z25" s="72">
        <v>0</v>
      </c>
      <c r="AA25" s="72">
        <v>0</v>
      </c>
      <c r="AB25" s="72">
        <v>0</v>
      </c>
      <c r="AC25" s="72">
        <v>0</v>
      </c>
      <c r="AD25" s="72">
        <v>1366670000</v>
      </c>
      <c r="AE25" s="72">
        <v>196941000</v>
      </c>
      <c r="AF25" s="72">
        <v>24387000</v>
      </c>
      <c r="AG25" s="72">
        <v>25930000</v>
      </c>
      <c r="AH25" s="72">
        <v>401091000</v>
      </c>
      <c r="AI25" s="72">
        <v>367228000</v>
      </c>
      <c r="AJ25" s="72">
        <v>0</v>
      </c>
      <c r="AK25" s="72">
        <v>0</v>
      </c>
      <c r="AL25" s="72">
        <v>11664812</v>
      </c>
      <c r="AO25" s="72">
        <v>84093475</v>
      </c>
      <c r="AP25" s="72">
        <v>90476000</v>
      </c>
      <c r="AQ25" s="72">
        <v>0</v>
      </c>
      <c r="AR25" s="72">
        <v>90092000</v>
      </c>
      <c r="AS25" s="72">
        <v>0</v>
      </c>
      <c r="AT25" s="72">
        <v>0</v>
      </c>
      <c r="AU25" s="72">
        <v>65223360</v>
      </c>
      <c r="AV25" s="72">
        <v>0</v>
      </c>
      <c r="AW25" s="72">
        <v>98667919</v>
      </c>
      <c r="AX25" s="72">
        <v>45978400</v>
      </c>
      <c r="AY25" s="72">
        <v>0</v>
      </c>
      <c r="AZ25" s="72">
        <v>0</v>
      </c>
      <c r="BA25" s="72">
        <v>1618966629</v>
      </c>
      <c r="BB25" s="72">
        <v>8179</v>
      </c>
      <c r="BC25" s="72">
        <v>1599785</v>
      </c>
      <c r="BD25" s="72">
        <f>83145+693930</f>
        <v>777075</v>
      </c>
      <c r="BE25" s="73">
        <v>2.6679999999999999E-2</v>
      </c>
      <c r="BF25" s="73">
        <f t="shared" ref="BF25:BF26" si="26">ROUND(BG25/BH25-BE25,5)</f>
        <v>1.6299999999999999E-3</v>
      </c>
      <c r="BG25" s="72">
        <f t="shared" si="25"/>
        <v>44392925</v>
      </c>
      <c r="BH25" s="74">
        <f t="shared" si="19"/>
        <v>1567929086</v>
      </c>
      <c r="BI25" s="69"/>
      <c r="BJ25" s="72"/>
      <c r="BK25" s="71">
        <f t="shared" si="20"/>
        <v>36636422</v>
      </c>
      <c r="BL25" s="69">
        <f t="shared" si="21"/>
        <v>9623900</v>
      </c>
      <c r="BM25" s="69">
        <f t="shared" si="12"/>
        <v>2334873</v>
      </c>
      <c r="BN25" s="75">
        <f>ROUND((ROUND((BA25-AY25-BD25)*BF23,0)-ROUND((BH23-(SUM(AU23:AX23)+AY23+SUM(BB23:BC23)))*IF(BI23="",BF23,BI23),0))*ROUND(BH25/(BH25-SUM(AU25:AX25,AY25,BB25:BC25)),8),0)</f>
        <v>-467476</v>
      </c>
      <c r="BO25" s="76">
        <v>0</v>
      </c>
      <c r="BP25" s="76">
        <v>112</v>
      </c>
      <c r="BQ25" s="76">
        <v>0</v>
      </c>
      <c r="BT25" s="73">
        <f t="shared" si="22"/>
        <v>2.8309999999999998E-2</v>
      </c>
      <c r="BU25" s="72">
        <f t="shared" si="23"/>
        <v>45832945</v>
      </c>
    </row>
    <row r="26" spans="1:75">
      <c r="A26" s="68">
        <v>40817</v>
      </c>
      <c r="B26" s="69">
        <v>36669491.369999997</v>
      </c>
      <c r="C26" s="69">
        <v>8504675.3200000003</v>
      </c>
      <c r="D26" s="69">
        <v>2154149.21</v>
      </c>
      <c r="E26" s="69">
        <v>427808.68</v>
      </c>
      <c r="F26" s="69">
        <v>0</v>
      </c>
      <c r="G26" s="69">
        <v>16163.42</v>
      </c>
      <c r="H26" s="69">
        <v>4094.03</v>
      </c>
      <c r="I26" s="69">
        <v>0</v>
      </c>
      <c r="J26" s="69">
        <v>822534.95</v>
      </c>
      <c r="K26" s="69">
        <v>3500261.26</v>
      </c>
      <c r="L26" s="69">
        <v>2520519.7000000002</v>
      </c>
      <c r="M26" s="70">
        <v>4728.67</v>
      </c>
      <c r="N26" s="71">
        <f t="shared" si="18"/>
        <v>0</v>
      </c>
      <c r="O26" s="78">
        <v>7264487.5599999996</v>
      </c>
      <c r="P26" s="69">
        <v>6301153.3099999996</v>
      </c>
      <c r="Q26" s="69">
        <v>324370.84999999998</v>
      </c>
      <c r="R26" s="69">
        <v>768.59</v>
      </c>
      <c r="S26" s="69">
        <v>0</v>
      </c>
      <c r="T26" s="69">
        <v>0</v>
      </c>
      <c r="U26" s="72">
        <v>0</v>
      </c>
      <c r="V26" s="69">
        <v>4820149.8099999996</v>
      </c>
      <c r="W26" s="69">
        <v>55056.31</v>
      </c>
      <c r="X26" s="69">
        <v>0</v>
      </c>
      <c r="Y26" s="69">
        <v>3963562.69</v>
      </c>
      <c r="Z26" s="72">
        <v>0</v>
      </c>
      <c r="AA26" s="72">
        <v>0</v>
      </c>
      <c r="AB26" s="72">
        <v>0</v>
      </c>
      <c r="AC26" s="72">
        <v>0</v>
      </c>
      <c r="AD26" s="72">
        <v>1591541000</v>
      </c>
      <c r="AE26" s="72">
        <v>430745000</v>
      </c>
      <c r="AF26" s="72">
        <v>52706000</v>
      </c>
      <c r="AG26" s="72">
        <v>56041000</v>
      </c>
      <c r="AH26" s="72">
        <v>317943000</v>
      </c>
      <c r="AI26" s="72">
        <v>298394000</v>
      </c>
      <c r="AJ26" s="72">
        <v>34000</v>
      </c>
      <c r="AK26" s="72">
        <v>0</v>
      </c>
      <c r="AL26" s="72">
        <v>40067000</v>
      </c>
      <c r="AO26" s="72">
        <v>88512698</v>
      </c>
      <c r="AP26" s="72">
        <v>189684000</v>
      </c>
      <c r="AQ26" s="72">
        <v>2102000</v>
      </c>
      <c r="AR26" s="72">
        <v>158275000</v>
      </c>
      <c r="AS26" s="72">
        <v>0</v>
      </c>
      <c r="AT26" s="72">
        <v>0</v>
      </c>
      <c r="AU26" s="72">
        <v>74157862</v>
      </c>
      <c r="AV26" s="72">
        <v>0</v>
      </c>
      <c r="AW26" s="72">
        <v>94245568</v>
      </c>
      <c r="AX26" s="72">
        <v>43858000</v>
      </c>
      <c r="AY26" s="72">
        <v>0</v>
      </c>
      <c r="AZ26" s="72">
        <v>0</v>
      </c>
      <c r="BA26" s="72">
        <v>1459659884</v>
      </c>
      <c r="BB26" s="72">
        <v>4057</v>
      </c>
      <c r="BC26" s="72">
        <v>1392931</v>
      </c>
      <c r="BD26" s="72">
        <v>0</v>
      </c>
      <c r="BE26" s="73">
        <v>2.6679999999999999E-2</v>
      </c>
      <c r="BF26" s="73">
        <f t="shared" si="26"/>
        <v>-2.0999999999999999E-3</v>
      </c>
      <c r="BG26" s="72">
        <f t="shared" si="25"/>
        <v>38886441</v>
      </c>
      <c r="BH26" s="74">
        <f t="shared" si="19"/>
        <v>1581918011</v>
      </c>
      <c r="BI26" s="69"/>
      <c r="BJ26" s="72"/>
      <c r="BK26" s="71">
        <f t="shared" si="20"/>
        <v>35747106</v>
      </c>
      <c r="BL26" s="69">
        <f t="shared" si="21"/>
        <v>7264488</v>
      </c>
      <c r="BM26" s="69">
        <f t="shared" si="12"/>
        <v>4828165</v>
      </c>
      <c r="BN26" s="75">
        <f t="shared" ref="BN26:BN31" si="27">ROUND((ROUND((BA26-AY26-BD26)*BF24,0)-ROUND((BH24-(SUM(AU24:AX24)+AY24+SUM(BB24:BC24)))*IF(BI24="",BF24,BI24),0))*ROUND(BH26/(BH26-SUM(AU26:AX26,AY26,BB26:BC26)),8),0)</f>
        <v>-703012</v>
      </c>
      <c r="BO26" s="76">
        <v>319</v>
      </c>
      <c r="BP26" s="76">
        <v>0</v>
      </c>
      <c r="BQ26" s="76">
        <v>0</v>
      </c>
      <c r="BT26" s="73">
        <f t="shared" si="22"/>
        <v>2.4579999999999998E-2</v>
      </c>
      <c r="BU26" s="72">
        <f t="shared" si="23"/>
        <v>35878440</v>
      </c>
    </row>
    <row r="27" spans="1:75">
      <c r="A27" s="68">
        <v>40848</v>
      </c>
      <c r="B27" s="69">
        <v>37659632.009999998</v>
      </c>
      <c r="C27" s="69">
        <v>7217684.6799999997</v>
      </c>
      <c r="D27" s="69">
        <v>1849170.82</v>
      </c>
      <c r="E27" s="69">
        <v>1089848.8899999999</v>
      </c>
      <c r="F27" s="69">
        <v>38750.04</v>
      </c>
      <c r="G27" s="69">
        <v>356289.49</v>
      </c>
      <c r="H27" s="69">
        <v>91281.37</v>
      </c>
      <c r="I27" s="69">
        <v>0</v>
      </c>
      <c r="J27" s="69">
        <v>1444103.49</v>
      </c>
      <c r="K27" s="69">
        <v>1181520</v>
      </c>
      <c r="L27" s="69">
        <v>723967</v>
      </c>
      <c r="M27" s="70">
        <v>35547</v>
      </c>
      <c r="N27" s="71">
        <f t="shared" si="18"/>
        <v>0</v>
      </c>
      <c r="O27" s="69">
        <v>6037926.8200000003</v>
      </c>
      <c r="P27" s="69">
        <v>5211601.87</v>
      </c>
      <c r="Q27" s="69">
        <v>198150.71</v>
      </c>
      <c r="R27" s="69">
        <v>0</v>
      </c>
      <c r="S27" s="69">
        <v>0</v>
      </c>
      <c r="T27" s="69">
        <v>0</v>
      </c>
      <c r="U27" s="72">
        <v>0</v>
      </c>
      <c r="V27" s="69">
        <v>1946386.18</v>
      </c>
      <c r="W27" s="69">
        <v>0</v>
      </c>
      <c r="X27" s="69">
        <v>0</v>
      </c>
      <c r="Y27" s="69">
        <v>1863831.27</v>
      </c>
      <c r="Z27" s="72">
        <v>0</v>
      </c>
      <c r="AA27" s="72">
        <v>0</v>
      </c>
      <c r="AB27" s="72">
        <v>0</v>
      </c>
      <c r="AC27" s="72">
        <v>0</v>
      </c>
      <c r="AD27" s="72">
        <v>1550793000</v>
      </c>
      <c r="AE27" s="72">
        <v>354310000</v>
      </c>
      <c r="AF27" s="72">
        <v>43836000</v>
      </c>
      <c r="AG27" s="72">
        <v>46638000</v>
      </c>
      <c r="AH27" s="72">
        <v>263803000</v>
      </c>
      <c r="AI27" s="72">
        <v>240256000</v>
      </c>
      <c r="AJ27" s="72">
        <v>0</v>
      </c>
      <c r="AK27" s="72">
        <v>0</v>
      </c>
      <c r="AL27" s="72">
        <v>39254000</v>
      </c>
      <c r="AO27" s="72">
        <v>43022204</v>
      </c>
      <c r="AP27" s="72">
        <v>74239000</v>
      </c>
      <c r="AQ27" s="72">
        <v>0</v>
      </c>
      <c r="AR27" s="72">
        <v>71349000</v>
      </c>
      <c r="AS27" s="72">
        <v>0</v>
      </c>
      <c r="AT27" s="72">
        <v>0</v>
      </c>
      <c r="AU27" s="72">
        <v>84616670</v>
      </c>
      <c r="AV27" s="72">
        <v>0</v>
      </c>
      <c r="AW27" s="72">
        <v>95731032</v>
      </c>
      <c r="AX27" s="72">
        <v>43301600</v>
      </c>
      <c r="AY27" s="72">
        <v>0</v>
      </c>
      <c r="AZ27" s="72">
        <v>0</v>
      </c>
      <c r="BA27" s="72">
        <v>1256720738</v>
      </c>
      <c r="BB27" s="72">
        <v>8086</v>
      </c>
      <c r="BC27" s="72">
        <v>1473670</v>
      </c>
      <c r="BD27" s="72">
        <v>0</v>
      </c>
      <c r="BE27" s="73">
        <v>2.6679999999999999E-2</v>
      </c>
      <c r="BF27" s="73">
        <f t="shared" ref="BF27" si="28">ROUND(BG27/BH27-BE27,5)</f>
        <v>-5.5999999999999995E-4</v>
      </c>
      <c r="BG27" s="72">
        <f t="shared" si="25"/>
        <v>42558264</v>
      </c>
      <c r="BH27" s="74">
        <f t="shared" si="19"/>
        <v>1629615195</v>
      </c>
      <c r="BI27" s="69"/>
      <c r="BJ27" s="72"/>
      <c r="BK27" s="71">
        <f t="shared" si="20"/>
        <v>38278930</v>
      </c>
      <c r="BL27" s="69">
        <f t="shared" si="21"/>
        <v>6037927</v>
      </c>
      <c r="BM27" s="69">
        <f t="shared" si="12"/>
        <v>1947212</v>
      </c>
      <c r="BN27" s="75">
        <f t="shared" si="27"/>
        <v>-188619</v>
      </c>
      <c r="BO27" s="76">
        <v>450</v>
      </c>
      <c r="BP27" s="76">
        <v>0</v>
      </c>
      <c r="BQ27" s="76">
        <v>0</v>
      </c>
      <c r="BT27" s="73">
        <f t="shared" si="22"/>
        <v>2.6119999999999997E-2</v>
      </c>
      <c r="BU27" s="72">
        <f t="shared" si="23"/>
        <v>32825546</v>
      </c>
    </row>
    <row r="28" spans="1:75">
      <c r="A28" s="68">
        <v>40878</v>
      </c>
      <c r="B28" s="69">
        <v>41504273.560000002</v>
      </c>
      <c r="C28" s="69">
        <v>7234927.4000000004</v>
      </c>
      <c r="D28" s="69">
        <v>1839842.03</v>
      </c>
      <c r="E28" s="69">
        <v>676687.68</v>
      </c>
      <c r="F28" s="69">
        <v>0</v>
      </c>
      <c r="G28" s="69">
        <v>261538.53</v>
      </c>
      <c r="H28" s="69">
        <v>66509.25</v>
      </c>
      <c r="I28" s="69">
        <v>0</v>
      </c>
      <c r="J28" s="69">
        <v>859400.23</v>
      </c>
      <c r="K28" s="69">
        <v>185719</v>
      </c>
      <c r="L28" s="69">
        <v>127403</v>
      </c>
      <c r="M28" s="70">
        <v>1910</v>
      </c>
      <c r="N28" s="71">
        <f t="shared" si="18"/>
        <v>0</v>
      </c>
      <c r="O28" s="69">
        <v>10289051.9</v>
      </c>
      <c r="P28" s="69">
        <v>9222194.8699999992</v>
      </c>
      <c r="Q28" s="69">
        <v>323317.86</v>
      </c>
      <c r="R28" s="69">
        <v>0</v>
      </c>
      <c r="S28" s="69">
        <v>0</v>
      </c>
      <c r="T28" s="69">
        <v>0</v>
      </c>
      <c r="U28" s="72">
        <v>0</v>
      </c>
      <c r="V28" s="69">
        <v>3197008.82</v>
      </c>
      <c r="W28" s="69">
        <v>0</v>
      </c>
      <c r="X28" s="69">
        <v>0</v>
      </c>
      <c r="Y28" s="69">
        <v>3179160.19</v>
      </c>
      <c r="Z28" s="72">
        <v>0</v>
      </c>
      <c r="AA28" s="72">
        <v>0</v>
      </c>
      <c r="AB28" s="72">
        <v>0</v>
      </c>
      <c r="AC28" s="72">
        <v>0</v>
      </c>
      <c r="AD28" s="72">
        <v>1639922000</v>
      </c>
      <c r="AE28" s="72">
        <v>343948000</v>
      </c>
      <c r="AF28" s="72">
        <v>42238000</v>
      </c>
      <c r="AG28" s="72">
        <v>44940000</v>
      </c>
      <c r="AH28" s="72">
        <v>451793000</v>
      </c>
      <c r="AI28" s="72">
        <v>425541000</v>
      </c>
      <c r="AJ28" s="72">
        <v>0</v>
      </c>
      <c r="AK28" s="72">
        <v>0</v>
      </c>
      <c r="AL28" s="72">
        <v>37953000</v>
      </c>
      <c r="AM28" s="72">
        <v>0</v>
      </c>
      <c r="AN28" s="72">
        <v>0</v>
      </c>
      <c r="AO28" s="72">
        <v>91401824</v>
      </c>
      <c r="AP28" s="72">
        <v>121525000</v>
      </c>
      <c r="AQ28" s="72">
        <v>0</v>
      </c>
      <c r="AR28" s="72">
        <v>120983000</v>
      </c>
      <c r="AS28" s="72">
        <v>0</v>
      </c>
      <c r="AT28" s="72">
        <v>0</v>
      </c>
      <c r="AU28" s="72">
        <v>100258274</v>
      </c>
      <c r="AV28" s="72">
        <v>0</v>
      </c>
      <c r="AW28" s="72">
        <v>110099062</v>
      </c>
      <c r="AX28" s="72">
        <v>46488800</v>
      </c>
      <c r="AY28" s="72">
        <v>0</v>
      </c>
      <c r="AZ28" s="72">
        <v>0</v>
      </c>
      <c r="BA28" s="72">
        <v>1478224470</v>
      </c>
      <c r="BB28" s="72">
        <v>13030</v>
      </c>
      <c r="BC28" s="72">
        <v>1896902</v>
      </c>
      <c r="BD28" s="72">
        <v>0</v>
      </c>
      <c r="BE28" s="73">
        <v>2.6679999999999999E-2</v>
      </c>
      <c r="BF28" s="73">
        <f t="shared" ref="BF28:BF29" si="29">ROUND(BG28/BH28-BE28,5)</f>
        <v>-3.3E-4</v>
      </c>
      <c r="BG28" s="72">
        <f t="shared" si="25"/>
        <v>48481842</v>
      </c>
      <c r="BH28" s="74">
        <f t="shared" ref="BH28" si="30">SUM(AD28,-AF28,-AG28,AH28,AL28,-AP28,-ROUND(SUM(AD28,-AF28,-AG28,AH28,AL28)*ROUND(SUM(AO17:AO28)/(SUM(AD17:AD28,AH17:AH28,AL17:AL28)-SUM(AF17:AG28)),8),0))</f>
        <v>1840157989</v>
      </c>
      <c r="BI28" s="69"/>
      <c r="BJ28" s="72"/>
      <c r="BK28" s="71">
        <f t="shared" si="20"/>
        <v>41121266</v>
      </c>
      <c r="BL28" s="69">
        <f t="shared" si="21"/>
        <v>10289052</v>
      </c>
      <c r="BM28" s="69">
        <f t="shared" si="12"/>
        <v>3197187</v>
      </c>
      <c r="BN28" s="75">
        <f t="shared" si="27"/>
        <v>-268711</v>
      </c>
      <c r="BO28" s="76">
        <v>746</v>
      </c>
      <c r="BP28" s="76">
        <v>0</v>
      </c>
      <c r="BQ28" s="76">
        <v>0</v>
      </c>
      <c r="BT28" s="73">
        <f t="shared" ref="BT28" si="31">BE28+BF28</f>
        <v>2.6349999999999998E-2</v>
      </c>
      <c r="BU28" s="72">
        <f t="shared" ref="BU28" si="32">ROUND(BA28*BT28,0)</f>
        <v>38951215</v>
      </c>
    </row>
    <row r="29" spans="1:75">
      <c r="A29" s="68">
        <v>40909</v>
      </c>
      <c r="B29" s="69">
        <v>45229342.840000004</v>
      </c>
      <c r="C29" s="69">
        <v>7509149.9500000002</v>
      </c>
      <c r="D29" s="69">
        <v>1909727.01</v>
      </c>
      <c r="E29" s="69">
        <v>718058.01</v>
      </c>
      <c r="F29" s="69">
        <v>395.91</v>
      </c>
      <c r="G29" s="69">
        <v>335939.1</v>
      </c>
      <c r="H29" s="69">
        <v>85436.02</v>
      </c>
      <c r="I29" s="69">
        <v>0</v>
      </c>
      <c r="J29" s="69">
        <v>1483806.61</v>
      </c>
      <c r="K29" s="69">
        <v>1243427</v>
      </c>
      <c r="L29" s="69">
        <v>1496970</v>
      </c>
      <c r="M29" s="70">
        <v>2714</v>
      </c>
      <c r="N29" s="71">
        <f t="shared" si="18"/>
        <v>-256257</v>
      </c>
      <c r="O29" s="69">
        <v>10292875.109999999</v>
      </c>
      <c r="P29" s="69">
        <v>9405230.5199999996</v>
      </c>
      <c r="Q29" s="69">
        <v>265583.90999999997</v>
      </c>
      <c r="R29" s="69">
        <v>0</v>
      </c>
      <c r="S29" s="69">
        <v>0</v>
      </c>
      <c r="T29" s="69">
        <v>0</v>
      </c>
      <c r="U29" s="72">
        <v>0</v>
      </c>
      <c r="V29" s="69">
        <v>2500396.77</v>
      </c>
      <c r="W29" s="69">
        <v>1278.1300000000001</v>
      </c>
      <c r="X29" s="69">
        <v>0</v>
      </c>
      <c r="Y29" s="69">
        <v>2491593.56</v>
      </c>
      <c r="Z29" s="72">
        <v>0</v>
      </c>
      <c r="AA29" s="72">
        <v>0</v>
      </c>
      <c r="AB29" s="72">
        <v>0</v>
      </c>
      <c r="AC29" s="72">
        <v>0</v>
      </c>
      <c r="AD29" s="72">
        <v>1773116000</v>
      </c>
      <c r="AE29" s="72">
        <v>355330000</v>
      </c>
      <c r="AF29" s="72">
        <v>43659000</v>
      </c>
      <c r="AG29" s="72">
        <v>46411000</v>
      </c>
      <c r="AH29" s="72">
        <v>457987626</v>
      </c>
      <c r="AI29" s="72">
        <v>436448000</v>
      </c>
      <c r="AJ29" s="72">
        <v>0</v>
      </c>
      <c r="AK29" s="72">
        <v>0</v>
      </c>
      <c r="AL29" s="72">
        <v>39101374</v>
      </c>
      <c r="AM29" s="72">
        <v>0</v>
      </c>
      <c r="AN29" s="72">
        <v>0</v>
      </c>
      <c r="AO29" s="72">
        <v>112395719</v>
      </c>
      <c r="AP29" s="72">
        <v>94181000</v>
      </c>
      <c r="AQ29" s="72">
        <v>44000</v>
      </c>
      <c r="AR29" s="72">
        <v>93872000</v>
      </c>
      <c r="AS29" s="72">
        <v>0</v>
      </c>
      <c r="AT29" s="72">
        <v>0</v>
      </c>
      <c r="AU29" s="72">
        <v>112765196</v>
      </c>
      <c r="AV29" s="72">
        <v>0</v>
      </c>
      <c r="AW29" s="72">
        <v>117651870</v>
      </c>
      <c r="AX29" s="72">
        <v>49277600</v>
      </c>
      <c r="BA29" s="72">
        <v>1612798139</v>
      </c>
      <c r="BB29" s="72">
        <v>16720</v>
      </c>
      <c r="BC29" s="72">
        <v>2386756</v>
      </c>
      <c r="BD29" s="72">
        <v>0</v>
      </c>
      <c r="BE29" s="73">
        <v>2.6679999999999999E-2</v>
      </c>
      <c r="BF29" s="73">
        <f t="shared" si="29"/>
        <v>-1E-4</v>
      </c>
      <c r="BG29" s="72">
        <f t="shared" si="25"/>
        <v>53095092</v>
      </c>
      <c r="BH29" s="74">
        <f t="shared" ref="BH29" si="33">SUM(AD29,-AF29,-AG29,AH29,AL29,-AP29,-ROUND(SUM(AD29,-AF29,-AG29,AH29,AL29)*ROUND(SUM(AO18:AO29)/(SUM(AD18:AD29,AH18:AH29,AL18:AL29)-SUM(AF18:AG29)),8),0))</f>
        <v>1997349084</v>
      </c>
      <c r="BI29" s="69"/>
      <c r="BJ29" s="72"/>
      <c r="BK29" s="71">
        <f t="shared" si="20"/>
        <v>45166847</v>
      </c>
      <c r="BL29" s="69">
        <f t="shared" si="21"/>
        <v>10292875</v>
      </c>
      <c r="BM29" s="69">
        <f t="shared" si="12"/>
        <v>2500472</v>
      </c>
      <c r="BN29" s="75">
        <f t="shared" si="27"/>
        <v>-135842</v>
      </c>
      <c r="BO29" s="76">
        <v>851</v>
      </c>
      <c r="BP29" s="76">
        <v>0</v>
      </c>
      <c r="BQ29" s="76">
        <v>0</v>
      </c>
      <c r="BT29" s="73">
        <f t="shared" ref="BT29" si="34">BE29+BF29</f>
        <v>2.6579999999999999E-2</v>
      </c>
      <c r="BU29" s="72">
        <f t="shared" ref="BU29" si="35">ROUND(BA29*BT29,0)</f>
        <v>42868175</v>
      </c>
    </row>
    <row r="30" spans="1:75">
      <c r="A30" s="68">
        <v>40940</v>
      </c>
      <c r="B30" s="69">
        <v>42266807.130000003</v>
      </c>
      <c r="C30" s="69">
        <v>8311028.5999999996</v>
      </c>
      <c r="D30" s="69">
        <v>2102939.5699999998</v>
      </c>
      <c r="E30" s="69">
        <v>452395.25</v>
      </c>
      <c r="F30" s="69">
        <v>226.09</v>
      </c>
      <c r="G30" s="69">
        <v>132858.54</v>
      </c>
      <c r="H30" s="69">
        <v>33617.19</v>
      </c>
      <c r="I30" s="69">
        <v>0</v>
      </c>
      <c r="J30" s="69">
        <v>1372797.06</v>
      </c>
      <c r="K30" s="69">
        <v>423959</v>
      </c>
      <c r="L30" s="69">
        <v>410960</v>
      </c>
      <c r="M30" s="70">
        <v>445</v>
      </c>
      <c r="N30" s="71">
        <f t="shared" si="18"/>
        <v>0</v>
      </c>
      <c r="O30" s="69">
        <v>7217597.7400000002</v>
      </c>
      <c r="P30" s="69">
        <v>6394049.9800000004</v>
      </c>
      <c r="Q30" s="69">
        <v>50906.81</v>
      </c>
      <c r="R30" s="69">
        <v>0</v>
      </c>
      <c r="S30" s="69">
        <v>0</v>
      </c>
      <c r="T30" s="69">
        <v>0</v>
      </c>
      <c r="U30" s="72">
        <v>0</v>
      </c>
      <c r="V30" s="69">
        <v>391331.14</v>
      </c>
      <c r="W30" s="69">
        <v>1559.41</v>
      </c>
      <c r="X30" s="69">
        <v>0</v>
      </c>
      <c r="Y30" s="69">
        <v>386945.35</v>
      </c>
      <c r="Z30" s="72">
        <v>0</v>
      </c>
      <c r="AA30" s="72">
        <v>0</v>
      </c>
      <c r="AB30" s="72">
        <v>0</v>
      </c>
      <c r="AC30" s="72">
        <v>0</v>
      </c>
      <c r="AD30" s="72">
        <v>1629864000</v>
      </c>
      <c r="AE30" s="72">
        <v>392742000</v>
      </c>
      <c r="AF30" s="72">
        <v>47998000</v>
      </c>
      <c r="AG30" s="72">
        <v>51049000</v>
      </c>
      <c r="AH30" s="72">
        <v>317339712</v>
      </c>
      <c r="AI30" s="72">
        <v>290185000</v>
      </c>
      <c r="AJ30" s="72">
        <v>0</v>
      </c>
      <c r="AK30" s="72">
        <v>0</v>
      </c>
      <c r="AL30" s="72">
        <v>36756662</v>
      </c>
      <c r="AM30" s="72">
        <v>0</v>
      </c>
      <c r="AN30" s="72">
        <v>0</v>
      </c>
      <c r="AO30" s="72">
        <v>87863494</v>
      </c>
      <c r="AP30" s="72">
        <v>13194000</v>
      </c>
      <c r="AQ30" s="72">
        <v>56000</v>
      </c>
      <c r="AR30" s="72">
        <v>13054000</v>
      </c>
      <c r="AS30" s="72">
        <v>0</v>
      </c>
      <c r="AT30" s="72">
        <v>0</v>
      </c>
      <c r="AU30" s="72">
        <v>95771474</v>
      </c>
      <c r="AV30" s="72">
        <v>0</v>
      </c>
      <c r="AW30" s="72">
        <v>105906051</v>
      </c>
      <c r="AX30" s="72">
        <v>45377600</v>
      </c>
      <c r="AY30" s="72">
        <v>0</v>
      </c>
      <c r="AZ30" s="72">
        <v>0</v>
      </c>
      <c r="BA30" s="72">
        <v>1703648389</v>
      </c>
      <c r="BB30" s="72">
        <v>12519</v>
      </c>
      <c r="BC30" s="72">
        <v>2103473</v>
      </c>
      <c r="BD30" s="72">
        <v>0</v>
      </c>
      <c r="BE30" s="73">
        <v>2.6679999999999999E-2</v>
      </c>
      <c r="BF30" s="73">
        <f t="shared" ref="BF30" si="36">ROUND(BG30/BH30-BE30,5)</f>
        <v>5.2999999999999998E-4</v>
      </c>
      <c r="BG30" s="72">
        <f t="shared" ref="BG30" si="37">BK30+BL30-BM30-BN30-AC30</f>
        <v>48814487</v>
      </c>
      <c r="BH30" s="74">
        <f t="shared" ref="BH30" si="38">SUM(AD30,-AF30,-AG30,AH30,AL30,-AP30,-ROUND(SUM(AD30,-AF30,-AG30,AH30,AL30)*ROUND(SUM(AO19:AO30)/(SUM(AD19:AD30,AH19:AH30,AL19:AL30)-SUM(AF19:AG30)),8),0))</f>
        <v>1793717493</v>
      </c>
      <c r="BI30" s="69"/>
      <c r="BJ30" s="72"/>
      <c r="BK30" s="71">
        <f t="shared" si="20"/>
        <v>41941398</v>
      </c>
      <c r="BL30" s="69">
        <f t="shared" si="21"/>
        <v>7217598</v>
      </c>
      <c r="BM30" s="69">
        <f t="shared" si="12"/>
        <v>391358</v>
      </c>
      <c r="BN30" s="75">
        <f t="shared" si="27"/>
        <v>-46849</v>
      </c>
      <c r="BO30" s="72">
        <v>718</v>
      </c>
      <c r="BP30" s="76">
        <v>0</v>
      </c>
      <c r="BQ30" s="76">
        <v>0</v>
      </c>
    </row>
    <row r="31" spans="1:75">
      <c r="A31" s="68">
        <v>40969</v>
      </c>
      <c r="B31" s="69">
        <v>35378172.060000002</v>
      </c>
      <c r="C31" s="69">
        <v>6351513.0599999996</v>
      </c>
      <c r="D31" s="69">
        <v>1614935.72</v>
      </c>
      <c r="E31" s="69">
        <v>552759.41</v>
      </c>
      <c r="F31" s="69">
        <v>0.23</v>
      </c>
      <c r="G31" s="69">
        <v>96367.44</v>
      </c>
      <c r="H31" s="69">
        <v>24502.38</v>
      </c>
      <c r="I31" s="69">
        <v>0</v>
      </c>
      <c r="J31" s="69">
        <v>2008792.83</v>
      </c>
      <c r="K31" s="69">
        <v>2217827</v>
      </c>
      <c r="L31" s="69">
        <v>2021134</v>
      </c>
      <c r="M31" s="70">
        <v>85929</v>
      </c>
      <c r="N31" s="71">
        <f t="shared" si="18"/>
        <v>0</v>
      </c>
      <c r="O31" s="69">
        <v>8466831.3200000003</v>
      </c>
      <c r="P31" s="69">
        <v>7341090.2300000004</v>
      </c>
      <c r="Q31" s="69">
        <v>63959.92</v>
      </c>
      <c r="R31" s="69">
        <v>0</v>
      </c>
      <c r="S31" s="69">
        <v>0</v>
      </c>
      <c r="T31" s="69">
        <v>0</v>
      </c>
      <c r="U31" s="72">
        <v>0</v>
      </c>
      <c r="V31" s="69">
        <v>534339.06000000006</v>
      </c>
      <c r="W31" s="69">
        <v>9084.39</v>
      </c>
      <c r="X31" s="69">
        <v>0</v>
      </c>
      <c r="Y31" s="69">
        <v>521486.23</v>
      </c>
      <c r="Z31" s="72">
        <v>0</v>
      </c>
      <c r="AA31" s="72">
        <v>0</v>
      </c>
      <c r="AB31" s="72">
        <v>0</v>
      </c>
      <c r="AC31" s="72">
        <v>0</v>
      </c>
      <c r="AD31" s="72">
        <v>1394476000</v>
      </c>
      <c r="AE31" s="72">
        <v>292561000</v>
      </c>
      <c r="AF31" s="72">
        <v>35951000</v>
      </c>
      <c r="AG31" s="72">
        <v>38190000</v>
      </c>
      <c r="AH31" s="72">
        <v>357908863</v>
      </c>
      <c r="AI31" s="72">
        <v>317379000</v>
      </c>
      <c r="AJ31" s="72">
        <v>0</v>
      </c>
      <c r="AK31" s="72">
        <v>0</v>
      </c>
      <c r="AL31" s="72">
        <v>37268137</v>
      </c>
      <c r="AM31" s="72">
        <v>0</v>
      </c>
      <c r="AN31" s="72">
        <v>0</v>
      </c>
      <c r="AO31" s="72">
        <v>93309488</v>
      </c>
      <c r="AP31" s="72">
        <v>17485000</v>
      </c>
      <c r="AQ31" s="72">
        <v>267000</v>
      </c>
      <c r="AR31" s="72">
        <v>17109000</v>
      </c>
      <c r="AS31" s="72">
        <v>0</v>
      </c>
      <c r="AT31" s="72">
        <v>0</v>
      </c>
      <c r="AU31" s="72">
        <v>73910862</v>
      </c>
      <c r="AV31" s="72">
        <v>0</v>
      </c>
      <c r="AW31" s="72">
        <v>97026794</v>
      </c>
      <c r="AX31" s="72">
        <v>45254400</v>
      </c>
      <c r="AY31" s="72">
        <v>0</v>
      </c>
      <c r="AZ31" s="72">
        <v>0</v>
      </c>
      <c r="BA31" s="72">
        <v>1471376467</v>
      </c>
      <c r="BB31" s="72">
        <v>7501</v>
      </c>
      <c r="BC31" s="72">
        <v>1812126</v>
      </c>
      <c r="BD31" s="72">
        <v>0</v>
      </c>
      <c r="BE31" s="73">
        <v>2.6679999999999999E-2</v>
      </c>
      <c r="BF31" s="73">
        <f t="shared" ref="BF31" si="39">ROUND(BG31/BH31-BE31,5)</f>
        <v>5.1000000000000004E-4</v>
      </c>
      <c r="BG31" s="72">
        <f t="shared" ref="BG31" si="40">BK31+BL31-BM31-BN31-AC31</f>
        <v>44193680</v>
      </c>
      <c r="BH31" s="74">
        <f t="shared" ref="BH31" si="41">SUM(AD31,-AF31,-AG31,AH31,AL31,-AP31,-ROUND(SUM(AD31,-AF31,-AG31,AH31,AL31)*ROUND(SUM(AO20:AO31)/(SUM(AD20:AD31,AH20:AH31,AL20:AL31)-SUM(AF20:AG31)),8),0))</f>
        <v>1625540682</v>
      </c>
      <c r="BI31" s="69"/>
      <c r="BJ31" s="72"/>
      <c r="BK31" s="71">
        <f t="shared" si="20"/>
        <v>36289389</v>
      </c>
      <c r="BL31" s="69">
        <f t="shared" si="21"/>
        <v>8466831</v>
      </c>
      <c r="BM31" s="69">
        <f t="shared" si="12"/>
        <v>534376</v>
      </c>
      <c r="BN31" s="75">
        <f t="shared" si="27"/>
        <v>28164</v>
      </c>
      <c r="BO31" s="72">
        <v>298</v>
      </c>
      <c r="BP31" s="76">
        <v>34</v>
      </c>
      <c r="BQ31" s="76">
        <v>0</v>
      </c>
    </row>
    <row r="32" spans="1:75">
      <c r="A32" s="68">
        <v>41000</v>
      </c>
      <c r="M32" s="70"/>
      <c r="N32" s="71"/>
      <c r="U32" s="72">
        <v>0</v>
      </c>
      <c r="Z32" s="72"/>
      <c r="AA32" s="72"/>
      <c r="AB32" s="72"/>
      <c r="AC32" s="72"/>
      <c r="BA32" s="72">
        <v>1336068601</v>
      </c>
      <c r="BD32" s="72">
        <v>0</v>
      </c>
      <c r="BH32" s="74"/>
      <c r="BI32" s="69"/>
      <c r="BJ32" s="72"/>
      <c r="BK32" s="71"/>
      <c r="BL32" s="69"/>
      <c r="BM32" s="69"/>
      <c r="BN32" s="75"/>
      <c r="BO32" s="69"/>
    </row>
    <row r="33" spans="1:67">
      <c r="A33" s="68"/>
      <c r="M33" s="70"/>
      <c r="N33" s="71"/>
      <c r="U33" s="72"/>
      <c r="Z33" s="72"/>
      <c r="AA33" s="72"/>
      <c r="AB33" s="72"/>
      <c r="AC33" s="72"/>
      <c r="BH33" s="74"/>
      <c r="BI33" s="69"/>
      <c r="BJ33" s="72"/>
      <c r="BK33" s="71"/>
      <c r="BL33" s="69"/>
      <c r="BM33" s="69"/>
      <c r="BN33" s="75"/>
      <c r="BO33" s="69"/>
    </row>
    <row r="34" spans="1:67">
      <c r="A34" s="68"/>
      <c r="M34" s="70"/>
      <c r="N34" s="71"/>
      <c r="O34" s="69">
        <f>O23</f>
        <v>6672928.0300000003</v>
      </c>
      <c r="P34" s="69">
        <f>SUM(P23:R23,U23)</f>
        <v>4228895.2200000007</v>
      </c>
      <c r="Q34" s="69">
        <f>O34-P34</f>
        <v>2444032.8099999996</v>
      </c>
      <c r="U34" s="72"/>
      <c r="Z34" s="72"/>
      <c r="AA34" s="72"/>
      <c r="AB34" s="72"/>
      <c r="AC34" s="72"/>
      <c r="BH34" s="74"/>
      <c r="BI34" s="69"/>
      <c r="BJ34" s="72"/>
      <c r="BK34" s="71"/>
      <c r="BL34" s="69"/>
      <c r="BM34" s="69"/>
      <c r="BN34" s="75"/>
      <c r="BO34" s="69"/>
    </row>
    <row r="35" spans="1:67">
      <c r="A35" s="68"/>
      <c r="M35" s="70"/>
      <c r="N35" s="71"/>
      <c r="U35" s="72"/>
      <c r="Z35" s="72"/>
      <c r="AA35" s="72"/>
      <c r="AB35" s="72"/>
      <c r="AC35" s="72"/>
      <c r="BH35" s="74"/>
      <c r="BI35" s="69"/>
      <c r="BJ35" s="72"/>
      <c r="BK35" s="71"/>
      <c r="BL35" s="69"/>
      <c r="BM35" s="69"/>
      <c r="BN35" s="75"/>
      <c r="BO35" s="69"/>
    </row>
    <row r="36" spans="1:67">
      <c r="A36" s="68"/>
      <c r="M36" s="70"/>
      <c r="N36" s="71"/>
      <c r="U36" s="72"/>
      <c r="Z36" s="72"/>
      <c r="AA36" s="72"/>
      <c r="AB36" s="72"/>
      <c r="AC36" s="72"/>
      <c r="BH36" s="74"/>
      <c r="BI36" s="69"/>
      <c r="BJ36" s="72"/>
      <c r="BK36" s="71"/>
      <c r="BL36" s="69"/>
      <c r="BM36" s="69"/>
      <c r="BN36" s="75"/>
      <c r="BO36" s="69"/>
    </row>
    <row r="37" spans="1:67">
      <c r="A37" s="68"/>
      <c r="M37" s="70"/>
      <c r="N37" s="71"/>
      <c r="U37" s="72"/>
      <c r="Z37" s="72"/>
      <c r="AA37" s="72"/>
      <c r="AB37" s="72"/>
      <c r="AC37" s="72"/>
      <c r="BH37" s="74"/>
      <c r="BI37" s="69"/>
      <c r="BJ37" s="72"/>
      <c r="BK37" s="71"/>
      <c r="BL37" s="69"/>
      <c r="BM37" s="69"/>
      <c r="BN37" s="75"/>
      <c r="BO37" s="69"/>
    </row>
    <row r="38" spans="1:67">
      <c r="A38" s="68"/>
      <c r="M38" s="70"/>
      <c r="N38" s="71"/>
      <c r="U38" s="72"/>
      <c r="Z38" s="72"/>
      <c r="AA38" s="72"/>
      <c r="AB38" s="72"/>
      <c r="AC38" s="72"/>
      <c r="BH38" s="74"/>
      <c r="BI38" s="69"/>
      <c r="BJ38" s="72"/>
      <c r="BK38" s="71"/>
      <c r="BL38" s="69"/>
      <c r="BM38" s="69"/>
      <c r="BN38" s="75"/>
      <c r="BO38" s="69"/>
    </row>
    <row r="39" spans="1:67">
      <c r="A39" s="68"/>
      <c r="M39" s="70"/>
      <c r="N39" s="71"/>
      <c r="U39" s="72"/>
      <c r="Z39" s="72"/>
      <c r="AA39" s="72"/>
      <c r="AB39" s="72"/>
      <c r="AC39" s="72"/>
      <c r="BH39" s="74"/>
      <c r="BI39" s="69"/>
      <c r="BJ39" s="72"/>
      <c r="BK39" s="71"/>
      <c r="BL39" s="69"/>
      <c r="BM39" s="69"/>
      <c r="BN39" s="75"/>
      <c r="BO39" s="69"/>
    </row>
    <row r="40" spans="1:67">
      <c r="A40" s="68"/>
      <c r="M40" s="70"/>
      <c r="N40" s="71"/>
      <c r="U40" s="72"/>
      <c r="Z40" s="72"/>
      <c r="AA40" s="72"/>
      <c r="AB40" s="72"/>
      <c r="AC40" s="72"/>
      <c r="BH40" s="74"/>
      <c r="BI40" s="69"/>
      <c r="BJ40" s="72"/>
      <c r="BK40" s="71"/>
      <c r="BL40" s="69"/>
      <c r="BM40" s="69"/>
      <c r="BN40" s="75"/>
      <c r="BO40" s="69"/>
    </row>
    <row r="41" spans="1:67">
      <c r="A41" s="68"/>
      <c r="M41" s="70"/>
      <c r="N41" s="71"/>
      <c r="U41" s="72"/>
      <c r="Z41" s="72"/>
      <c r="AA41" s="72"/>
      <c r="AB41" s="72"/>
      <c r="AC41" s="72"/>
      <c r="BH41" s="74"/>
      <c r="BI41" s="69"/>
      <c r="BJ41" s="72"/>
      <c r="BK41" s="71"/>
      <c r="BL41" s="69"/>
      <c r="BM41" s="69"/>
      <c r="BN41" s="75"/>
      <c r="BO41" s="69"/>
    </row>
    <row r="42" spans="1:67">
      <c r="A42" s="68"/>
      <c r="M42" s="70"/>
      <c r="N42" s="71"/>
      <c r="U42" s="72"/>
      <c r="Z42" s="72"/>
      <c r="AA42" s="72"/>
      <c r="AB42" s="72"/>
      <c r="AC42" s="72"/>
      <c r="BH42" s="74"/>
      <c r="BI42" s="69"/>
      <c r="BJ42" s="72"/>
      <c r="BK42" s="71"/>
      <c r="BL42" s="69"/>
      <c r="BM42" s="69"/>
      <c r="BN42" s="75"/>
      <c r="BO42" s="69"/>
    </row>
    <row r="43" spans="1:67">
      <c r="A43" s="68"/>
      <c r="M43" s="70"/>
      <c r="N43" s="71"/>
      <c r="U43" s="72"/>
      <c r="Z43" s="72"/>
      <c r="AA43" s="72"/>
      <c r="AB43" s="72"/>
      <c r="AC43" s="72"/>
      <c r="BH43" s="74"/>
      <c r="BI43" s="69"/>
      <c r="BJ43" s="72"/>
      <c r="BK43" s="71"/>
      <c r="BL43" s="69"/>
      <c r="BM43" s="69"/>
      <c r="BN43" s="75"/>
      <c r="BO43" s="69"/>
    </row>
    <row r="44" spans="1:67">
      <c r="A44" s="68"/>
      <c r="M44" s="70"/>
      <c r="N44" s="71"/>
      <c r="U44" s="72"/>
      <c r="Z44" s="72"/>
      <c r="AA44" s="72"/>
      <c r="AB44" s="72"/>
      <c r="AC44" s="72"/>
      <c r="BH44" s="74"/>
      <c r="BI44" s="69"/>
      <c r="BJ44" s="72"/>
      <c r="BK44" s="71"/>
      <c r="BL44" s="69"/>
      <c r="BM44" s="69"/>
      <c r="BN44" s="75"/>
      <c r="BO44" s="69"/>
    </row>
    <row r="45" spans="1:67">
      <c r="M45" s="70"/>
      <c r="N45" s="71"/>
    </row>
    <row r="46" spans="1:67">
      <c r="M46" s="70"/>
      <c r="N46" s="71"/>
    </row>
    <row r="47" spans="1:67">
      <c r="M47" s="70"/>
      <c r="N47" s="71"/>
    </row>
    <row r="48" spans="1:67">
      <c r="M48" s="70"/>
      <c r="N48" s="71"/>
    </row>
    <row r="49" spans="13:14">
      <c r="M49" s="70"/>
      <c r="N49" s="71"/>
    </row>
    <row r="50" spans="13:14">
      <c r="M50" s="70"/>
      <c r="N50" s="71"/>
    </row>
    <row r="51" spans="13:14">
      <c r="M51" s="70"/>
      <c r="N51" s="71"/>
    </row>
    <row r="52" spans="13:14">
      <c r="M52" s="70"/>
      <c r="N52" s="71"/>
    </row>
    <row r="53" spans="13:14">
      <c r="M53" s="70"/>
      <c r="N53" s="71"/>
    </row>
    <row r="54" spans="13:14">
      <c r="M54" s="70"/>
      <c r="N54" s="71"/>
    </row>
    <row r="55" spans="13:14">
      <c r="M55" s="70"/>
      <c r="N55" s="71"/>
    </row>
    <row r="56" spans="13:14">
      <c r="M56" s="70"/>
      <c r="N56" s="71"/>
    </row>
    <row r="57" spans="13:14">
      <c r="M57" s="70"/>
      <c r="N57" s="71"/>
    </row>
    <row r="58" spans="13:14">
      <c r="M58" s="70"/>
      <c r="N58" s="71"/>
    </row>
    <row r="59" spans="13:14">
      <c r="M59" s="70"/>
      <c r="N59" s="71"/>
    </row>
    <row r="60" spans="13:14">
      <c r="M60" s="70"/>
      <c r="N60" s="71"/>
    </row>
    <row r="61" spans="13:14">
      <c r="M61" s="70"/>
      <c r="N61" s="71"/>
    </row>
    <row r="62" spans="13:14">
      <c r="M62" s="70"/>
      <c r="N62" s="71"/>
    </row>
    <row r="63" spans="13:14">
      <c r="M63" s="70"/>
      <c r="N63" s="71"/>
    </row>
    <row r="64" spans="13:14">
      <c r="M64" s="70"/>
      <c r="N64" s="71"/>
    </row>
    <row r="65" spans="13:14">
      <c r="M65" s="70"/>
      <c r="N65" s="71"/>
    </row>
    <row r="66" spans="13:14">
      <c r="M66" s="70"/>
      <c r="N66" s="71"/>
    </row>
    <row r="67" spans="13:14">
      <c r="M67" s="70"/>
      <c r="N67" s="71"/>
    </row>
    <row r="68" spans="13:14">
      <c r="M68" s="70"/>
      <c r="N68" s="71"/>
    </row>
    <row r="69" spans="13:14">
      <c r="M69" s="70"/>
      <c r="N69" s="71"/>
    </row>
    <row r="70" spans="13:14">
      <c r="M70" s="70"/>
      <c r="N70" s="71"/>
    </row>
    <row r="71" spans="13:14">
      <c r="M71" s="70"/>
      <c r="N71" s="71"/>
    </row>
    <row r="72" spans="13:14">
      <c r="M72" s="70"/>
      <c r="N72" s="71"/>
    </row>
    <row r="73" spans="13:14">
      <c r="M73" s="70"/>
      <c r="N73" s="71"/>
    </row>
    <row r="74" spans="13:14">
      <c r="M74" s="70"/>
      <c r="N74" s="71"/>
    </row>
    <row r="75" spans="13:14">
      <c r="M75" s="70"/>
      <c r="N75" s="71"/>
    </row>
    <row r="76" spans="13:14">
      <c r="M76" s="70"/>
      <c r="N76" s="71"/>
    </row>
    <row r="77" spans="13:14">
      <c r="M77" s="70"/>
      <c r="N77" s="71"/>
    </row>
    <row r="78" spans="13:14">
      <c r="M78" s="70"/>
      <c r="N78" s="71"/>
    </row>
    <row r="79" spans="13:14">
      <c r="M79" s="70"/>
      <c r="N79" s="71"/>
    </row>
    <row r="80" spans="13:14">
      <c r="M80" s="70"/>
      <c r="N80" s="71"/>
    </row>
    <row r="81" spans="13:14">
      <c r="M81" s="70"/>
      <c r="N81" s="71"/>
    </row>
    <row r="82" spans="13:14">
      <c r="M82" s="70"/>
      <c r="N82" s="71"/>
    </row>
    <row r="83" spans="13:14">
      <c r="M83" s="70"/>
      <c r="N83" s="71"/>
    </row>
    <row r="84" spans="13:14">
      <c r="M84" s="70"/>
      <c r="N84" s="71"/>
    </row>
    <row r="85" spans="13:14">
      <c r="M85" s="70"/>
      <c r="N85" s="71"/>
    </row>
    <row r="86" spans="13:14">
      <c r="M86" s="70"/>
      <c r="N86" s="71"/>
    </row>
    <row r="87" spans="13:14">
      <c r="M87" s="70"/>
      <c r="N87" s="71"/>
    </row>
    <row r="88" spans="13:14">
      <c r="M88" s="70"/>
      <c r="N88" s="71"/>
    </row>
    <row r="89" spans="13:14">
      <c r="M89" s="70"/>
      <c r="N89" s="71"/>
    </row>
    <row r="90" spans="13:14">
      <c r="M90" s="70"/>
      <c r="N90" s="71"/>
    </row>
    <row r="91" spans="13:14">
      <c r="M91" s="70"/>
      <c r="N91" s="71"/>
    </row>
    <row r="92" spans="13:14">
      <c r="M92" s="70"/>
      <c r="N92" s="71"/>
    </row>
    <row r="93" spans="13:14">
      <c r="M93" s="70"/>
      <c r="N93" s="71"/>
    </row>
    <row r="94" spans="13:14">
      <c r="M94" s="70"/>
      <c r="N94" s="71"/>
    </row>
    <row r="95" spans="13:14">
      <c r="M95" s="70"/>
      <c r="N95" s="71"/>
    </row>
    <row r="96" spans="13:14">
      <c r="M96" s="70"/>
      <c r="N96" s="71"/>
    </row>
    <row r="97" spans="13:14">
      <c r="M97" s="70"/>
      <c r="N97" s="71"/>
    </row>
    <row r="98" spans="13:14">
      <c r="M98" s="70"/>
      <c r="N98" s="71"/>
    </row>
    <row r="99" spans="13:14">
      <c r="M99" s="70"/>
      <c r="N99" s="71"/>
    </row>
    <row r="100" spans="13:14">
      <c r="M100" s="70"/>
      <c r="N100" s="71"/>
    </row>
    <row r="101" spans="13:14">
      <c r="M101" s="70"/>
      <c r="N101" s="71"/>
    </row>
    <row r="102" spans="13:14">
      <c r="M102" s="70"/>
      <c r="N102" s="71"/>
    </row>
    <row r="103" spans="13:14">
      <c r="M103" s="70"/>
      <c r="N103" s="71"/>
    </row>
    <row r="104" spans="13:14">
      <c r="M104" s="70"/>
      <c r="N104" s="71"/>
    </row>
    <row r="105" spans="13:14">
      <c r="M105" s="70"/>
      <c r="N105" s="71"/>
    </row>
    <row r="106" spans="13:14">
      <c r="M106" s="70"/>
      <c r="N106" s="71"/>
    </row>
    <row r="107" spans="13:14">
      <c r="M107" s="70"/>
      <c r="N107" s="71"/>
    </row>
    <row r="108" spans="13:14">
      <c r="M108" s="70"/>
      <c r="N108" s="71"/>
    </row>
    <row r="109" spans="13:14">
      <c r="M109" s="70"/>
      <c r="N109" s="71"/>
    </row>
    <row r="110" spans="13:14">
      <c r="M110" s="70"/>
      <c r="N110" s="71"/>
    </row>
    <row r="111" spans="13:14">
      <c r="M111" s="70"/>
      <c r="N111" s="71"/>
    </row>
    <row r="112" spans="13:14">
      <c r="M112" s="70"/>
      <c r="N112" s="71"/>
    </row>
    <row r="113" spans="13:14">
      <c r="M113" s="70"/>
      <c r="N113" s="71"/>
    </row>
    <row r="114" spans="13:14">
      <c r="M114" s="70"/>
      <c r="N114" s="71"/>
    </row>
    <row r="115" spans="13:14">
      <c r="M115" s="70"/>
      <c r="N115" s="71"/>
    </row>
    <row r="116" spans="13:14">
      <c r="M116" s="70"/>
      <c r="N116" s="71"/>
    </row>
    <row r="117" spans="13:14">
      <c r="M117" s="70"/>
      <c r="N117" s="71"/>
    </row>
    <row r="118" spans="13:14">
      <c r="M118" s="70"/>
      <c r="N118" s="71"/>
    </row>
    <row r="119" spans="13:14">
      <c r="M119" s="70"/>
      <c r="N119" s="71"/>
    </row>
    <row r="120" spans="13:14">
      <c r="M120" s="70"/>
      <c r="N120" s="71"/>
    </row>
    <row r="121" spans="13:14">
      <c r="M121" s="70"/>
      <c r="N121" s="71"/>
    </row>
    <row r="122" spans="13:14">
      <c r="M122" s="70"/>
      <c r="N122" s="71"/>
    </row>
    <row r="123" spans="13:14">
      <c r="M123" s="70"/>
      <c r="N123" s="71"/>
    </row>
    <row r="124" spans="13:14">
      <c r="M124" s="70"/>
      <c r="N124" s="71"/>
    </row>
    <row r="125" spans="13:14">
      <c r="M125" s="70"/>
      <c r="N125" s="71"/>
    </row>
    <row r="126" spans="13:14">
      <c r="M126" s="70"/>
      <c r="N126" s="71"/>
    </row>
    <row r="127" spans="13:14">
      <c r="M127" s="70"/>
      <c r="N127" s="71"/>
    </row>
    <row r="128" spans="13:14">
      <c r="M128" s="70"/>
      <c r="N128" s="71"/>
    </row>
    <row r="129" spans="13:14">
      <c r="M129" s="70"/>
      <c r="N129" s="71"/>
    </row>
    <row r="130" spans="13:14">
      <c r="M130" s="70"/>
      <c r="N130" s="71"/>
    </row>
    <row r="131" spans="13:14">
      <c r="M131" s="70"/>
      <c r="N131" s="71"/>
    </row>
    <row r="132" spans="13:14">
      <c r="M132" s="70"/>
      <c r="N132" s="71"/>
    </row>
    <row r="133" spans="13:14">
      <c r="M133" s="70"/>
      <c r="N133" s="71"/>
    </row>
    <row r="134" spans="13:14">
      <c r="M134" s="70"/>
      <c r="N134" s="71"/>
    </row>
    <row r="135" spans="13:14">
      <c r="M135" s="70"/>
      <c r="N135" s="71"/>
    </row>
    <row r="136" spans="13:14">
      <c r="M136" s="70"/>
      <c r="N136" s="71"/>
    </row>
    <row r="137" spans="13:14">
      <c r="M137" s="70"/>
      <c r="N137" s="71"/>
    </row>
    <row r="138" spans="13:14">
      <c r="M138" s="70"/>
      <c r="N138" s="71"/>
    </row>
    <row r="139" spans="13:14">
      <c r="M139" s="70"/>
      <c r="N139" s="71"/>
    </row>
    <row r="140" spans="13:14">
      <c r="M140" s="70"/>
      <c r="N140" s="71"/>
    </row>
    <row r="141" spans="13:14">
      <c r="M141" s="70"/>
      <c r="N141" s="71"/>
    </row>
    <row r="142" spans="13:14">
      <c r="M142" s="70"/>
      <c r="N142" s="71"/>
    </row>
    <row r="143" spans="13:14">
      <c r="M143" s="70"/>
      <c r="N143" s="71"/>
    </row>
    <row r="144" spans="13:14">
      <c r="M144" s="70"/>
      <c r="N144" s="71"/>
    </row>
    <row r="145" spans="13:14">
      <c r="M145" s="70"/>
      <c r="N145" s="71"/>
    </row>
    <row r="146" spans="13:14">
      <c r="M146" s="70"/>
      <c r="N146" s="71"/>
    </row>
    <row r="147" spans="13:14">
      <c r="M147" s="70"/>
      <c r="N147" s="71"/>
    </row>
    <row r="148" spans="13:14">
      <c r="M148" s="70"/>
      <c r="N148" s="71"/>
    </row>
    <row r="149" spans="13:14">
      <c r="M149" s="70"/>
      <c r="N149" s="71"/>
    </row>
    <row r="150" spans="13:14">
      <c r="M150" s="70"/>
      <c r="N150" s="71"/>
    </row>
    <row r="151" spans="13:14">
      <c r="M151" s="70"/>
      <c r="N151" s="71"/>
    </row>
    <row r="152" spans="13:14">
      <c r="M152" s="70"/>
      <c r="N152" s="71"/>
    </row>
    <row r="153" spans="13:14">
      <c r="M153" s="70"/>
      <c r="N153" s="71"/>
    </row>
    <row r="154" spans="13:14">
      <c r="M154" s="70"/>
      <c r="N154" s="71"/>
    </row>
    <row r="155" spans="13:14">
      <c r="M155" s="70"/>
      <c r="N155" s="71"/>
    </row>
    <row r="156" spans="13:14">
      <c r="M156" s="70"/>
      <c r="N156" s="71"/>
    </row>
    <row r="157" spans="13:14">
      <c r="M157" s="70"/>
      <c r="N157" s="71"/>
    </row>
    <row r="158" spans="13:14">
      <c r="M158" s="70"/>
      <c r="N158" s="71"/>
    </row>
    <row r="159" spans="13:14">
      <c r="M159" s="70"/>
      <c r="N159" s="71"/>
    </row>
    <row r="160" spans="13:14">
      <c r="M160" s="70"/>
      <c r="N160" s="71"/>
    </row>
    <row r="161" spans="13:14">
      <c r="M161" s="70"/>
      <c r="N161" s="71"/>
    </row>
  </sheetData>
  <mergeCells count="3">
    <mergeCell ref="AL1:AN1"/>
    <mergeCell ref="C3:D3"/>
    <mergeCell ref="G3:H3"/>
  </mergeCells>
  <phoneticPr fontId="0" type="noConversion"/>
  <pageMargins left="0" right="0" top="1" bottom="1" header="0.5" footer="0.5"/>
  <pageSetup paperSize="5" scale="48" fitToWidth="4" orientation="landscape" r:id="rId1"/>
  <headerFooter alignWithMargins="0">
    <oddHeader>&amp;A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61"/>
  <sheetViews>
    <sheetView workbookViewId="0">
      <pane xSplit="1" ySplit="5" topLeftCell="AJ6" activePane="bottomRight" state="frozen"/>
      <selection pane="topRight" activeCell="B1" sqref="B1"/>
      <selection pane="bottomLeft" activeCell="A6" sqref="A6"/>
      <selection pane="bottomRight" activeCell="AO11" sqref="AO11"/>
    </sheetView>
  </sheetViews>
  <sheetFormatPr defaultRowHeight="12"/>
  <cols>
    <col min="1" max="1" width="9" style="76" customWidth="1"/>
    <col min="2" max="3" width="14.7109375" style="69" customWidth="1"/>
    <col min="4" max="4" width="18.42578125" style="69" bestFit="1" customWidth="1"/>
    <col min="5" max="5" width="14.140625" style="69" customWidth="1"/>
    <col min="6" max="7" width="13.85546875" style="69" bestFit="1" customWidth="1"/>
    <col min="8" max="8" width="18.42578125" style="69" bestFit="1" customWidth="1"/>
    <col min="9" max="9" width="12.42578125" style="69" customWidth="1"/>
    <col min="10" max="12" width="13.5703125" style="69" customWidth="1"/>
    <col min="13" max="14" width="18.140625" style="69" customWidth="1"/>
    <col min="15" max="15" width="14.7109375" style="69" customWidth="1"/>
    <col min="16" max="16" width="17.42578125" style="69" bestFit="1" customWidth="1"/>
    <col min="17" max="17" width="15.85546875" style="69" customWidth="1"/>
    <col min="18" max="18" width="17" style="69" bestFit="1" customWidth="1"/>
    <col min="19" max="19" width="14.7109375" style="69" bestFit="1" customWidth="1"/>
    <col min="20" max="20" width="13.85546875" style="69" customWidth="1"/>
    <col min="21" max="21" width="18.7109375" style="69" bestFit="1" customWidth="1"/>
    <col min="22" max="22" width="14.7109375" style="69" customWidth="1"/>
    <col min="23" max="23" width="17.140625" style="69" bestFit="1" customWidth="1"/>
    <col min="24" max="24" width="15.85546875" style="69" customWidth="1"/>
    <col min="25" max="25" width="17.42578125" style="69" bestFit="1" customWidth="1"/>
    <col min="26" max="26" width="15.140625" style="69" bestFit="1" customWidth="1"/>
    <col min="27" max="27" width="27" style="69" customWidth="1"/>
    <col min="28" max="28" width="18.140625" style="69" bestFit="1" customWidth="1"/>
    <col min="29" max="29" width="15.85546875" style="69" bestFit="1" customWidth="1"/>
    <col min="30" max="33" width="18.140625" style="72" customWidth="1"/>
    <col min="34" max="35" width="15.85546875" style="72" customWidth="1"/>
    <col min="36" max="36" width="18.140625" style="72" bestFit="1" customWidth="1"/>
    <col min="37" max="37" width="13.5703125" style="72" customWidth="1"/>
    <col min="38" max="42" width="15.85546875" style="72" customWidth="1"/>
    <col min="43" max="43" width="18.140625" style="72" bestFit="1" customWidth="1"/>
    <col min="44" max="44" width="15.85546875" style="72" customWidth="1"/>
    <col min="45" max="45" width="18.140625" style="72" bestFit="1" customWidth="1"/>
    <col min="46" max="46" width="25.42578125" style="72" customWidth="1"/>
    <col min="47" max="47" width="19.28515625" style="72" bestFit="1" customWidth="1"/>
    <col min="48" max="48" width="17.140625" style="72" bestFit="1" customWidth="1"/>
    <col min="49" max="49" width="19.42578125" style="72" bestFit="1" customWidth="1"/>
    <col min="50" max="50" width="18.28515625" style="72" bestFit="1" customWidth="1"/>
    <col min="51" max="51" width="9" style="72" customWidth="1"/>
    <col min="52" max="52" width="18.140625" style="72" customWidth="1"/>
    <col min="53" max="53" width="17" style="72" customWidth="1"/>
    <col min="54" max="54" width="13.85546875" style="72" bestFit="1" customWidth="1"/>
    <col min="55" max="55" width="13.5703125" style="72" customWidth="1"/>
    <col min="56" max="56" width="19.28515625" style="72" bestFit="1" customWidth="1"/>
    <col min="57" max="58" width="12.42578125" style="73" customWidth="1"/>
    <col min="59" max="60" width="17" style="72" customWidth="1"/>
    <col min="61" max="61" width="14.85546875" style="72" bestFit="1" customWidth="1"/>
    <col min="62" max="62" width="23.85546875" style="73" bestFit="1" customWidth="1"/>
    <col min="63" max="63" width="16.7109375" style="79" bestFit="1" customWidth="1"/>
    <col min="64" max="64" width="16.7109375" style="76" bestFit="1" customWidth="1"/>
    <col min="65" max="65" width="14.85546875" style="76" bestFit="1" customWidth="1"/>
    <col min="66" max="66" width="17.7109375" style="76" bestFit="1" customWidth="1"/>
    <col min="67" max="67" width="10" style="76" bestFit="1" customWidth="1"/>
    <col min="68" max="68" width="9.140625" style="76"/>
    <col min="69" max="69" width="12.140625" style="76" bestFit="1" customWidth="1"/>
    <col min="70" max="70" width="16.140625" style="76" bestFit="1" customWidth="1"/>
    <col min="71" max="71" width="16.85546875" style="76" bestFit="1" customWidth="1"/>
    <col min="72" max="72" width="9.5703125" style="76" bestFit="1" customWidth="1"/>
    <col min="73" max="73" width="15" style="76" bestFit="1" customWidth="1"/>
    <col min="74" max="74" width="13.28515625" style="76" bestFit="1" customWidth="1"/>
    <col min="75" max="16384" width="9.140625" style="76"/>
  </cols>
  <sheetData>
    <row r="1" spans="1:75" s="1" customFormat="1">
      <c r="B1" s="2" t="s">
        <v>0</v>
      </c>
      <c r="C1" s="2"/>
      <c r="D1" s="2"/>
      <c r="E1" s="2"/>
      <c r="F1" s="2"/>
      <c r="G1" s="2"/>
      <c r="H1" s="2"/>
      <c r="I1" s="2"/>
      <c r="J1" s="3"/>
      <c r="K1" s="4" t="s">
        <v>1</v>
      </c>
      <c r="L1" s="2"/>
      <c r="M1" s="3"/>
      <c r="N1" s="2"/>
      <c r="O1" s="2" t="s">
        <v>2</v>
      </c>
      <c r="P1" s="5"/>
      <c r="Q1" s="5"/>
      <c r="R1" s="5"/>
      <c r="S1" s="6"/>
      <c r="T1" s="6"/>
      <c r="U1" s="6"/>
      <c r="V1" s="2" t="s">
        <v>3</v>
      </c>
      <c r="W1" s="5"/>
      <c r="X1" s="5"/>
      <c r="Y1" s="5"/>
      <c r="Z1" s="6"/>
      <c r="AA1" s="7" t="s">
        <v>64</v>
      </c>
      <c r="AB1" s="8" t="s">
        <v>4</v>
      </c>
      <c r="AC1" s="8" t="s">
        <v>4</v>
      </c>
      <c r="AD1" s="9" t="s">
        <v>5</v>
      </c>
      <c r="AE1" s="10" t="s">
        <v>94</v>
      </c>
      <c r="AF1" s="11" t="s">
        <v>96</v>
      </c>
      <c r="AG1" s="12"/>
      <c r="AH1" s="13" t="s">
        <v>6</v>
      </c>
      <c r="AI1" s="14"/>
      <c r="AJ1" s="14"/>
      <c r="AK1" s="15"/>
      <c r="AL1" s="16" t="s">
        <v>67</v>
      </c>
      <c r="AM1" s="17"/>
      <c r="AN1" s="18"/>
      <c r="AO1" s="19"/>
      <c r="AP1" s="13" t="s">
        <v>7</v>
      </c>
      <c r="AQ1" s="14"/>
      <c r="AR1" s="14"/>
      <c r="AS1" s="15"/>
      <c r="AT1" s="7" t="s">
        <v>64</v>
      </c>
      <c r="AU1" s="20" t="s">
        <v>8</v>
      </c>
      <c r="AV1" s="20" t="s">
        <v>9</v>
      </c>
      <c r="AW1" s="21" t="s">
        <v>10</v>
      </c>
      <c r="AX1" s="22"/>
      <c r="AY1" s="23"/>
      <c r="AZ1" s="23"/>
      <c r="BA1" s="21" t="s">
        <v>86</v>
      </c>
      <c r="BB1" s="22"/>
      <c r="BC1" s="24"/>
      <c r="BD1" s="19" t="s">
        <v>102</v>
      </c>
      <c r="BE1" s="25"/>
      <c r="BF1" s="26" t="s">
        <v>11</v>
      </c>
      <c r="BG1" s="27"/>
      <c r="BH1" s="27"/>
      <c r="BI1" s="28"/>
      <c r="BJ1" s="29" t="s">
        <v>11</v>
      </c>
      <c r="BK1" s="30"/>
    </row>
    <row r="2" spans="1:75" s="1" customFormat="1">
      <c r="A2" s="31" t="s">
        <v>12</v>
      </c>
      <c r="B2" s="32" t="s">
        <v>91</v>
      </c>
      <c r="C2" s="33"/>
      <c r="D2" s="33"/>
      <c r="E2" s="34" t="s">
        <v>13</v>
      </c>
      <c r="F2" s="6"/>
      <c r="G2" s="35"/>
      <c r="H2" s="35"/>
      <c r="I2" s="34" t="s">
        <v>14</v>
      </c>
      <c r="J2" s="6"/>
      <c r="K2" s="32" t="s">
        <v>15</v>
      </c>
      <c r="L2" s="5" t="s">
        <v>16</v>
      </c>
      <c r="M2" s="6"/>
      <c r="N2" s="36"/>
      <c r="O2" s="8" t="s">
        <v>17</v>
      </c>
      <c r="P2" s="5" t="s">
        <v>18</v>
      </c>
      <c r="Q2" s="5"/>
      <c r="R2" s="6"/>
      <c r="S2" s="6"/>
      <c r="T2" s="8" t="s">
        <v>70</v>
      </c>
      <c r="U2" s="8" t="s">
        <v>19</v>
      </c>
      <c r="V2" s="8" t="s">
        <v>58</v>
      </c>
      <c r="W2" s="5" t="s">
        <v>66</v>
      </c>
      <c r="X2" s="5"/>
      <c r="Y2" s="6"/>
      <c r="Z2" s="6"/>
      <c r="AA2" s="37" t="s">
        <v>63</v>
      </c>
      <c r="AB2" s="38" t="s">
        <v>68</v>
      </c>
      <c r="AC2" s="38" t="s">
        <v>69</v>
      </c>
      <c r="AD2" s="28" t="s">
        <v>20</v>
      </c>
      <c r="AE2" s="9" t="s">
        <v>95</v>
      </c>
      <c r="AF2" s="28" t="s">
        <v>97</v>
      </c>
      <c r="AG2" s="28" t="s">
        <v>98</v>
      </c>
      <c r="AH2" s="28"/>
      <c r="AI2" s="14" t="s">
        <v>18</v>
      </c>
      <c r="AJ2" s="14"/>
      <c r="AK2" s="15"/>
      <c r="AL2" s="39" t="s">
        <v>106</v>
      </c>
      <c r="AM2" s="14" t="s">
        <v>21</v>
      </c>
      <c r="AN2" s="15"/>
      <c r="AO2" s="27"/>
      <c r="AP2" s="39"/>
      <c r="AQ2" s="14" t="s">
        <v>66</v>
      </c>
      <c r="AR2" s="14"/>
      <c r="AS2" s="15"/>
      <c r="AT2" s="37" t="s">
        <v>63</v>
      </c>
      <c r="AU2" s="14" t="s">
        <v>22</v>
      </c>
      <c r="AV2" s="14"/>
      <c r="AW2" s="14"/>
      <c r="AX2" s="15"/>
      <c r="AY2" s="40" t="s">
        <v>24</v>
      </c>
      <c r="AZ2" s="28" t="s">
        <v>25</v>
      </c>
      <c r="BB2" s="41" t="s">
        <v>26</v>
      </c>
      <c r="BC2" s="42"/>
      <c r="BD2" s="43"/>
      <c r="BE2" s="44"/>
      <c r="BF2" s="45" t="s">
        <v>27</v>
      </c>
      <c r="BG2" s="15"/>
      <c r="BH2" s="15"/>
      <c r="BI2" s="28"/>
      <c r="BJ2" s="46" t="s">
        <v>27</v>
      </c>
      <c r="BK2" s="30"/>
      <c r="BQ2" s="30" t="s">
        <v>99</v>
      </c>
    </row>
    <row r="3" spans="1:75" s="1" customFormat="1" ht="24">
      <c r="A3" s="31" t="s">
        <v>28</v>
      </c>
      <c r="B3" s="32" t="s">
        <v>29</v>
      </c>
      <c r="C3" s="47" t="s">
        <v>92</v>
      </c>
      <c r="D3" s="48"/>
      <c r="E3" s="8" t="s">
        <v>30</v>
      </c>
      <c r="F3" s="8" t="s">
        <v>31</v>
      </c>
      <c r="G3" s="47" t="s">
        <v>92</v>
      </c>
      <c r="H3" s="48"/>
      <c r="I3" s="8" t="s">
        <v>13</v>
      </c>
      <c r="J3" s="8" t="s">
        <v>32</v>
      </c>
      <c r="K3" s="32" t="s">
        <v>33</v>
      </c>
      <c r="L3" s="49" t="s">
        <v>31</v>
      </c>
      <c r="M3" s="8" t="s">
        <v>34</v>
      </c>
      <c r="N3" s="8" t="s">
        <v>76</v>
      </c>
      <c r="O3" s="8" t="s">
        <v>35</v>
      </c>
      <c r="P3" s="5" t="s">
        <v>17</v>
      </c>
      <c r="Q3" s="6"/>
      <c r="R3" s="5" t="s">
        <v>36</v>
      </c>
      <c r="S3" s="6"/>
      <c r="T3" s="8" t="s">
        <v>71</v>
      </c>
      <c r="U3" s="50" t="s">
        <v>103</v>
      </c>
      <c r="V3" s="51"/>
      <c r="W3" s="5" t="s">
        <v>17</v>
      </c>
      <c r="X3" s="6"/>
      <c r="Y3" s="5" t="s">
        <v>36</v>
      </c>
      <c r="Z3" s="6"/>
      <c r="AA3" s="52" t="s">
        <v>73</v>
      </c>
      <c r="AB3" s="8" t="s">
        <v>37</v>
      </c>
      <c r="AC3" s="8" t="s">
        <v>37</v>
      </c>
      <c r="AD3" s="28" t="s">
        <v>31</v>
      </c>
      <c r="AE3" s="9" t="s">
        <v>31</v>
      </c>
      <c r="AF3" s="28"/>
      <c r="AG3" s="28"/>
      <c r="AH3" s="28" t="s">
        <v>58</v>
      </c>
      <c r="AI3" s="28" t="s">
        <v>17</v>
      </c>
      <c r="AJ3" s="14" t="s">
        <v>36</v>
      </c>
      <c r="AK3" s="15"/>
      <c r="AL3" s="53" t="s">
        <v>107</v>
      </c>
      <c r="AM3" s="40" t="s">
        <v>38</v>
      </c>
      <c r="AN3" s="28" t="s">
        <v>39</v>
      </c>
      <c r="AO3" s="53" t="s">
        <v>104</v>
      </c>
      <c r="AP3" s="28" t="s">
        <v>58</v>
      </c>
      <c r="AQ3" s="28" t="s">
        <v>17</v>
      </c>
      <c r="AR3" s="14" t="s">
        <v>36</v>
      </c>
      <c r="AS3" s="15"/>
      <c r="AT3" s="52" t="s">
        <v>65</v>
      </c>
      <c r="AU3" s="54" t="s">
        <v>40</v>
      </c>
      <c r="AV3" s="40" t="s">
        <v>41</v>
      </c>
      <c r="AW3" s="40" t="s">
        <v>42</v>
      </c>
      <c r="AX3" s="28" t="s">
        <v>43</v>
      </c>
      <c r="AY3" s="55"/>
      <c r="AZ3" s="28" t="s">
        <v>44</v>
      </c>
      <c r="BA3" s="40" t="s">
        <v>23</v>
      </c>
      <c r="BB3" s="56" t="s">
        <v>45</v>
      </c>
      <c r="BC3" s="56" t="s">
        <v>46</v>
      </c>
      <c r="BD3" s="56" t="s">
        <v>89</v>
      </c>
      <c r="BE3" s="57" t="s">
        <v>81</v>
      </c>
      <c r="BF3" s="57" t="s">
        <v>47</v>
      </c>
      <c r="BG3" s="38" t="s">
        <v>80</v>
      </c>
      <c r="BH3" s="38" t="s">
        <v>48</v>
      </c>
      <c r="BI3" s="28" t="s">
        <v>78</v>
      </c>
      <c r="BJ3" s="29" t="s">
        <v>47</v>
      </c>
      <c r="BK3" s="30"/>
      <c r="BQ3" s="1" t="s">
        <v>100</v>
      </c>
      <c r="BT3" s="1" t="s">
        <v>105</v>
      </c>
    </row>
    <row r="4" spans="1:75" s="1" customFormat="1">
      <c r="A4" s="58"/>
      <c r="B4" s="32" t="s">
        <v>50</v>
      </c>
      <c r="C4" s="8" t="s">
        <v>58</v>
      </c>
      <c r="D4" s="8" t="s">
        <v>93</v>
      </c>
      <c r="E4" s="8"/>
      <c r="F4" s="8"/>
      <c r="G4" s="8" t="s">
        <v>58</v>
      </c>
      <c r="H4" s="8" t="s">
        <v>93</v>
      </c>
      <c r="I4" s="8"/>
      <c r="J4" s="8"/>
      <c r="K4" s="32"/>
      <c r="L4" s="32"/>
      <c r="M4" s="8" t="s">
        <v>51</v>
      </c>
      <c r="N4" s="8" t="s">
        <v>77</v>
      </c>
      <c r="O4" s="8" t="s">
        <v>52</v>
      </c>
      <c r="P4" s="8" t="s">
        <v>33</v>
      </c>
      <c r="Q4" s="8" t="s">
        <v>53</v>
      </c>
      <c r="R4" s="8" t="s">
        <v>54</v>
      </c>
      <c r="S4" s="8" t="s">
        <v>55</v>
      </c>
      <c r="T4" s="8" t="s">
        <v>72</v>
      </c>
      <c r="U4" s="8" t="s">
        <v>51</v>
      </c>
      <c r="V4" s="8" t="s">
        <v>51</v>
      </c>
      <c r="W4" s="8" t="s">
        <v>33</v>
      </c>
      <c r="X4" s="8" t="s">
        <v>53</v>
      </c>
      <c r="Y4" s="8" t="s">
        <v>54</v>
      </c>
      <c r="Z4" s="8" t="s">
        <v>55</v>
      </c>
      <c r="AA4" s="49" t="s">
        <v>62</v>
      </c>
      <c r="AB4" s="51"/>
      <c r="AC4" s="51"/>
      <c r="AD4" s="28" t="s">
        <v>49</v>
      </c>
      <c r="AE4" s="28" t="s">
        <v>49</v>
      </c>
      <c r="AF4" s="28"/>
      <c r="AG4" s="28"/>
      <c r="AH4" s="39"/>
      <c r="AI4" s="28"/>
      <c r="AJ4" s="28" t="s">
        <v>54</v>
      </c>
      <c r="AK4" s="28" t="s">
        <v>55</v>
      </c>
      <c r="AL4" s="28" t="s">
        <v>56</v>
      </c>
      <c r="AM4" s="59"/>
      <c r="AN4" s="39"/>
      <c r="AO4" s="39"/>
      <c r="AP4" s="39"/>
      <c r="AQ4" s="28"/>
      <c r="AR4" s="28" t="s">
        <v>54</v>
      </c>
      <c r="AS4" s="28" t="s">
        <v>55</v>
      </c>
      <c r="AT4" s="28" t="s">
        <v>49</v>
      </c>
      <c r="AU4" s="39"/>
      <c r="AV4" s="59"/>
      <c r="AW4" s="60" t="s">
        <v>74</v>
      </c>
      <c r="AX4" s="38" t="s">
        <v>75</v>
      </c>
      <c r="AY4" s="61" t="s">
        <v>85</v>
      </c>
      <c r="AZ4" s="62"/>
      <c r="BA4" s="55" t="s">
        <v>44</v>
      </c>
      <c r="BB4" s="59"/>
      <c r="BC4" s="63"/>
      <c r="BD4" s="60" t="s">
        <v>90</v>
      </c>
      <c r="BE4" s="64" t="s">
        <v>82</v>
      </c>
      <c r="BF4" s="29" t="s">
        <v>57</v>
      </c>
      <c r="BG4" s="39"/>
      <c r="BH4" s="39"/>
      <c r="BI4" s="28" t="s">
        <v>79</v>
      </c>
      <c r="BJ4" s="29" t="s">
        <v>61</v>
      </c>
      <c r="BK4" s="30" t="s">
        <v>83</v>
      </c>
      <c r="BL4" s="1" t="s">
        <v>70</v>
      </c>
      <c r="BM4" s="1" t="s">
        <v>59</v>
      </c>
      <c r="BN4" s="30" t="s">
        <v>84</v>
      </c>
      <c r="BO4" s="30" t="s">
        <v>87</v>
      </c>
      <c r="BP4" s="30" t="s">
        <v>88</v>
      </c>
      <c r="BQ4" s="30" t="s">
        <v>101</v>
      </c>
    </row>
    <row r="5" spans="1:75" s="1" customFormat="1">
      <c r="A5" s="65">
        <v>1</v>
      </c>
      <c r="B5" s="66">
        <f t="shared" ref="B5:BM5" si="0">A5+1</f>
        <v>2</v>
      </c>
      <c r="C5" s="66">
        <f t="shared" si="0"/>
        <v>3</v>
      </c>
      <c r="D5" s="66">
        <f t="shared" si="0"/>
        <v>4</v>
      </c>
      <c r="E5" s="66">
        <f t="shared" si="0"/>
        <v>5</v>
      </c>
      <c r="F5" s="66">
        <f t="shared" si="0"/>
        <v>6</v>
      </c>
      <c r="G5" s="66">
        <f t="shared" si="0"/>
        <v>7</v>
      </c>
      <c r="H5" s="66">
        <f t="shared" si="0"/>
        <v>8</v>
      </c>
      <c r="I5" s="66">
        <f t="shared" si="0"/>
        <v>9</v>
      </c>
      <c r="J5" s="66">
        <f t="shared" si="0"/>
        <v>10</v>
      </c>
      <c r="K5" s="66">
        <f t="shared" si="0"/>
        <v>11</v>
      </c>
      <c r="L5" s="66">
        <f t="shared" si="0"/>
        <v>12</v>
      </c>
      <c r="M5" s="66">
        <f t="shared" si="0"/>
        <v>13</v>
      </c>
      <c r="N5" s="66">
        <f t="shared" si="0"/>
        <v>14</v>
      </c>
      <c r="O5" s="66">
        <f t="shared" si="0"/>
        <v>15</v>
      </c>
      <c r="P5" s="66">
        <f t="shared" si="0"/>
        <v>16</v>
      </c>
      <c r="Q5" s="66">
        <f t="shared" si="0"/>
        <v>17</v>
      </c>
      <c r="R5" s="66">
        <f t="shared" si="0"/>
        <v>18</v>
      </c>
      <c r="S5" s="66">
        <f t="shared" si="0"/>
        <v>19</v>
      </c>
      <c r="T5" s="66">
        <f t="shared" si="0"/>
        <v>20</v>
      </c>
      <c r="U5" s="66">
        <f t="shared" si="0"/>
        <v>21</v>
      </c>
      <c r="V5" s="66">
        <f t="shared" si="0"/>
        <v>22</v>
      </c>
      <c r="W5" s="66">
        <f t="shared" si="0"/>
        <v>23</v>
      </c>
      <c r="X5" s="66">
        <f t="shared" si="0"/>
        <v>24</v>
      </c>
      <c r="Y5" s="66">
        <f t="shared" si="0"/>
        <v>25</v>
      </c>
      <c r="Z5" s="66">
        <f t="shared" si="0"/>
        <v>26</v>
      </c>
      <c r="AA5" s="66">
        <f t="shared" si="0"/>
        <v>27</v>
      </c>
      <c r="AB5" s="66">
        <f t="shared" si="0"/>
        <v>28</v>
      </c>
      <c r="AC5" s="66">
        <f t="shared" si="0"/>
        <v>29</v>
      </c>
      <c r="AD5" s="66">
        <f t="shared" si="0"/>
        <v>30</v>
      </c>
      <c r="AE5" s="66">
        <f t="shared" si="0"/>
        <v>31</v>
      </c>
      <c r="AF5" s="66">
        <f t="shared" si="0"/>
        <v>32</v>
      </c>
      <c r="AG5" s="66">
        <f t="shared" si="0"/>
        <v>33</v>
      </c>
      <c r="AH5" s="66">
        <f t="shared" si="0"/>
        <v>34</v>
      </c>
      <c r="AI5" s="66">
        <f t="shared" si="0"/>
        <v>35</v>
      </c>
      <c r="AJ5" s="66">
        <f t="shared" si="0"/>
        <v>36</v>
      </c>
      <c r="AK5" s="66">
        <f t="shared" si="0"/>
        <v>37</v>
      </c>
      <c r="AL5" s="66">
        <f t="shared" si="0"/>
        <v>38</v>
      </c>
      <c r="AM5" s="66">
        <f t="shared" si="0"/>
        <v>39</v>
      </c>
      <c r="AN5" s="66">
        <f t="shared" si="0"/>
        <v>40</v>
      </c>
      <c r="AO5" s="66">
        <f t="shared" si="0"/>
        <v>41</v>
      </c>
      <c r="AP5" s="66">
        <f t="shared" si="0"/>
        <v>42</v>
      </c>
      <c r="AQ5" s="66">
        <f t="shared" si="0"/>
        <v>43</v>
      </c>
      <c r="AR5" s="66">
        <f t="shared" si="0"/>
        <v>44</v>
      </c>
      <c r="AS5" s="66">
        <f t="shared" si="0"/>
        <v>45</v>
      </c>
      <c r="AT5" s="66">
        <f t="shared" si="0"/>
        <v>46</v>
      </c>
      <c r="AU5" s="66">
        <f t="shared" si="0"/>
        <v>47</v>
      </c>
      <c r="AV5" s="66">
        <f t="shared" si="0"/>
        <v>48</v>
      </c>
      <c r="AW5" s="66">
        <f t="shared" si="0"/>
        <v>49</v>
      </c>
      <c r="AX5" s="66">
        <f t="shared" si="0"/>
        <v>50</v>
      </c>
      <c r="AY5" s="66">
        <f t="shared" si="0"/>
        <v>51</v>
      </c>
      <c r="AZ5" s="66">
        <f t="shared" si="0"/>
        <v>52</v>
      </c>
      <c r="BA5" s="66">
        <f t="shared" si="0"/>
        <v>53</v>
      </c>
      <c r="BB5" s="66">
        <f t="shared" si="0"/>
        <v>54</v>
      </c>
      <c r="BC5" s="67">
        <f t="shared" si="0"/>
        <v>55</v>
      </c>
      <c r="BD5" s="67">
        <f t="shared" si="0"/>
        <v>56</v>
      </c>
      <c r="BE5" s="66">
        <f t="shared" si="0"/>
        <v>57</v>
      </c>
      <c r="BF5" s="66">
        <f t="shared" si="0"/>
        <v>58</v>
      </c>
      <c r="BG5" s="66">
        <f t="shared" si="0"/>
        <v>59</v>
      </c>
      <c r="BH5" s="66">
        <f t="shared" si="0"/>
        <v>60</v>
      </c>
      <c r="BI5" s="66">
        <f t="shared" si="0"/>
        <v>61</v>
      </c>
      <c r="BJ5" s="66">
        <f t="shared" si="0"/>
        <v>62</v>
      </c>
      <c r="BK5" s="66">
        <f t="shared" si="0"/>
        <v>63</v>
      </c>
      <c r="BL5" s="66">
        <f t="shared" si="0"/>
        <v>64</v>
      </c>
      <c r="BM5" s="66">
        <f t="shared" si="0"/>
        <v>65</v>
      </c>
      <c r="BN5" s="66">
        <f t="shared" ref="BN5:BQ5" si="1">BM5+1</f>
        <v>66</v>
      </c>
      <c r="BO5" s="66">
        <f t="shared" si="1"/>
        <v>67</v>
      </c>
      <c r="BP5" s="66">
        <f t="shared" si="1"/>
        <v>68</v>
      </c>
      <c r="BQ5" s="66">
        <f t="shared" si="1"/>
        <v>69</v>
      </c>
    </row>
    <row r="6" spans="1:75">
      <c r="A6" s="68">
        <v>40210</v>
      </c>
      <c r="B6" s="69">
        <v>40939137.509999998</v>
      </c>
      <c r="E6" s="69">
        <v>100003.86</v>
      </c>
      <c r="F6" s="69">
        <v>0</v>
      </c>
      <c r="I6" s="69">
        <v>0</v>
      </c>
      <c r="J6" s="69">
        <v>868837.62</v>
      </c>
      <c r="K6" s="69">
        <v>152959</v>
      </c>
      <c r="L6" s="69">
        <v>108708</v>
      </c>
      <c r="M6" s="70">
        <v>82614</v>
      </c>
      <c r="N6" s="71">
        <v>-38363</v>
      </c>
      <c r="O6" s="69">
        <v>15208626.960000001</v>
      </c>
      <c r="P6" s="69">
        <v>8763876.4399999995</v>
      </c>
      <c r="Q6" s="69">
        <v>736376.57</v>
      </c>
      <c r="R6" s="69">
        <v>0</v>
      </c>
      <c r="S6" s="69">
        <v>0</v>
      </c>
      <c r="T6" s="69">
        <v>4706.07</v>
      </c>
      <c r="U6" s="72">
        <v>0</v>
      </c>
      <c r="V6" s="69">
        <v>3920976.97</v>
      </c>
      <c r="W6" s="69">
        <v>0</v>
      </c>
      <c r="X6" s="69">
        <v>0</v>
      </c>
      <c r="Y6" s="69">
        <v>3895477.74</v>
      </c>
      <c r="Z6" s="72">
        <v>0</v>
      </c>
      <c r="AA6" s="72">
        <v>0</v>
      </c>
      <c r="AB6" s="72">
        <v>0</v>
      </c>
      <c r="AC6" s="72">
        <v>0</v>
      </c>
      <c r="AD6" s="72">
        <v>1576700000</v>
      </c>
      <c r="AH6" s="72">
        <v>646370000</v>
      </c>
      <c r="AI6" s="72">
        <v>461264000</v>
      </c>
      <c r="AJ6" s="72">
        <v>0</v>
      </c>
      <c r="AK6" s="72">
        <v>0</v>
      </c>
      <c r="AL6" s="72">
        <v>-1918000</v>
      </c>
      <c r="AO6" s="109">
        <v>-61097420</v>
      </c>
      <c r="AP6" s="72">
        <v>135531000</v>
      </c>
      <c r="AQ6" s="72">
        <v>0</v>
      </c>
      <c r="AR6" s="72">
        <v>134715000</v>
      </c>
      <c r="AS6" s="72">
        <v>0</v>
      </c>
      <c r="AT6" s="72">
        <v>0</v>
      </c>
      <c r="AU6" s="72">
        <v>113769523</v>
      </c>
      <c r="AV6" s="72">
        <v>0</v>
      </c>
      <c r="AW6" s="72">
        <v>184079697</v>
      </c>
      <c r="AX6" s="72">
        <v>46704000</v>
      </c>
      <c r="AY6" s="72">
        <v>0</v>
      </c>
      <c r="AZ6" s="72">
        <v>0</v>
      </c>
      <c r="BA6" s="72">
        <v>1680572594</v>
      </c>
      <c r="BB6" s="72">
        <v>16323</v>
      </c>
      <c r="BC6" s="72">
        <v>2781627</v>
      </c>
      <c r="BD6" s="72">
        <v>0</v>
      </c>
      <c r="BE6" s="73">
        <v>2.7539999999999999E-2</v>
      </c>
      <c r="BF6" s="73">
        <f>ROUND(BG6/BH6-BE6,5)</f>
        <v>-2.2000000000000001E-4</v>
      </c>
      <c r="BG6" s="72">
        <f t="shared" ref="BG6:BG21" si="2">BK6+BL6-BM6-BN6-AB6</f>
        <v>53988733</v>
      </c>
      <c r="BH6" s="74">
        <v>1976510551</v>
      </c>
      <c r="BI6" s="73"/>
      <c r="BJ6" s="72"/>
      <c r="BK6" s="71">
        <f t="shared" ref="BK6:BK8" si="3">ROUND(SUM(B6:J6),0)+ROUND(N6,0)</f>
        <v>41869616</v>
      </c>
      <c r="BL6" s="69">
        <f t="shared" ref="BL6:BL8" si="4">ROUND(O6-SUM(P6:S6),0)+ROUND(P6,0)+ROUND(Q6,0)+ROUND(R6,0)+ROUND(S6,0)-ROUND(T6,0)</f>
        <v>15203921</v>
      </c>
      <c r="BM6" s="69">
        <f t="shared" ref="BM6:BM31" si="5">ROUND(V6-SUM(W6:AA6),0)+ROUND(W6+X6,0)+ROUND(Y6+Z6,0)+ROUND((V6-W6-X6-Y6-Z6)*0.01,0)</f>
        <v>3921232</v>
      </c>
      <c r="BN6" s="75">
        <v>-836428</v>
      </c>
      <c r="BO6" s="76">
        <v>1007</v>
      </c>
      <c r="BP6" s="76">
        <v>0</v>
      </c>
      <c r="BQ6" s="76">
        <v>0</v>
      </c>
      <c r="BR6" s="69"/>
      <c r="BS6" s="69"/>
      <c r="BT6" s="73">
        <f t="shared" ref="BT6:BT10" si="6">BE6+BF6</f>
        <v>2.7319999999999997E-2</v>
      </c>
      <c r="BU6" s="72">
        <f t="shared" ref="BU6:BU10" si="7">ROUND(BA6*BT6,0)</f>
        <v>45913243</v>
      </c>
    </row>
    <row r="7" spans="1:75">
      <c r="A7" s="68">
        <v>40238</v>
      </c>
      <c r="B7" s="69">
        <v>31949051.440000001</v>
      </c>
      <c r="E7" s="69">
        <v>225134.54</v>
      </c>
      <c r="F7" s="69">
        <f>-F9</f>
        <v>-481.15</v>
      </c>
      <c r="I7" s="69">
        <v>0.02</v>
      </c>
      <c r="J7" s="69">
        <v>723784.89</v>
      </c>
      <c r="K7" s="69">
        <v>1267388</v>
      </c>
      <c r="L7" s="69">
        <v>442278</v>
      </c>
      <c r="M7" s="70">
        <v>1188751</v>
      </c>
      <c r="N7" s="71">
        <v>-363641</v>
      </c>
      <c r="O7" s="69">
        <v>15214538.32</v>
      </c>
      <c r="P7" s="69">
        <v>6123135.9100000001</v>
      </c>
      <c r="Q7" s="69">
        <v>172564.82</v>
      </c>
      <c r="R7" s="69">
        <v>0</v>
      </c>
      <c r="S7" s="69">
        <v>0</v>
      </c>
      <c r="T7" s="69">
        <v>0</v>
      </c>
      <c r="U7" s="72">
        <v>0</v>
      </c>
      <c r="V7" s="69">
        <v>1000823.92</v>
      </c>
      <c r="W7" s="69">
        <v>0</v>
      </c>
      <c r="X7" s="69">
        <v>0</v>
      </c>
      <c r="Y7" s="69">
        <v>996315.52</v>
      </c>
      <c r="Z7" s="72">
        <v>0</v>
      </c>
      <c r="AA7" s="72">
        <v>0</v>
      </c>
      <c r="AB7" s="72">
        <v>0</v>
      </c>
      <c r="AC7" s="72">
        <v>0</v>
      </c>
      <c r="AD7" s="72">
        <v>1262023000</v>
      </c>
      <c r="AH7" s="72">
        <v>595482000</v>
      </c>
      <c r="AI7" s="72">
        <v>317594000</v>
      </c>
      <c r="AJ7" s="72">
        <v>0</v>
      </c>
      <c r="AK7" s="72">
        <v>0</v>
      </c>
      <c r="AL7" s="72">
        <v>-4538000</v>
      </c>
      <c r="AO7" s="109">
        <v>168147399</v>
      </c>
      <c r="AP7" s="72">
        <v>34792000</v>
      </c>
      <c r="AQ7" s="72">
        <v>0</v>
      </c>
      <c r="AR7" s="72">
        <v>34646000</v>
      </c>
      <c r="AS7" s="72">
        <v>0</v>
      </c>
      <c r="AT7" s="72">
        <v>0</v>
      </c>
      <c r="AU7" s="72">
        <v>92642653</v>
      </c>
      <c r="AV7" s="72">
        <v>0</v>
      </c>
      <c r="AW7" s="72">
        <v>52138023</v>
      </c>
      <c r="AX7" s="72">
        <v>45284400</v>
      </c>
      <c r="AY7" s="72">
        <v>0</v>
      </c>
      <c r="AZ7" s="72">
        <v>0</v>
      </c>
      <c r="BA7" s="72">
        <v>1618732269</v>
      </c>
      <c r="BB7" s="72">
        <v>12670</v>
      </c>
      <c r="BC7" s="72">
        <v>2688085</v>
      </c>
      <c r="BD7" s="72">
        <v>0</v>
      </c>
      <c r="BE7" s="73">
        <v>2.7539999999999999E-2</v>
      </c>
      <c r="BF7" s="73">
        <f>ROUND(BG7/BH7-BE7,5)</f>
        <v>0</v>
      </c>
      <c r="BG7" s="72">
        <f t="shared" si="2"/>
        <v>47496960</v>
      </c>
      <c r="BH7" s="74">
        <v>1724398249</v>
      </c>
      <c r="BI7" s="73">
        <v>1.1E-4</v>
      </c>
      <c r="BJ7" s="72"/>
      <c r="BK7" s="71">
        <f t="shared" si="3"/>
        <v>32533849</v>
      </c>
      <c r="BL7" s="69">
        <f t="shared" si="4"/>
        <v>15214539</v>
      </c>
      <c r="BM7" s="69">
        <f t="shared" si="5"/>
        <v>1000869</v>
      </c>
      <c r="BN7" s="75">
        <v>-749441</v>
      </c>
      <c r="BO7" s="76">
        <v>559</v>
      </c>
      <c r="BP7" s="76">
        <v>0</v>
      </c>
      <c r="BQ7" s="76">
        <v>0</v>
      </c>
      <c r="BR7" s="69"/>
      <c r="BS7" s="69"/>
      <c r="BT7" s="73">
        <f t="shared" si="6"/>
        <v>2.7539999999999999E-2</v>
      </c>
      <c r="BU7" s="72">
        <f t="shared" si="7"/>
        <v>44579887</v>
      </c>
    </row>
    <row r="8" spans="1:75">
      <c r="A8" s="68">
        <v>40269</v>
      </c>
      <c r="B8" s="69">
        <v>25738367.699999999</v>
      </c>
      <c r="E8" s="69">
        <v>325606.53999999998</v>
      </c>
      <c r="F8" s="69">
        <v>0</v>
      </c>
      <c r="I8" s="69">
        <v>0</v>
      </c>
      <c r="J8" s="69">
        <v>1173106.31</v>
      </c>
      <c r="K8" s="69">
        <v>423869</v>
      </c>
      <c r="L8" s="69">
        <v>385458</v>
      </c>
      <c r="M8" s="70">
        <v>15322</v>
      </c>
      <c r="N8" s="71">
        <v>0</v>
      </c>
      <c r="O8" s="69">
        <v>12717983.1</v>
      </c>
      <c r="P8" s="69">
        <v>9650455.3800000008</v>
      </c>
      <c r="Q8" s="69">
        <v>99474.83</v>
      </c>
      <c r="R8" s="69">
        <v>0</v>
      </c>
      <c r="S8" s="69">
        <v>241.85</v>
      </c>
      <c r="T8" s="69">
        <v>0</v>
      </c>
      <c r="U8" s="72">
        <v>0</v>
      </c>
      <c r="V8" s="69">
        <v>574530.71</v>
      </c>
      <c r="W8" s="69">
        <v>0</v>
      </c>
      <c r="X8" s="69">
        <v>0</v>
      </c>
      <c r="Y8" s="69">
        <v>556113.43000000005</v>
      </c>
      <c r="Z8" s="72">
        <v>0</v>
      </c>
      <c r="AA8" s="72">
        <v>0</v>
      </c>
      <c r="AB8" s="72">
        <v>0</v>
      </c>
      <c r="AC8" s="72">
        <v>0</v>
      </c>
      <c r="AD8" s="72">
        <v>1009027000</v>
      </c>
      <c r="AH8" s="72">
        <v>580335000</v>
      </c>
      <c r="AI8" s="72">
        <v>505251000</v>
      </c>
      <c r="AJ8" s="72">
        <v>0</v>
      </c>
      <c r="AK8" s="72">
        <v>11000</v>
      </c>
      <c r="AL8" s="72">
        <v>-6133000</v>
      </c>
      <c r="AO8" s="109">
        <v>89662592</v>
      </c>
      <c r="AP8" s="72">
        <v>21075000</v>
      </c>
      <c r="AQ8" s="72">
        <v>0</v>
      </c>
      <c r="AR8" s="72">
        <v>20379000</v>
      </c>
      <c r="AS8" s="72">
        <v>0</v>
      </c>
      <c r="AT8" s="72">
        <v>0</v>
      </c>
      <c r="AU8" s="72">
        <v>63721570</v>
      </c>
      <c r="AV8" s="72">
        <v>0</v>
      </c>
      <c r="AW8" s="72">
        <v>85851253</v>
      </c>
      <c r="AX8" s="72">
        <f>19093600+23305200</f>
        <v>42398800</v>
      </c>
      <c r="AY8" s="72">
        <v>0</v>
      </c>
      <c r="AZ8" s="72">
        <v>0</v>
      </c>
      <c r="BA8" s="72">
        <v>1390766758</v>
      </c>
      <c r="BB8" s="72">
        <v>7122</v>
      </c>
      <c r="BC8" s="72">
        <v>1858050</v>
      </c>
      <c r="BD8" s="72">
        <v>0</v>
      </c>
      <c r="BE8" s="73">
        <v>2.7539999999999999E-2</v>
      </c>
      <c r="BF8" s="73">
        <f t="shared" ref="BF8:BF16" si="8">ROUND(BG8/BH8-BE8,5)</f>
        <v>-8.5999999999999998E-4</v>
      </c>
      <c r="BG8" s="72">
        <f t="shared" si="2"/>
        <v>39319961</v>
      </c>
      <c r="BH8" s="74">
        <v>1473693945</v>
      </c>
      <c r="BI8" s="73"/>
      <c r="BJ8" s="72"/>
      <c r="BK8" s="71">
        <f t="shared" si="3"/>
        <v>27237081</v>
      </c>
      <c r="BL8" s="69">
        <f t="shared" si="4"/>
        <v>12717983</v>
      </c>
      <c r="BM8" s="69">
        <f t="shared" si="5"/>
        <v>574714</v>
      </c>
      <c r="BN8" s="75">
        <f>ROUND((ROUND((BA8-AY8)*BF6,0)-ROUND((BH6-(SUM(AU6:AX6)+AY6+SUM(BB6:BC6)))*IF(BI6="",BF6,BI6),0))*ROUND(BH8/(BH8-SUM(AU8:AX8,AY8,BB8:BC8)),8),0)</f>
        <v>60389</v>
      </c>
      <c r="BO8" s="76">
        <v>197</v>
      </c>
      <c r="BP8" s="76">
        <v>38</v>
      </c>
      <c r="BQ8" s="76">
        <v>0</v>
      </c>
      <c r="BR8" s="69"/>
      <c r="BS8" s="69"/>
      <c r="BT8" s="73">
        <f t="shared" si="6"/>
        <v>2.6679999999999999E-2</v>
      </c>
      <c r="BU8" s="72">
        <f t="shared" si="7"/>
        <v>37105657</v>
      </c>
    </row>
    <row r="9" spans="1:75">
      <c r="A9" s="68">
        <v>40299</v>
      </c>
      <c r="B9" s="69">
        <f>6239024.23+24488588.71+2107424.27+142756.87</f>
        <v>32977794.080000002</v>
      </c>
      <c r="C9" s="69">
        <v>142756.87</v>
      </c>
      <c r="D9" s="69">
        <v>35626.400000000001</v>
      </c>
      <c r="E9" s="69">
        <f>116787.18+212080.92+26492.8+847188.91</f>
        <v>1202549.81</v>
      </c>
      <c r="F9" s="69">
        <v>481.15</v>
      </c>
      <c r="G9" s="69">
        <v>847188.91</v>
      </c>
      <c r="H9" s="69">
        <v>211424.47</v>
      </c>
      <c r="I9" s="69">
        <v>0</v>
      </c>
      <c r="J9" s="69">
        <v>3314626.3</v>
      </c>
      <c r="K9" s="69">
        <v>1285692</v>
      </c>
      <c r="L9" s="69">
        <v>949952</v>
      </c>
      <c r="M9" s="70">
        <v>962102</v>
      </c>
      <c r="N9" s="71">
        <v>-626362</v>
      </c>
      <c r="O9" s="69">
        <v>12850660.42</v>
      </c>
      <c r="P9" s="69">
        <v>7533053.6100000003</v>
      </c>
      <c r="Q9" s="69">
        <v>205021.56</v>
      </c>
      <c r="R9" s="69">
        <v>330.68</v>
      </c>
      <c r="S9" s="69">
        <v>0</v>
      </c>
      <c r="T9" s="69">
        <v>0</v>
      </c>
      <c r="U9" s="72">
        <v>0</v>
      </c>
      <c r="V9" s="69">
        <v>1157070.33</v>
      </c>
      <c r="W9" s="69">
        <v>28122.38</v>
      </c>
      <c r="X9" s="69">
        <v>32.26</v>
      </c>
      <c r="Y9" s="69">
        <v>1045136.48</v>
      </c>
      <c r="Z9" s="72">
        <v>0</v>
      </c>
      <c r="AA9" s="72">
        <v>0</v>
      </c>
      <c r="AB9" s="72">
        <v>0</v>
      </c>
      <c r="AC9" s="72">
        <v>0</v>
      </c>
      <c r="AD9" s="72">
        <v>1292513000</v>
      </c>
      <c r="AE9" s="72">
        <v>5069000</v>
      </c>
      <c r="AF9" s="72">
        <v>614000</v>
      </c>
      <c r="AG9" s="72">
        <v>646000</v>
      </c>
      <c r="AH9" s="72">
        <v>483838000</v>
      </c>
      <c r="AI9" s="72">
        <v>358849000</v>
      </c>
      <c r="AJ9" s="72">
        <v>6000</v>
      </c>
      <c r="AK9" s="72">
        <v>0</v>
      </c>
      <c r="AL9" s="72">
        <v>28878000</v>
      </c>
      <c r="AO9" s="109">
        <v>110244849</v>
      </c>
      <c r="AP9" s="72">
        <v>41837000</v>
      </c>
      <c r="AQ9" s="72">
        <v>650000</v>
      </c>
      <c r="AR9" s="72">
        <v>39331000</v>
      </c>
      <c r="AS9" s="72">
        <v>0</v>
      </c>
      <c r="AT9" s="72">
        <v>0</v>
      </c>
      <c r="AU9" s="72">
        <v>66309312</v>
      </c>
      <c r="AV9" s="72">
        <v>0</v>
      </c>
      <c r="AW9" s="72">
        <f>100170560+4197987</f>
        <v>104368547</v>
      </c>
      <c r="AX9" s="72">
        <f>72130000-23305200</f>
        <v>48824800</v>
      </c>
      <c r="AY9" s="72">
        <v>0</v>
      </c>
      <c r="AZ9" s="72">
        <v>0</v>
      </c>
      <c r="BA9" s="72">
        <v>1297459070</v>
      </c>
      <c r="BB9" s="72">
        <v>5359</v>
      </c>
      <c r="BC9" s="72">
        <v>1173851</v>
      </c>
      <c r="BD9" s="72">
        <v>0</v>
      </c>
      <c r="BE9" s="73">
        <v>2.7539999999999999E-2</v>
      </c>
      <c r="BF9" s="73">
        <f t="shared" si="8"/>
        <v>1.6100000000000001E-3</v>
      </c>
      <c r="BG9" s="72">
        <f t="shared" si="2"/>
        <v>48507544</v>
      </c>
      <c r="BH9" s="74">
        <v>1664254018</v>
      </c>
      <c r="BI9" s="73"/>
      <c r="BJ9" s="72"/>
      <c r="BK9" s="71">
        <f>ROUND(B9-(C9*(IF(AE9=0,0,ROUND((AF9+AG9+((AF9+AG9)*0.01))/AE9,5)))),0)+ROUND(E9,0)+ROUND(F9,0)+ROUND(I9,0)-SUM(IF(AE9=0,0,ROUND(G9*ROUND((AF9+AG9+((AF9+AG9)*0.01))/AE9,5),0)))+ROUND(J9,0)+ROUND(N9,0)</f>
        <v>36620554</v>
      </c>
      <c r="BL9" s="69">
        <f t="shared" ref="BL9:BL21" si="9">ROUND(O9-SUM(P9:S9),0)+ROUND(P9,0)+ROUND(Q9,0)+ROUND(R9,0)+ROUND(S9,0)-ROUND(T9,0)</f>
        <v>12850662</v>
      </c>
      <c r="BM9" s="69">
        <f t="shared" si="5"/>
        <v>1157908</v>
      </c>
      <c r="BN9" s="75">
        <f>ROUND((ROUND((BA9-AY9)*BF7,0)-ROUND((BH7-(SUM(AU7:AX7)+AY7+SUM(BB7:BC7)))*IF(BI7="",BF7,BI7),0))*ROUND(BH9/(BH9-SUM(AU9:AX9,AY9,BB9:BC9)),8),0)</f>
        <v>-194236</v>
      </c>
      <c r="BO9" s="76">
        <v>72</v>
      </c>
      <c r="BP9" s="76">
        <v>135</v>
      </c>
      <c r="BQ9" s="72">
        <v>113000</v>
      </c>
      <c r="BR9" s="69"/>
      <c r="BS9" s="69"/>
      <c r="BT9" s="73">
        <f t="shared" si="6"/>
        <v>2.9149999999999999E-2</v>
      </c>
      <c r="BU9" s="72">
        <f t="shared" si="7"/>
        <v>37820932</v>
      </c>
    </row>
    <row r="10" spans="1:75">
      <c r="A10" s="68">
        <v>40330</v>
      </c>
      <c r="B10" s="69">
        <f>12292144.84+28348778.63+2551293.73+1278586.04+1064104.63</f>
        <v>45534907.869999997</v>
      </c>
      <c r="C10" s="69">
        <v>1064104.6299999999</v>
      </c>
      <c r="D10" s="69">
        <v>266888.09000000003</v>
      </c>
      <c r="E10" s="69">
        <v>1739047.48</v>
      </c>
      <c r="F10" s="69">
        <v>1435.18</v>
      </c>
      <c r="G10" s="69">
        <v>1397817.37</v>
      </c>
      <c r="H10" s="69">
        <v>350586.56</v>
      </c>
      <c r="I10" s="69">
        <v>206907.56</v>
      </c>
      <c r="J10" s="69">
        <v>5887811.5899999999</v>
      </c>
      <c r="K10" s="69">
        <v>1119085</v>
      </c>
      <c r="L10" s="69">
        <v>864875</v>
      </c>
      <c r="M10" s="70">
        <v>650243</v>
      </c>
      <c r="N10" s="71">
        <v>-396033</v>
      </c>
      <c r="O10" s="69">
        <v>10612470.550000001</v>
      </c>
      <c r="P10" s="69">
        <v>5052133.49</v>
      </c>
      <c r="Q10" s="69">
        <v>120188.95</v>
      </c>
      <c r="R10" s="69">
        <v>407.49</v>
      </c>
      <c r="S10" s="69">
        <v>0</v>
      </c>
      <c r="T10" s="69">
        <v>0</v>
      </c>
      <c r="U10" s="72">
        <v>0</v>
      </c>
      <c r="V10" s="69">
        <v>368795.85</v>
      </c>
      <c r="W10" s="69">
        <v>196225.75</v>
      </c>
      <c r="X10" s="69">
        <v>31.14</v>
      </c>
      <c r="Y10" s="69">
        <v>165881.89000000001</v>
      </c>
      <c r="Z10" s="72">
        <v>0</v>
      </c>
      <c r="AA10" s="72">
        <v>0</v>
      </c>
      <c r="AB10" s="72">
        <v>0</v>
      </c>
      <c r="AC10" s="72">
        <v>0</v>
      </c>
      <c r="AD10" s="72">
        <v>1738022000</v>
      </c>
      <c r="AE10" s="72">
        <f>43290000+6997000+7432000</f>
        <v>57719000</v>
      </c>
      <c r="AF10" s="72">
        <v>6997000</v>
      </c>
      <c r="AG10" s="72">
        <v>7432000</v>
      </c>
      <c r="AH10" s="72">
        <v>327991000</v>
      </c>
      <c r="AI10" s="72">
        <v>217108000</v>
      </c>
      <c r="AJ10" s="72">
        <v>8000</v>
      </c>
      <c r="AK10" s="72">
        <v>0</v>
      </c>
      <c r="AL10" s="72">
        <v>-24105000</v>
      </c>
      <c r="AO10" s="109">
        <v>95052262</v>
      </c>
      <c r="AP10" s="72">
        <v>8899000</v>
      </c>
      <c r="AQ10" s="72">
        <v>4252000</v>
      </c>
      <c r="AR10" s="72">
        <v>4557000</v>
      </c>
      <c r="AS10" s="72">
        <v>0</v>
      </c>
      <c r="AT10" s="72">
        <v>0</v>
      </c>
      <c r="AU10" s="72">
        <v>70450447</v>
      </c>
      <c r="AV10" s="72">
        <v>0</v>
      </c>
      <c r="AW10" s="72">
        <v>127849798</v>
      </c>
      <c r="AX10" s="72">
        <v>61078400</v>
      </c>
      <c r="AY10" s="72">
        <v>0</v>
      </c>
      <c r="AZ10" s="72">
        <v>0</v>
      </c>
      <c r="BA10" s="72">
        <v>1558213081</v>
      </c>
      <c r="BB10" s="72">
        <v>7599</v>
      </c>
      <c r="BC10" s="72">
        <v>1490017</v>
      </c>
      <c r="BD10" s="72">
        <v>0</v>
      </c>
      <c r="BE10" s="73">
        <v>2.7539999999999999E-2</v>
      </c>
      <c r="BF10" s="73">
        <f t="shared" si="8"/>
        <v>5.1799999999999997E-3</v>
      </c>
      <c r="BG10" s="72">
        <f t="shared" si="2"/>
        <v>62873066</v>
      </c>
      <c r="BH10" s="74">
        <v>1921459336</v>
      </c>
      <c r="BI10" s="73"/>
      <c r="BJ10" s="72"/>
      <c r="BK10" s="71">
        <f>ROUND(B10-(C10*(IF(AE10=0,0,ROUND((AF10+AG10+((AF10+AG10)*0.01))/AE10,5)))),0)+ROUND(E10,0)+ROUND(F10,0)+ROUND(I10,0)-SUM(IF(AE10=0,0,ROUND(G10*ROUND((AF10+AG10+((AF10+AG10)*0.01))/AE10,5),0)))+ROUND(J10,0)+ROUND(N10,0)</f>
        <v>52352466</v>
      </c>
      <c r="BL10" s="69">
        <f t="shared" si="9"/>
        <v>10612470</v>
      </c>
      <c r="BM10" s="69">
        <f t="shared" si="5"/>
        <v>368863</v>
      </c>
      <c r="BN10" s="75">
        <f>ROUND((ROUND((BA10-AY10)*BF8,0)-ROUND((BH8-(SUM(AU8:AX8)+AY8+SUM(BB8:BC8)))*IF(BI8="",BF8,BI8),0))*ROUND(BH10/(BH10-SUM(AU10:AX10,AY10,BB10:BC10)),8),0)</f>
        <v>-276993</v>
      </c>
      <c r="BO10" s="76">
        <v>0</v>
      </c>
      <c r="BP10" s="76">
        <v>357</v>
      </c>
      <c r="BQ10" s="72">
        <v>4392000</v>
      </c>
      <c r="BR10" s="69"/>
      <c r="BS10" s="69"/>
      <c r="BT10" s="73">
        <f t="shared" si="6"/>
        <v>3.2719999999999999E-2</v>
      </c>
      <c r="BU10" s="72">
        <f t="shared" si="7"/>
        <v>50984732</v>
      </c>
      <c r="BV10" s="77">
        <f>SUM(BU6:BU10)</f>
        <v>216404451</v>
      </c>
      <c r="BW10" s="76">
        <f>BV10/SUM(BA6:BA10)</f>
        <v>2.8679008662209318E-2</v>
      </c>
    </row>
    <row r="11" spans="1:75" ht="12" customHeight="1">
      <c r="A11" s="68">
        <v>40360</v>
      </c>
      <c r="B11" s="69">
        <v>46065888.369999997</v>
      </c>
      <c r="C11" s="69">
        <v>427.97</v>
      </c>
      <c r="D11" s="69">
        <v>107.34</v>
      </c>
      <c r="E11" s="69">
        <v>256065.47</v>
      </c>
      <c r="F11" s="69">
        <v>0</v>
      </c>
      <c r="G11" s="69">
        <v>728.46</v>
      </c>
      <c r="H11" s="69">
        <v>182.7</v>
      </c>
      <c r="I11" s="69">
        <v>0</v>
      </c>
      <c r="J11" s="69">
        <v>6868048.75</v>
      </c>
      <c r="K11" s="69">
        <v>168549</v>
      </c>
      <c r="L11" s="69">
        <v>80853</v>
      </c>
      <c r="M11" s="70">
        <v>262601</v>
      </c>
      <c r="N11" s="71">
        <v>-174905</v>
      </c>
      <c r="O11" s="69">
        <v>10256369.720000001</v>
      </c>
      <c r="P11" s="69">
        <f>6673417.91-56697</f>
        <v>6616720.9100000001</v>
      </c>
      <c r="Q11" s="69">
        <f>151564.93-8612.75</f>
        <v>142952.18</v>
      </c>
      <c r="R11" s="69">
        <v>0</v>
      </c>
      <c r="S11" s="69">
        <v>0</v>
      </c>
      <c r="T11" s="69">
        <v>14320.08</v>
      </c>
      <c r="U11" s="72">
        <v>0</v>
      </c>
      <c r="V11" s="69">
        <v>610126.71</v>
      </c>
      <c r="W11" s="69">
        <v>12822.17</v>
      </c>
      <c r="X11" s="69">
        <v>0</v>
      </c>
      <c r="Y11" s="69">
        <f>612251.22-10750.82</f>
        <v>601500.4</v>
      </c>
      <c r="Z11" s="72">
        <v>0</v>
      </c>
      <c r="AA11" s="72">
        <v>0</v>
      </c>
      <c r="AB11" s="72">
        <v>0</v>
      </c>
      <c r="AC11" s="72">
        <v>0</v>
      </c>
      <c r="AD11" s="72">
        <v>1777121000</v>
      </c>
      <c r="AE11" s="72">
        <v>0</v>
      </c>
      <c r="AF11" s="72">
        <v>0</v>
      </c>
      <c r="AG11" s="72">
        <v>0</v>
      </c>
      <c r="AH11" s="72">
        <v>359343000</v>
      </c>
      <c r="AI11" s="72">
        <f>286832000-2812000</f>
        <v>284020000</v>
      </c>
      <c r="AJ11" s="72">
        <v>0</v>
      </c>
      <c r="AK11" s="72">
        <v>0</v>
      </c>
      <c r="AL11" s="72">
        <v>-3264000</v>
      </c>
      <c r="AO11" s="109">
        <v>75910572</v>
      </c>
      <c r="AP11" s="72">
        <v>16462000</v>
      </c>
      <c r="AQ11" s="72">
        <v>245000</v>
      </c>
      <c r="AR11" s="72">
        <f>16608000-276000</f>
        <v>16332000</v>
      </c>
      <c r="AS11" s="72">
        <v>0</v>
      </c>
      <c r="AT11" s="72">
        <v>0</v>
      </c>
      <c r="AU11" s="72">
        <v>74486450</v>
      </c>
      <c r="AV11" s="72">
        <v>0</v>
      </c>
      <c r="AW11" s="72">
        <v>134754603</v>
      </c>
      <c r="AX11" s="72">
        <v>63821200</v>
      </c>
      <c r="AY11" s="72">
        <v>0</v>
      </c>
      <c r="AZ11" s="72">
        <v>0</v>
      </c>
      <c r="BA11" s="72">
        <v>1710117050</v>
      </c>
      <c r="BB11" s="72">
        <v>7549</v>
      </c>
      <c r="BC11" s="72">
        <v>1593488</v>
      </c>
      <c r="BD11" s="72">
        <v>0</v>
      </c>
      <c r="BE11" s="73">
        <v>2.7539999999999999E-2</v>
      </c>
      <c r="BF11" s="73">
        <f t="shared" si="8"/>
        <v>3.3500000000000001E-3</v>
      </c>
      <c r="BG11" s="72">
        <f t="shared" si="2"/>
        <v>62149794</v>
      </c>
      <c r="BH11" s="74">
        <v>2012058911</v>
      </c>
      <c r="BI11" s="73"/>
      <c r="BJ11" s="72"/>
      <c r="BK11" s="71">
        <f>ROUND(B11-(C11*(IF(AE11=0,(D11/C11),ROUND((AF11+AG11+((AF11+AG11)*0.01))/AE11,5)))),0)+ROUND(E11,0)+ROUND(I11,0)+ROUND(F11-(G11*(IF(AE11=0,(H11/G11),ROUND((AF11+AG11+((AF11+AG11)*0.01))/AE11,5)))),0)+ROUND(J11,0)+ROUND(N11,0)</f>
        <v>53014807</v>
      </c>
      <c r="BL11" s="69">
        <f t="shared" si="9"/>
        <v>10242050</v>
      </c>
      <c r="BM11" s="69">
        <f t="shared" si="5"/>
        <v>610084</v>
      </c>
      <c r="BN11" s="75">
        <f>ROUND((ROUND((BA11-AY11)*BF9,0)-ROUND((BH9-(SUM(AU9:AX9)+AY9+SUM(BB9:BC9)))*IF(BI9="",BF9,BI9),0))*ROUND(BH11/(BH11-SUM(AU11:AX11,AY11,BB11:BC11)),8),0)</f>
        <v>496979</v>
      </c>
      <c r="BO11" s="76">
        <v>0</v>
      </c>
      <c r="BP11" s="76">
        <v>412</v>
      </c>
      <c r="BQ11" s="76">
        <v>0</v>
      </c>
      <c r="BR11" s="69"/>
      <c r="BS11" s="69"/>
      <c r="BT11" s="73">
        <f>BE11+BF11</f>
        <v>3.0889999999999997E-2</v>
      </c>
      <c r="BU11" s="72">
        <f>ROUND(BA11*BT11,0)</f>
        <v>52825516</v>
      </c>
    </row>
    <row r="12" spans="1:75">
      <c r="A12" s="68">
        <v>40391</v>
      </c>
      <c r="B12" s="69">
        <v>45755834.380000003</v>
      </c>
      <c r="C12" s="69">
        <v>0</v>
      </c>
      <c r="D12" s="69">
        <v>0</v>
      </c>
      <c r="E12" s="69">
        <v>262727.71999999997</v>
      </c>
      <c r="F12" s="69">
        <v>0</v>
      </c>
      <c r="G12" s="69">
        <v>0</v>
      </c>
      <c r="H12" s="69">
        <v>0</v>
      </c>
      <c r="I12" s="69">
        <v>0</v>
      </c>
      <c r="J12" s="69">
        <v>6919472.5300000003</v>
      </c>
      <c r="K12" s="69">
        <v>1183126</v>
      </c>
      <c r="L12" s="69">
        <v>481351</v>
      </c>
      <c r="M12" s="70">
        <v>1313349</v>
      </c>
      <c r="N12" s="71">
        <v>-611574</v>
      </c>
      <c r="O12" s="69">
        <v>14074536.619999999</v>
      </c>
      <c r="P12" s="69">
        <v>6317868.7699999996</v>
      </c>
      <c r="Q12" s="69">
        <v>121515.27</v>
      </c>
      <c r="R12" s="69">
        <v>0</v>
      </c>
      <c r="S12" s="69">
        <v>0</v>
      </c>
      <c r="T12" s="69">
        <v>21293.51</v>
      </c>
      <c r="U12" s="72">
        <v>0</v>
      </c>
      <c r="V12" s="69">
        <v>514091.37</v>
      </c>
      <c r="W12" s="69">
        <v>0</v>
      </c>
      <c r="X12" s="69">
        <v>0</v>
      </c>
      <c r="Y12" s="69">
        <v>514037.96</v>
      </c>
      <c r="Z12" s="72">
        <v>0</v>
      </c>
      <c r="AA12" s="72">
        <v>0</v>
      </c>
      <c r="AB12" s="72">
        <v>2220402</v>
      </c>
      <c r="AC12" s="72">
        <v>0</v>
      </c>
      <c r="AD12" s="72">
        <v>1777392000</v>
      </c>
      <c r="AE12" s="72">
        <v>0</v>
      </c>
      <c r="AF12" s="72">
        <v>0</v>
      </c>
      <c r="AG12" s="72">
        <v>0</v>
      </c>
      <c r="AH12" s="72">
        <v>424646000</v>
      </c>
      <c r="AI12" s="72">
        <v>278518000</v>
      </c>
      <c r="AJ12" s="72">
        <v>0</v>
      </c>
      <c r="AK12" s="72">
        <v>0</v>
      </c>
      <c r="AL12" s="72">
        <v>106997000</v>
      </c>
      <c r="AO12" s="109">
        <v>257331367</v>
      </c>
      <c r="AP12" s="72">
        <v>14803000</v>
      </c>
      <c r="AQ12" s="72">
        <v>0</v>
      </c>
      <c r="AR12" s="72">
        <v>14803000</v>
      </c>
      <c r="AS12" s="72">
        <v>0</v>
      </c>
      <c r="AT12" s="72">
        <v>0</v>
      </c>
      <c r="AU12" s="72">
        <v>75857815</v>
      </c>
      <c r="AV12" s="72">
        <v>0</v>
      </c>
      <c r="AW12" s="72">
        <f>(12400668-6431309)+130685698</f>
        <v>136655057</v>
      </c>
      <c r="AX12" s="72">
        <v>65168800</v>
      </c>
      <c r="AY12" s="72">
        <v>0</v>
      </c>
      <c r="AZ12" s="72">
        <v>0</v>
      </c>
      <c r="BA12" s="72">
        <v>1744276992</v>
      </c>
      <c r="BB12" s="72">
        <v>8619</v>
      </c>
      <c r="BC12" s="72">
        <v>1694870</v>
      </c>
      <c r="BD12" s="72">
        <v>0</v>
      </c>
      <c r="BE12" s="73">
        <v>2.7539999999999999E-2</v>
      </c>
      <c r="BF12" s="73">
        <f t="shared" si="8"/>
        <v>1.4300000000000001E-3</v>
      </c>
      <c r="BG12" s="72">
        <f t="shared" si="2"/>
        <v>63147936</v>
      </c>
      <c r="BH12" s="74">
        <v>2179683175</v>
      </c>
      <c r="BI12" s="73"/>
      <c r="BJ12" s="72"/>
      <c r="BK12" s="71">
        <f t="shared" ref="BK12:BK21" si="10">ROUND(B12-(C12*(IF(AE12=0,0,ROUND((AF12+AG12+((AF12+AG12)*0.01))/AE12,5)))),0)+ROUND(E12,0)+ROUND(F12,0)+ROUND(I12,0)-SUM(IF(AE12=0,0,ROUND(G12*ROUND((AF12+AG12+((AF12+AG12)*0.01))/AE12,5),0)))+ROUND(J12,0)+ROUND(N12,0)</f>
        <v>52326461</v>
      </c>
      <c r="BL12" s="69">
        <f t="shared" si="9"/>
        <v>14053243</v>
      </c>
      <c r="BM12" s="69">
        <f t="shared" si="5"/>
        <v>514092</v>
      </c>
      <c r="BN12" s="75">
        <f>ROUND((ROUND((BA12-AY12)*BF10,0)-ROUND((BH10-(SUM(AU10:AX10)+AY10+SUM(BB10:BC10)))*IF(BI10="",BF10,BI10),0))*ROUND(BH12/(BH12-SUM(AU12:AX12,AY12,BB12:BC12)),8),0)</f>
        <v>497274</v>
      </c>
      <c r="BO12" s="76">
        <v>0</v>
      </c>
      <c r="BP12" s="76">
        <v>414</v>
      </c>
      <c r="BQ12" s="76">
        <v>0</v>
      </c>
      <c r="BR12" s="69"/>
      <c r="BS12" s="69"/>
      <c r="BT12" s="73">
        <f t="shared" ref="BT12:BT29" si="11">BE12+BF12</f>
        <v>2.8969999999999999E-2</v>
      </c>
      <c r="BU12" s="72">
        <f t="shared" ref="BU12:BU29" si="12">ROUND(BA12*BT12,0)</f>
        <v>50531704</v>
      </c>
    </row>
    <row r="13" spans="1:75">
      <c r="A13" s="68">
        <v>40422</v>
      </c>
      <c r="B13" s="69">
        <v>35249169.299999997</v>
      </c>
      <c r="C13" s="69">
        <v>431866.7</v>
      </c>
      <c r="D13" s="69">
        <v>108035.77</v>
      </c>
      <c r="E13" s="69">
        <v>539065.42000000004</v>
      </c>
      <c r="F13" s="69">
        <v>13.75</v>
      </c>
      <c r="G13" s="69">
        <v>233901.28</v>
      </c>
      <c r="H13" s="69">
        <v>58512.75</v>
      </c>
      <c r="I13" s="69">
        <v>0</v>
      </c>
      <c r="J13" s="69">
        <v>3159147.2</v>
      </c>
      <c r="K13" s="69">
        <v>1589298</v>
      </c>
      <c r="L13" s="69">
        <v>658733</v>
      </c>
      <c r="M13" s="70">
        <v>1146147</v>
      </c>
      <c r="N13" s="71">
        <v>-215582</v>
      </c>
      <c r="O13" s="69">
        <v>12281838.539999999</v>
      </c>
      <c r="P13" s="69">
        <v>8184559.3700000001</v>
      </c>
      <c r="Q13" s="69">
        <v>112117.4</v>
      </c>
      <c r="R13" s="69">
        <v>0</v>
      </c>
      <c r="S13" s="69">
        <v>0</v>
      </c>
      <c r="T13" s="69">
        <v>0</v>
      </c>
      <c r="U13" s="72">
        <v>0</v>
      </c>
      <c r="V13" s="69">
        <v>505178.36</v>
      </c>
      <c r="W13" s="69">
        <v>0</v>
      </c>
      <c r="X13" s="69">
        <v>0</v>
      </c>
      <c r="Y13" s="69">
        <v>501425.53</v>
      </c>
      <c r="Z13" s="72">
        <v>0</v>
      </c>
      <c r="AA13" s="72">
        <v>0</v>
      </c>
      <c r="AB13" s="72">
        <v>0</v>
      </c>
      <c r="AC13" s="72">
        <v>0</v>
      </c>
      <c r="AD13" s="72">
        <v>1338539000</v>
      </c>
      <c r="AE13" s="72">
        <v>23786000</v>
      </c>
      <c r="AF13" s="72">
        <v>2877000</v>
      </c>
      <c r="AG13" s="72">
        <v>3054000</v>
      </c>
      <c r="AH13" s="72">
        <v>497808000</v>
      </c>
      <c r="AI13" s="72">
        <v>398552000</v>
      </c>
      <c r="AJ13" s="72">
        <v>0</v>
      </c>
      <c r="AK13" s="72">
        <v>0</v>
      </c>
      <c r="AL13" s="72">
        <v>22532000</v>
      </c>
      <c r="AO13" s="109">
        <v>152475598</v>
      </c>
      <c r="AP13" s="72">
        <v>17577000</v>
      </c>
      <c r="AQ13" s="72">
        <v>0</v>
      </c>
      <c r="AR13" s="72">
        <v>17468000</v>
      </c>
      <c r="AS13" s="72">
        <v>0</v>
      </c>
      <c r="AT13" s="72">
        <v>0</v>
      </c>
      <c r="AU13" s="72">
        <v>65993798</v>
      </c>
      <c r="AV13" s="72">
        <v>0</v>
      </c>
      <c r="AW13" s="72">
        <v>109254725</v>
      </c>
      <c r="AX13" s="72">
        <v>51643200</v>
      </c>
      <c r="AY13" s="72">
        <v>0</v>
      </c>
      <c r="AZ13" s="72">
        <v>0</v>
      </c>
      <c r="BA13" s="72">
        <v>1669223615</v>
      </c>
      <c r="BB13" s="72">
        <v>6157</v>
      </c>
      <c r="BC13" s="72">
        <v>1772017</v>
      </c>
      <c r="BD13" s="72">
        <v>0</v>
      </c>
      <c r="BE13" s="73">
        <v>2.7539999999999999E-2</v>
      </c>
      <c r="BF13" s="73">
        <f t="shared" si="8"/>
        <v>1.3500000000000001E-3</v>
      </c>
      <c r="BG13" s="72">
        <f t="shared" si="2"/>
        <v>50276995</v>
      </c>
      <c r="BH13" s="74">
        <v>1740256029</v>
      </c>
      <c r="BI13" s="69"/>
      <c r="BJ13" s="72"/>
      <c r="BK13" s="71">
        <f t="shared" si="10"/>
        <v>38564146</v>
      </c>
      <c r="BL13" s="69">
        <f t="shared" si="9"/>
        <v>12281838</v>
      </c>
      <c r="BM13" s="69">
        <f t="shared" si="5"/>
        <v>505217</v>
      </c>
      <c r="BN13" s="75">
        <f>ROUND((ROUND((BA13-AY13)*0.00352,0)-ROUND((BH11-(SUM(AU11:AX11)+AY11+SUM(BB11:BC11)))*IF(BI11="",BF11,BI11),0))*ROUND(BH13/(BH13-SUM(AU13:AX13,AY13,BB13:BC13)),8),0)</f>
        <v>63772</v>
      </c>
      <c r="BO13" s="76">
        <v>29</v>
      </c>
      <c r="BP13" s="76">
        <v>209</v>
      </c>
      <c r="BQ13" s="72">
        <v>907000</v>
      </c>
      <c r="BR13" s="69"/>
      <c r="BS13" s="69"/>
      <c r="BT13" s="73">
        <f t="shared" si="11"/>
        <v>2.8889999999999999E-2</v>
      </c>
      <c r="BU13" s="72">
        <f t="shared" si="12"/>
        <v>48223870</v>
      </c>
    </row>
    <row r="14" spans="1:75">
      <c r="A14" s="68">
        <v>40452</v>
      </c>
      <c r="B14" s="69">
        <v>24992698.079999998</v>
      </c>
      <c r="C14" s="69">
        <v>1854805.71</v>
      </c>
      <c r="D14" s="69">
        <v>484883.31</v>
      </c>
      <c r="E14" s="69">
        <v>590391.43000000005</v>
      </c>
      <c r="F14" s="69">
        <v>0</v>
      </c>
      <c r="G14" s="69">
        <v>333739.93</v>
      </c>
      <c r="H14" s="69">
        <v>87246.29</v>
      </c>
      <c r="I14" s="69">
        <v>0</v>
      </c>
      <c r="J14" s="69">
        <v>565733.31000000006</v>
      </c>
      <c r="K14" s="69">
        <v>1602034</v>
      </c>
      <c r="L14" s="69">
        <v>1555911</v>
      </c>
      <c r="M14" s="70">
        <v>286187</v>
      </c>
      <c r="N14" s="71">
        <v>-240064</v>
      </c>
      <c r="O14" s="69">
        <v>11663943.5</v>
      </c>
      <c r="P14" s="69">
        <v>10078472.33</v>
      </c>
      <c r="Q14" s="69">
        <v>169140.52</v>
      </c>
      <c r="R14" s="69">
        <v>0</v>
      </c>
      <c r="S14" s="69">
        <v>0</v>
      </c>
      <c r="T14" s="69">
        <v>0</v>
      </c>
      <c r="U14" s="72">
        <v>0</v>
      </c>
      <c r="V14" s="69">
        <v>926622.16</v>
      </c>
      <c r="W14" s="69">
        <v>0</v>
      </c>
      <c r="X14" s="69">
        <v>0</v>
      </c>
      <c r="Y14" s="69">
        <v>926587.44</v>
      </c>
      <c r="Z14" s="72">
        <v>0</v>
      </c>
      <c r="AA14" s="72">
        <v>0</v>
      </c>
      <c r="AB14" s="72">
        <v>0</v>
      </c>
      <c r="AC14" s="72">
        <v>0</v>
      </c>
      <c r="AD14" s="72">
        <v>1081081000</v>
      </c>
      <c r="AE14" s="72">
        <v>97899000</v>
      </c>
      <c r="AF14" s="72">
        <v>12369000</v>
      </c>
      <c r="AG14" s="72">
        <v>13139000</v>
      </c>
      <c r="AH14" s="72">
        <v>576927000</v>
      </c>
      <c r="AI14" s="72">
        <v>521498000</v>
      </c>
      <c r="AJ14" s="72">
        <v>0</v>
      </c>
      <c r="AK14" s="72">
        <v>0</v>
      </c>
      <c r="AL14" s="72">
        <v>-13413000</v>
      </c>
      <c r="AO14" s="109">
        <v>196119894</v>
      </c>
      <c r="AP14" s="72">
        <v>35237000</v>
      </c>
      <c r="AQ14" s="72">
        <v>0</v>
      </c>
      <c r="AR14" s="72">
        <v>35236000</v>
      </c>
      <c r="AS14" s="72">
        <v>0</v>
      </c>
      <c r="AT14" s="72">
        <v>0</v>
      </c>
      <c r="AU14" s="72">
        <v>70958362</v>
      </c>
      <c r="AV14" s="72">
        <v>0</v>
      </c>
      <c r="AW14" s="72">
        <v>92688808</v>
      </c>
      <c r="AX14" s="72">
        <v>43270000</v>
      </c>
      <c r="AY14" s="72">
        <v>0</v>
      </c>
      <c r="AZ14" s="72">
        <v>0</v>
      </c>
      <c r="BA14" s="72">
        <v>1374815688</v>
      </c>
      <c r="BB14" s="72">
        <v>5350</v>
      </c>
      <c r="BC14" s="72">
        <v>1479820</v>
      </c>
      <c r="BD14" s="72">
        <v>0</v>
      </c>
      <c r="BE14" s="73">
        <v>2.7539999999999999E-2</v>
      </c>
      <c r="BF14" s="73">
        <f t="shared" si="8"/>
        <v>-2.5699999999999998E-3</v>
      </c>
      <c r="BG14" s="72">
        <f t="shared" si="2"/>
        <v>36976672</v>
      </c>
      <c r="BH14" s="74">
        <v>1480652698</v>
      </c>
      <c r="BI14" s="69"/>
      <c r="BJ14" s="72"/>
      <c r="BK14" s="71">
        <f t="shared" si="10"/>
        <v>25332820</v>
      </c>
      <c r="BL14" s="69">
        <f t="shared" si="9"/>
        <v>11663944</v>
      </c>
      <c r="BM14" s="69">
        <f t="shared" si="5"/>
        <v>926622</v>
      </c>
      <c r="BN14" s="75">
        <f>ROUND((ROUND((BA14-AY14)*0.00141,0)-ROUND((BH12-(SUM(AU12:AX12)+AY12+SUM(BB12:BC12)))*IF(BI12="",BF12,BI12),0))*ROUND(BH14/(BH14-SUM(AU14:AX14,AY14,BB14:BC14)),8),0)</f>
        <v>-906530</v>
      </c>
      <c r="BO14" s="76">
        <v>206</v>
      </c>
      <c r="BP14" s="76">
        <v>18</v>
      </c>
      <c r="BQ14" s="72">
        <v>2431000</v>
      </c>
      <c r="BR14" s="69"/>
      <c r="BS14" s="69"/>
      <c r="BT14" s="73">
        <f t="shared" si="11"/>
        <v>2.4969999999999999E-2</v>
      </c>
      <c r="BU14" s="72">
        <f t="shared" si="12"/>
        <v>34329148</v>
      </c>
    </row>
    <row r="15" spans="1:75">
      <c r="A15" s="68">
        <v>40483</v>
      </c>
      <c r="B15" s="69">
        <v>28718801.780000001</v>
      </c>
      <c r="C15" s="69">
        <v>377473.46</v>
      </c>
      <c r="D15" s="69">
        <v>93888.97</v>
      </c>
      <c r="E15" s="69">
        <v>354604.43</v>
      </c>
      <c r="F15" s="69">
        <v>890.81</v>
      </c>
      <c r="G15" s="69">
        <v>1654.44</v>
      </c>
      <c r="H15" s="69">
        <v>411.51</v>
      </c>
      <c r="I15" s="69">
        <v>0</v>
      </c>
      <c r="J15" s="69">
        <v>382768.38</v>
      </c>
      <c r="K15" s="69">
        <v>2061835</v>
      </c>
      <c r="L15" s="69">
        <v>712010</v>
      </c>
      <c r="M15" s="70">
        <v>378213</v>
      </c>
      <c r="N15" s="71">
        <v>0</v>
      </c>
      <c r="O15" s="69">
        <v>11091548.449999999</v>
      </c>
      <c r="P15" s="69">
        <v>9372879.3800000008</v>
      </c>
      <c r="Q15" s="69">
        <v>254252.27</v>
      </c>
      <c r="R15" s="69">
        <v>0</v>
      </c>
      <c r="S15" s="69">
        <v>0</v>
      </c>
      <c r="T15" s="69">
        <v>0</v>
      </c>
      <c r="U15" s="72">
        <v>0</v>
      </c>
      <c r="V15" s="69">
        <v>1096666.6000000001</v>
      </c>
      <c r="W15" s="69">
        <v>0</v>
      </c>
      <c r="X15" s="69">
        <v>0</v>
      </c>
      <c r="Y15" s="69">
        <v>1096666.6000000001</v>
      </c>
      <c r="Z15" s="72">
        <v>0</v>
      </c>
      <c r="AA15" s="72">
        <v>0</v>
      </c>
      <c r="AB15" s="72">
        <v>0</v>
      </c>
      <c r="AC15" s="72">
        <v>0</v>
      </c>
      <c r="AD15" s="72">
        <v>1180007000</v>
      </c>
      <c r="AE15" s="72">
        <v>21760000</v>
      </c>
      <c r="AF15" s="72">
        <v>2852000</v>
      </c>
      <c r="AG15" s="72">
        <v>2745000</v>
      </c>
      <c r="AH15" s="72">
        <v>545720000</v>
      </c>
      <c r="AI15" s="72">
        <v>499028000</v>
      </c>
      <c r="AJ15" s="72">
        <v>0</v>
      </c>
      <c r="AK15" s="72">
        <v>0</v>
      </c>
      <c r="AL15" s="72">
        <v>-10946000</v>
      </c>
      <c r="AO15" s="109">
        <v>145877920</v>
      </c>
      <c r="AP15" s="72">
        <v>36980000</v>
      </c>
      <c r="AQ15" s="72">
        <v>0</v>
      </c>
      <c r="AR15" s="72">
        <v>36980000</v>
      </c>
      <c r="AS15" s="72">
        <v>0</v>
      </c>
      <c r="AT15" s="72">
        <v>0</v>
      </c>
      <c r="AU15" s="72">
        <v>82618802</v>
      </c>
      <c r="AV15" s="72">
        <v>0</v>
      </c>
      <c r="AW15" s="72">
        <f>98613350+4735392-5520000</f>
        <v>97828742</v>
      </c>
      <c r="AX15" s="72">
        <v>43304400</v>
      </c>
      <c r="AY15" s="72">
        <v>0</v>
      </c>
      <c r="AZ15" s="72">
        <v>0</v>
      </c>
      <c r="BA15" s="72">
        <v>1284320615</v>
      </c>
      <c r="BB15" s="72">
        <v>8647</v>
      </c>
      <c r="BC15" s="72">
        <v>1343366</v>
      </c>
      <c r="BD15" s="72">
        <v>0</v>
      </c>
      <c r="BE15" s="73">
        <v>2.7539999999999999E-2</v>
      </c>
      <c r="BF15" s="73">
        <v>-2.15E-3</v>
      </c>
      <c r="BG15" s="72">
        <f t="shared" si="2"/>
        <v>39711642</v>
      </c>
      <c r="BH15" s="74">
        <v>1569218896</v>
      </c>
      <c r="BI15" s="69"/>
      <c r="BJ15" s="72"/>
      <c r="BK15" s="71">
        <f t="shared" si="10"/>
        <v>29358571</v>
      </c>
      <c r="BL15" s="69">
        <f t="shared" si="9"/>
        <v>11091548</v>
      </c>
      <c r="BM15" s="69">
        <f t="shared" si="5"/>
        <v>1096667</v>
      </c>
      <c r="BN15" s="75">
        <f>ROUND((ROUND((BA15-AY15)*BF13,0)-ROUND((BH13-(SUM(AU13:AX13)+AY13+SUM(BB13:BC13)))*IF(BI13="",BF13,BI13),0))*ROUND(BH15/(BH15-SUM(AU15:AX15,AY15,BB15:BC15)),8),0)</f>
        <v>-358190</v>
      </c>
      <c r="BO15" s="76">
        <v>536</v>
      </c>
      <c r="BP15" s="76">
        <v>0</v>
      </c>
      <c r="BQ15" s="72">
        <v>1900000</v>
      </c>
      <c r="BR15" s="69"/>
      <c r="BS15" s="69"/>
      <c r="BT15" s="73">
        <f t="shared" si="11"/>
        <v>2.5389999999999999E-2</v>
      </c>
      <c r="BU15" s="72">
        <f t="shared" si="12"/>
        <v>32608900</v>
      </c>
    </row>
    <row r="16" spans="1:75">
      <c r="A16" s="68">
        <v>40513</v>
      </c>
      <c r="B16" s="69">
        <v>43263079.100000001</v>
      </c>
      <c r="C16" s="69">
        <v>3358977.86</v>
      </c>
      <c r="D16" s="69">
        <v>842330.88</v>
      </c>
      <c r="E16" s="69">
        <v>656278.64</v>
      </c>
      <c r="F16" s="69">
        <v>0</v>
      </c>
      <c r="G16" s="69">
        <v>260098.88</v>
      </c>
      <c r="H16" s="69">
        <v>65225</v>
      </c>
      <c r="I16" s="69">
        <v>0</v>
      </c>
      <c r="J16" s="69">
        <v>5298978.07</v>
      </c>
      <c r="K16" s="69">
        <v>1516434</v>
      </c>
      <c r="L16" s="69">
        <v>1350448</v>
      </c>
      <c r="M16" s="70">
        <v>585386</v>
      </c>
      <c r="N16" s="71">
        <v>-419400</v>
      </c>
      <c r="O16" s="69">
        <v>15183010.949999999</v>
      </c>
      <c r="P16" s="69">
        <v>10908776.859999999</v>
      </c>
      <c r="Q16" s="69">
        <v>211307.29</v>
      </c>
      <c r="R16" s="69">
        <v>0</v>
      </c>
      <c r="S16" s="69">
        <v>0</v>
      </c>
      <c r="T16" s="69">
        <v>0</v>
      </c>
      <c r="U16" s="72">
        <v>0</v>
      </c>
      <c r="V16" s="69">
        <v>958111.64</v>
      </c>
      <c r="W16" s="69">
        <v>0</v>
      </c>
      <c r="X16" s="69">
        <v>0</v>
      </c>
      <c r="Y16" s="69">
        <v>958111.64</v>
      </c>
      <c r="Z16" s="72">
        <v>0</v>
      </c>
      <c r="AA16" s="72">
        <v>0</v>
      </c>
      <c r="AB16" s="72">
        <v>0</v>
      </c>
      <c r="AC16" s="72">
        <v>0</v>
      </c>
      <c r="AD16" s="72">
        <v>1779423000</v>
      </c>
      <c r="AE16" s="72">
        <v>160556000</v>
      </c>
      <c r="AF16" s="72">
        <v>19453000</v>
      </c>
      <c r="AG16" s="72">
        <v>20678000</v>
      </c>
      <c r="AH16" s="72">
        <v>601048000</v>
      </c>
      <c r="AI16" s="72">
        <v>489542000</v>
      </c>
      <c r="AJ16" s="72">
        <v>0</v>
      </c>
      <c r="AK16" s="72">
        <v>0</v>
      </c>
      <c r="AL16" s="72">
        <v>4850250</v>
      </c>
      <c r="AO16" s="109">
        <v>13710113</v>
      </c>
      <c r="AP16" s="72">
        <v>30373000</v>
      </c>
      <c r="AQ16" s="72">
        <v>0</v>
      </c>
      <c r="AR16" s="72">
        <v>30373000</v>
      </c>
      <c r="AS16" s="72">
        <v>0</v>
      </c>
      <c r="AT16" s="72">
        <v>0</v>
      </c>
      <c r="AU16" s="72">
        <v>134836047</v>
      </c>
      <c r="AV16" s="72">
        <v>0</v>
      </c>
      <c r="AW16" s="72">
        <f>125833549+6996126</f>
        <v>132829675</v>
      </c>
      <c r="AX16" s="72">
        <v>52352800</v>
      </c>
      <c r="AY16" s="72">
        <v>0</v>
      </c>
      <c r="AZ16" s="72">
        <v>0</v>
      </c>
      <c r="BA16" s="72">
        <v>1667742464</v>
      </c>
      <c r="BB16" s="72">
        <v>15049</v>
      </c>
      <c r="BC16" s="72">
        <v>2280249</v>
      </c>
      <c r="BD16" s="72">
        <v>0</v>
      </c>
      <c r="BE16" s="73">
        <v>2.7539999999999999E-2</v>
      </c>
      <c r="BF16" s="73">
        <f t="shared" si="8"/>
        <v>1.48E-3</v>
      </c>
      <c r="BG16" s="72">
        <f t="shared" si="2"/>
        <v>63302832</v>
      </c>
      <c r="BH16" s="74">
        <v>2181399705</v>
      </c>
      <c r="BI16" s="69"/>
      <c r="BJ16" s="72"/>
      <c r="BK16" s="71">
        <f t="shared" si="10"/>
        <v>47885300</v>
      </c>
      <c r="BL16" s="69">
        <f t="shared" si="9"/>
        <v>15183011</v>
      </c>
      <c r="BM16" s="69">
        <f t="shared" si="5"/>
        <v>958112</v>
      </c>
      <c r="BN16" s="75">
        <f>ROUND((ROUND((BA16-AY16)*BF14,0)-ROUND((BH14-(SUM(AU14:AX14)+AY14+SUM(BB14:BC14)))*IF(BI14="",BF14,BI14),0))*ROUND(BH16/(BH16-SUM(AU16:AX16,AY16,BB16:BC16)),8),0)</f>
        <v>-1192633</v>
      </c>
      <c r="BO16" s="76">
        <v>1157</v>
      </c>
      <c r="BP16" s="76">
        <v>0</v>
      </c>
      <c r="BQ16" s="72">
        <v>420000</v>
      </c>
      <c r="BR16" s="69"/>
      <c r="BS16" s="69"/>
      <c r="BT16" s="73">
        <f t="shared" si="11"/>
        <v>2.9019999999999997E-2</v>
      </c>
      <c r="BU16" s="72">
        <f t="shared" si="12"/>
        <v>48397886</v>
      </c>
    </row>
    <row r="17" spans="1:75">
      <c r="A17" s="68">
        <v>40544</v>
      </c>
      <c r="B17" s="69">
        <v>47479629.020000003</v>
      </c>
      <c r="C17" s="69">
        <v>7230011.7400000002</v>
      </c>
      <c r="D17" s="69">
        <v>1818171.54</v>
      </c>
      <c r="E17" s="69">
        <v>424765.9</v>
      </c>
      <c r="F17" s="69">
        <v>0</v>
      </c>
      <c r="G17" s="69">
        <v>86891.58</v>
      </c>
      <c r="H17" s="69">
        <v>21851.119999999999</v>
      </c>
      <c r="I17" s="69">
        <v>0</v>
      </c>
      <c r="J17" s="69">
        <v>2102716.2599999998</v>
      </c>
      <c r="K17" s="69">
        <v>1525390</v>
      </c>
      <c r="L17" s="69">
        <v>1238361</v>
      </c>
      <c r="M17" s="70">
        <v>489871</v>
      </c>
      <c r="N17" s="71">
        <v>-202842</v>
      </c>
      <c r="O17" s="69">
        <v>13247347.939999999</v>
      </c>
      <c r="P17" s="69">
        <v>10622537.51</v>
      </c>
      <c r="Q17" s="69">
        <v>604867.68999999994</v>
      </c>
      <c r="R17" s="69">
        <v>0</v>
      </c>
      <c r="S17" s="69">
        <v>0</v>
      </c>
      <c r="T17" s="69">
        <v>0</v>
      </c>
      <c r="U17" s="72">
        <v>0</v>
      </c>
      <c r="V17" s="69">
        <v>3174733.6</v>
      </c>
      <c r="W17" s="69">
        <v>0</v>
      </c>
      <c r="X17" s="69">
        <v>0</v>
      </c>
      <c r="Y17" s="69">
        <v>3163571.59</v>
      </c>
      <c r="Z17" s="72">
        <v>0</v>
      </c>
      <c r="AA17" s="72">
        <v>0</v>
      </c>
      <c r="AB17" s="72">
        <v>0</v>
      </c>
      <c r="AC17" s="72">
        <v>0</v>
      </c>
      <c r="AD17" s="72">
        <v>1904350000</v>
      </c>
      <c r="AE17" s="72">
        <v>370773000</v>
      </c>
      <c r="AF17" s="72">
        <v>47860000</v>
      </c>
      <c r="AG17" s="72">
        <v>44987000</v>
      </c>
      <c r="AH17" s="72">
        <v>584279000</v>
      </c>
      <c r="AI17" s="72">
        <v>509422000</v>
      </c>
      <c r="AJ17" s="72">
        <v>0</v>
      </c>
      <c r="AK17" s="72">
        <v>0</v>
      </c>
      <c r="AL17" s="72">
        <v>2202065</v>
      </c>
      <c r="AO17" s="109">
        <v>110653155</v>
      </c>
      <c r="AP17" s="72">
        <v>103401000</v>
      </c>
      <c r="AQ17" s="72">
        <v>0</v>
      </c>
      <c r="AR17" s="72">
        <v>103075000</v>
      </c>
      <c r="AS17" s="72">
        <v>0</v>
      </c>
      <c r="AT17" s="72">
        <v>0</v>
      </c>
      <c r="AU17" s="72">
        <v>130046085</v>
      </c>
      <c r="AV17" s="72">
        <v>0</v>
      </c>
      <c r="AW17" s="72">
        <f>124207349+7163391</f>
        <v>131370740</v>
      </c>
      <c r="AX17" s="72">
        <v>53027600</v>
      </c>
      <c r="AY17" s="72">
        <v>0</v>
      </c>
      <c r="AZ17" s="72">
        <v>0</v>
      </c>
      <c r="BA17" s="72">
        <v>1969772373</v>
      </c>
      <c r="BB17" s="72">
        <v>9595</v>
      </c>
      <c r="BC17" s="72">
        <v>3109257</v>
      </c>
      <c r="BD17" s="72">
        <v>0</v>
      </c>
      <c r="BE17" s="73">
        <v>2.7539999999999999E-2</v>
      </c>
      <c r="BF17" s="73">
        <v>-2.0000000000000002E-5</v>
      </c>
      <c r="BG17" s="72">
        <f t="shared" si="2"/>
        <v>59602463</v>
      </c>
      <c r="BH17" s="74">
        <v>2165851031</v>
      </c>
      <c r="BI17" s="69"/>
      <c r="BJ17" s="72"/>
      <c r="BK17" s="71">
        <f t="shared" si="10"/>
        <v>47953677</v>
      </c>
      <c r="BL17" s="69">
        <f t="shared" si="9"/>
        <v>13247349</v>
      </c>
      <c r="BM17" s="69">
        <f t="shared" si="5"/>
        <v>3174846</v>
      </c>
      <c r="BN17" s="75">
        <f>ROUND((ROUND((BA17-AY17)*BF15,0)-ROUND((BH15-(SUM(AU15:AX15)+AY15+SUM(BB15:BC15)))*IF(BI15="",BF15,BI15),0))*ROUND(BH17/(BH17-SUM(AU17:AX17,AY17,BB17:BC17)),8),0)</f>
        <v>-1576283</v>
      </c>
      <c r="BO17" s="76">
        <v>1127</v>
      </c>
      <c r="BP17" s="76">
        <v>0</v>
      </c>
      <c r="BQ17" s="72">
        <v>40000</v>
      </c>
      <c r="BR17" s="69"/>
      <c r="BS17" s="69"/>
      <c r="BT17" s="73">
        <f t="shared" si="11"/>
        <v>2.7519999999999999E-2</v>
      </c>
      <c r="BU17" s="72">
        <f t="shared" si="12"/>
        <v>54208136</v>
      </c>
    </row>
    <row r="18" spans="1:75">
      <c r="A18" s="68">
        <v>40575</v>
      </c>
      <c r="B18" s="69">
        <v>41139511.719999999</v>
      </c>
      <c r="C18" s="69">
        <v>7002440.9500000002</v>
      </c>
      <c r="D18" s="69">
        <v>1760063.53</v>
      </c>
      <c r="E18" s="69">
        <v>851779.19</v>
      </c>
      <c r="F18" s="69">
        <v>0</v>
      </c>
      <c r="G18" s="69">
        <v>504445.22</v>
      </c>
      <c r="H18" s="69">
        <v>126792.31</v>
      </c>
      <c r="I18" s="69">
        <v>0</v>
      </c>
      <c r="J18" s="69">
        <v>1871839.15</v>
      </c>
      <c r="K18" s="69">
        <v>831224</v>
      </c>
      <c r="L18" s="69">
        <v>845562</v>
      </c>
      <c r="M18" s="70">
        <v>63238</v>
      </c>
      <c r="N18" s="71">
        <v>-77576</v>
      </c>
      <c r="O18" s="69">
        <v>8558521.9399999995</v>
      </c>
      <c r="P18" s="69">
        <v>7160500.75</v>
      </c>
      <c r="Q18" s="69">
        <v>486405.57</v>
      </c>
      <c r="R18" s="69">
        <v>732.08</v>
      </c>
      <c r="S18" s="69">
        <v>0</v>
      </c>
      <c r="T18" s="69">
        <v>0</v>
      </c>
      <c r="U18" s="72">
        <v>0</v>
      </c>
      <c r="V18" s="69">
        <v>3614565.85</v>
      </c>
      <c r="W18" s="69">
        <v>16340.07</v>
      </c>
      <c r="X18" s="69">
        <v>15.09</v>
      </c>
      <c r="Y18" s="69">
        <v>3315257.9</v>
      </c>
      <c r="Z18" s="72">
        <v>0</v>
      </c>
      <c r="AA18" s="72">
        <v>0</v>
      </c>
      <c r="AB18" s="72">
        <v>0</v>
      </c>
      <c r="AC18" s="72">
        <v>0</v>
      </c>
      <c r="AD18" s="72">
        <v>1686208000</v>
      </c>
      <c r="AE18" s="72">
        <v>351293000</v>
      </c>
      <c r="AF18" s="72">
        <v>42651000</v>
      </c>
      <c r="AG18" s="72">
        <v>45358000</v>
      </c>
      <c r="AH18" s="72">
        <v>369770000</v>
      </c>
      <c r="AI18" s="72">
        <v>335000000</v>
      </c>
      <c r="AJ18" s="72">
        <v>29000</v>
      </c>
      <c r="AK18" s="72">
        <v>0</v>
      </c>
      <c r="AL18" s="72">
        <v>3151981</v>
      </c>
      <c r="AO18" s="109">
        <v>79088238</v>
      </c>
      <c r="AP18" s="72">
        <v>127566000</v>
      </c>
      <c r="AQ18" s="72">
        <v>586000</v>
      </c>
      <c r="AR18" s="72">
        <v>116977000</v>
      </c>
      <c r="AS18" s="72">
        <v>0</v>
      </c>
      <c r="AT18" s="72">
        <v>0</v>
      </c>
      <c r="AU18" s="72">
        <v>94971636</v>
      </c>
      <c r="AV18" s="72">
        <v>0</v>
      </c>
      <c r="AW18" s="72">
        <v>106136753</v>
      </c>
      <c r="AX18" s="72">
        <v>45020400</v>
      </c>
      <c r="AY18" s="72">
        <v>0</v>
      </c>
      <c r="AZ18" s="72">
        <v>0</v>
      </c>
      <c r="BA18" s="72">
        <v>1641581988</v>
      </c>
      <c r="BB18" s="72">
        <v>11830</v>
      </c>
      <c r="BC18" s="72">
        <v>2537438</v>
      </c>
      <c r="BD18" s="72">
        <v>0</v>
      </c>
      <c r="BE18" s="73">
        <v>2.7539999999999999E-2</v>
      </c>
      <c r="BF18" s="73">
        <v>-2.9999999999999997E-4</v>
      </c>
      <c r="BG18" s="72">
        <f t="shared" si="2"/>
        <v>47203035</v>
      </c>
      <c r="BH18" s="74">
        <v>1733410436</v>
      </c>
      <c r="BI18" s="69"/>
      <c r="BJ18" s="72"/>
      <c r="BK18" s="71">
        <f t="shared" si="10"/>
        <v>41886086</v>
      </c>
      <c r="BL18" s="69">
        <f t="shared" si="9"/>
        <v>8558523</v>
      </c>
      <c r="BM18" s="69">
        <f t="shared" si="5"/>
        <v>3617396</v>
      </c>
      <c r="BN18" s="75">
        <f>ROUND((ROUND((BA18-AY18)*BF16,0)-ROUND((BH16-(SUM(AU16:AX16)+AY16+SUM(BB16:BC16)))*IF(BI16="",BF16,BI16),0))*ROUND(BH18/(BH18-SUM(AU18:AX18,AY18,BB18:BC18)),8),0)</f>
        <v>-375822</v>
      </c>
      <c r="BO18" s="76">
        <v>737</v>
      </c>
      <c r="BP18" s="76">
        <v>0</v>
      </c>
      <c r="BQ18" s="76">
        <v>0</v>
      </c>
      <c r="BR18" s="69"/>
      <c r="BS18" s="69"/>
      <c r="BT18" s="73">
        <f t="shared" si="11"/>
        <v>2.7239999999999997E-2</v>
      </c>
      <c r="BU18" s="72">
        <f t="shared" si="12"/>
        <v>44716693</v>
      </c>
    </row>
    <row r="19" spans="1:75">
      <c r="A19" s="68">
        <v>40603</v>
      </c>
      <c r="B19" s="69">
        <v>37718575.490000002</v>
      </c>
      <c r="C19" s="69">
        <v>4612227.28</v>
      </c>
      <c r="D19" s="69">
        <v>1195074.21</v>
      </c>
      <c r="E19" s="69">
        <v>1397290.92</v>
      </c>
      <c r="F19" s="69">
        <v>1157767.82</v>
      </c>
      <c r="G19" s="69">
        <v>1099811.52</v>
      </c>
      <c r="H19" s="69">
        <v>284972.17</v>
      </c>
      <c r="I19" s="69">
        <v>0</v>
      </c>
      <c r="J19" s="69">
        <v>674984.87</v>
      </c>
      <c r="K19" s="69">
        <v>1747401</v>
      </c>
      <c r="L19" s="69">
        <v>1417485</v>
      </c>
      <c r="M19" s="70">
        <v>646412</v>
      </c>
      <c r="N19" s="71">
        <v>-316496</v>
      </c>
      <c r="O19" s="69">
        <v>10149111.07</v>
      </c>
      <c r="P19" s="69">
        <v>7963526.9100000001</v>
      </c>
      <c r="Q19" s="69">
        <v>383603.29</v>
      </c>
      <c r="R19" s="69">
        <v>0</v>
      </c>
      <c r="S19" s="69">
        <v>0</v>
      </c>
      <c r="T19" s="69">
        <v>0</v>
      </c>
      <c r="U19" s="72">
        <v>0</v>
      </c>
      <c r="V19" s="69">
        <v>2860093.7</v>
      </c>
      <c r="W19" s="69">
        <v>0</v>
      </c>
      <c r="X19" s="69">
        <v>0</v>
      </c>
      <c r="Y19" s="69">
        <v>2802312.19</v>
      </c>
      <c r="Z19" s="72">
        <v>0</v>
      </c>
      <c r="AA19" s="72">
        <v>0</v>
      </c>
      <c r="AB19" s="72">
        <v>0</v>
      </c>
      <c r="AC19" s="72">
        <v>0</v>
      </c>
      <c r="AD19" s="72">
        <v>1533712000</v>
      </c>
      <c r="AE19" s="72">
        <v>217981000</v>
      </c>
      <c r="AF19" s="72">
        <v>27279000</v>
      </c>
      <c r="AG19" s="72">
        <v>29015000</v>
      </c>
      <c r="AH19" s="72">
        <v>429073000</v>
      </c>
      <c r="AI19" s="72">
        <v>375647000</v>
      </c>
      <c r="AJ19" s="72">
        <v>0</v>
      </c>
      <c r="AK19" s="72">
        <v>0</v>
      </c>
      <c r="AL19" s="72">
        <v>2968286</v>
      </c>
      <c r="AO19" s="109">
        <v>88039284</v>
      </c>
      <c r="AP19" s="72">
        <v>102939000</v>
      </c>
      <c r="AQ19" s="72">
        <v>0</v>
      </c>
      <c r="AR19" s="72">
        <v>100968000</v>
      </c>
      <c r="AS19" s="72">
        <v>0</v>
      </c>
      <c r="AT19" s="72">
        <v>0</v>
      </c>
      <c r="AU19" s="72">
        <v>94066096</v>
      </c>
      <c r="AV19" s="72">
        <v>0</v>
      </c>
      <c r="AW19" s="72">
        <f>99163159+5039689</f>
        <v>104202848</v>
      </c>
      <c r="AX19" s="72">
        <v>46387200</v>
      </c>
      <c r="AY19" s="72">
        <v>0</v>
      </c>
      <c r="AZ19" s="72">
        <v>0</v>
      </c>
      <c r="BA19" s="72">
        <v>1521658104</v>
      </c>
      <c r="BB19" s="72">
        <v>4914</v>
      </c>
      <c r="BC19" s="72">
        <v>1492785</v>
      </c>
      <c r="BD19" s="72">
        <v>0</v>
      </c>
      <c r="BE19" s="73">
        <v>2.7539999999999999E-2</v>
      </c>
      <c r="BF19" s="73">
        <f>ROUND(BG19/BH19-BE19,5)</f>
        <v>-5.9000000000000003E-4</v>
      </c>
      <c r="BG19" s="72">
        <f t="shared" si="2"/>
        <v>46009512</v>
      </c>
      <c r="BH19" s="74">
        <v>1707207991</v>
      </c>
      <c r="BI19" s="69"/>
      <c r="BJ19" s="72"/>
      <c r="BK19" s="71">
        <f t="shared" si="10"/>
        <v>39142252</v>
      </c>
      <c r="BL19" s="69">
        <f t="shared" si="9"/>
        <v>10149111</v>
      </c>
      <c r="BM19" s="69">
        <f t="shared" si="5"/>
        <v>2860672</v>
      </c>
      <c r="BN19" s="75">
        <f>ROUND(((ROUND((BA19-AY19)*BF17,0)-ROUND((BH17-(SUM(AU17:AX17)+AY17+SUM(BB17:BC17)))*IF(BI17="",BF17,BI17),0))+353918)*ROUND(BH19/(BH19-SUM(AU19:AX19,AY19,BB19:BC19)),8),0)</f>
        <v>421179</v>
      </c>
      <c r="BO19" s="76">
        <v>569</v>
      </c>
      <c r="BP19" s="76">
        <v>4</v>
      </c>
      <c r="BQ19" s="76">
        <v>0</v>
      </c>
      <c r="BT19" s="73">
        <f t="shared" si="11"/>
        <v>2.6949999999999998E-2</v>
      </c>
      <c r="BU19" s="72">
        <f t="shared" si="12"/>
        <v>41008686</v>
      </c>
    </row>
    <row r="20" spans="1:75">
      <c r="A20" s="68">
        <v>40634</v>
      </c>
      <c r="B20" s="69">
        <v>28334225.539999999</v>
      </c>
      <c r="C20" s="69">
        <v>296009.99</v>
      </c>
      <c r="D20" s="69">
        <v>82900.56</v>
      </c>
      <c r="E20" s="69">
        <v>357080.93</v>
      </c>
      <c r="F20" s="69">
        <v>504.51</v>
      </c>
      <c r="G20" s="69">
        <v>26919.64</v>
      </c>
      <c r="H20" s="69">
        <v>7539.12</v>
      </c>
      <c r="I20" s="69">
        <v>0</v>
      </c>
      <c r="J20" s="69">
        <v>2920782.61</v>
      </c>
      <c r="K20" s="69">
        <v>519851</v>
      </c>
      <c r="L20" s="69">
        <v>368867</v>
      </c>
      <c r="M20" s="70">
        <v>196422</v>
      </c>
      <c r="N20" s="71">
        <f t="shared" ref="N20:N31" si="13">IF(L20+M20&lt;K20,0,K20-L20-M20)</f>
        <v>-45438</v>
      </c>
      <c r="O20" s="69">
        <v>10940785.529999999</v>
      </c>
      <c r="P20" s="69">
        <v>7986928.5499999998</v>
      </c>
      <c r="Q20" s="69">
        <v>131464.45000000001</v>
      </c>
      <c r="R20" s="69">
        <v>40.86</v>
      </c>
      <c r="S20" s="69">
        <v>0</v>
      </c>
      <c r="T20" s="69">
        <v>0</v>
      </c>
      <c r="U20" s="72">
        <v>0</v>
      </c>
      <c r="V20" s="69">
        <v>911383.64</v>
      </c>
      <c r="W20" s="69">
        <v>323.13</v>
      </c>
      <c r="X20" s="69">
        <v>0.43</v>
      </c>
      <c r="Y20" s="69">
        <v>910534.89</v>
      </c>
      <c r="Z20" s="72">
        <v>0</v>
      </c>
      <c r="AA20" s="72">
        <v>0</v>
      </c>
      <c r="AB20" s="72">
        <v>0</v>
      </c>
      <c r="AC20" s="72">
        <v>0</v>
      </c>
      <c r="AD20" s="72">
        <v>1149598000</v>
      </c>
      <c r="AE20" s="72">
        <v>13603000</v>
      </c>
      <c r="AF20" s="72">
        <v>1840000</v>
      </c>
      <c r="AG20" s="72">
        <v>1958000</v>
      </c>
      <c r="AH20" s="72">
        <v>447174000</v>
      </c>
      <c r="AI20" s="72">
        <v>367550000</v>
      </c>
      <c r="AJ20" s="72">
        <v>1000</v>
      </c>
      <c r="AK20" s="72">
        <v>0</v>
      </c>
      <c r="AL20" s="72">
        <v>13599451</v>
      </c>
      <c r="AO20" s="109">
        <v>90711475</v>
      </c>
      <c r="AP20" s="72">
        <v>32756000</v>
      </c>
      <c r="AQ20" s="72">
        <v>8000</v>
      </c>
      <c r="AR20" s="72">
        <v>32734000</v>
      </c>
      <c r="AS20" s="72">
        <v>0</v>
      </c>
      <c r="AT20" s="72">
        <v>0</v>
      </c>
      <c r="AU20" s="72">
        <v>69099808</v>
      </c>
      <c r="AV20" s="72">
        <v>0</v>
      </c>
      <c r="AW20" s="72">
        <f>86620122+4012300</f>
        <v>90632422</v>
      </c>
      <c r="AX20" s="72">
        <v>41748800</v>
      </c>
      <c r="AY20" s="72">
        <v>0</v>
      </c>
      <c r="AZ20" s="72">
        <v>0</v>
      </c>
      <c r="BA20" s="72">
        <v>1379963352</v>
      </c>
      <c r="BB20" s="72">
        <v>4873</v>
      </c>
      <c r="BC20" s="72">
        <v>1920959</v>
      </c>
      <c r="BD20" s="72">
        <v>0</v>
      </c>
      <c r="BE20" s="73">
        <v>2.7539999999999999E-2</v>
      </c>
      <c r="BF20" s="73">
        <f>ROUND(BG20/BH20-BE20,5)</f>
        <v>-1.1900000000000001E-3</v>
      </c>
      <c r="BG20" s="72">
        <f t="shared" si="2"/>
        <v>41469392</v>
      </c>
      <c r="BH20" s="74">
        <f>SUM(AD20,-AF20,-AG20,AH20,AL20,-AP20,-ROUND(SUM(AD20,-AF20,-AG20,AH20,AL20)*ROUND(SUM(AM9:AN20)/((SUM(AD9:AD20,AH9:AH20,AL9:AL20)-10203000)-SUM(AF9:AG20)),8),0))</f>
        <v>1573817451</v>
      </c>
      <c r="BI20" s="69"/>
      <c r="BJ20" s="72"/>
      <c r="BK20" s="71">
        <f t="shared" si="10"/>
        <v>31476091</v>
      </c>
      <c r="BL20" s="69">
        <f t="shared" si="9"/>
        <v>10940786</v>
      </c>
      <c r="BM20" s="69">
        <f t="shared" si="5"/>
        <v>911389</v>
      </c>
      <c r="BN20" s="75">
        <f>ROUND((ROUND((BA20-AY20)*BF18,0)-ROUND((BH18-(SUM(AU18:AX18)+AY18+SUM(BB18:BC18)))*IF(BI18="",BF18,BI18),0))*ROUND(BH20/(BH20-SUM(AU20:AX20,AY20,BB20:BC20)),8),0)</f>
        <v>36096</v>
      </c>
      <c r="BO20" s="76">
        <v>218</v>
      </c>
      <c r="BP20" s="76">
        <v>22</v>
      </c>
      <c r="BQ20" s="76">
        <v>0</v>
      </c>
      <c r="BT20" s="73">
        <f t="shared" si="11"/>
        <v>2.6349999999999998E-2</v>
      </c>
      <c r="BU20" s="72">
        <f t="shared" si="12"/>
        <v>36362034</v>
      </c>
    </row>
    <row r="21" spans="1:75">
      <c r="A21" s="68">
        <v>40664</v>
      </c>
      <c r="B21" s="69">
        <f>10651962.35+20697598.45+1476964.59+7385015.96</f>
        <v>40211541.349999994</v>
      </c>
      <c r="C21" s="69">
        <v>7385015.96</v>
      </c>
      <c r="D21" s="69">
        <v>1881037.42</v>
      </c>
      <c r="E21" s="69">
        <f>124076.25+481860.32+60877.65+592476.46</f>
        <v>1259290.6800000002</v>
      </c>
      <c r="F21" s="69">
        <v>0</v>
      </c>
      <c r="G21" s="69">
        <v>592476.46</v>
      </c>
      <c r="H21" s="69">
        <v>150909.68</v>
      </c>
      <c r="I21" s="69">
        <v>3556.39</v>
      </c>
      <c r="J21" s="69">
        <v>3021111.59</v>
      </c>
      <c r="K21" s="69">
        <v>1682233</v>
      </c>
      <c r="L21" s="69">
        <v>1620023</v>
      </c>
      <c r="M21" s="70">
        <v>448257</v>
      </c>
      <c r="N21" s="71">
        <f t="shared" si="13"/>
        <v>-386047</v>
      </c>
      <c r="O21" s="69">
        <v>6670907.6399999997</v>
      </c>
      <c r="P21" s="69">
        <v>4612960.67</v>
      </c>
      <c r="Q21" s="69">
        <v>340082.85</v>
      </c>
      <c r="R21" s="69">
        <v>27813.82</v>
      </c>
      <c r="S21" s="69">
        <v>0</v>
      </c>
      <c r="T21" s="69">
        <v>0</v>
      </c>
      <c r="U21" s="72">
        <v>0</v>
      </c>
      <c r="V21" s="69">
        <v>3105652.46</v>
      </c>
      <c r="W21" s="69">
        <v>230066.81</v>
      </c>
      <c r="X21" s="69">
        <v>498.66</v>
      </c>
      <c r="Y21" s="69">
        <v>2448554.4</v>
      </c>
      <c r="Z21" s="72">
        <v>0</v>
      </c>
      <c r="AA21" s="72">
        <v>0</v>
      </c>
      <c r="AB21" s="72">
        <v>0</v>
      </c>
      <c r="AC21" s="72">
        <v>0</v>
      </c>
      <c r="AD21" s="72">
        <v>1590373000</v>
      </c>
      <c r="AE21" s="72">
        <v>346043000</v>
      </c>
      <c r="AF21" s="72">
        <v>42573000</v>
      </c>
      <c r="AG21" s="72">
        <v>45278000</v>
      </c>
      <c r="AH21" s="72">
        <v>258160000</v>
      </c>
      <c r="AI21" s="72">
        <v>211197000</v>
      </c>
      <c r="AJ21" s="72">
        <v>882000</v>
      </c>
      <c r="AK21" s="72">
        <v>0</v>
      </c>
      <c r="AL21" s="72">
        <v>8780924</v>
      </c>
      <c r="AO21" s="109">
        <v>59071128</v>
      </c>
      <c r="AP21" s="72">
        <v>107610000</v>
      </c>
      <c r="AQ21" s="72">
        <v>8230000</v>
      </c>
      <c r="AR21" s="72">
        <v>86379000</v>
      </c>
      <c r="AS21" s="72">
        <v>0</v>
      </c>
      <c r="AT21" s="72">
        <v>0</v>
      </c>
      <c r="AU21" s="72">
        <v>69498031</v>
      </c>
      <c r="AV21" s="72">
        <v>0</v>
      </c>
      <c r="AW21" s="72">
        <f>97040301+4349828</f>
        <v>101390129</v>
      </c>
      <c r="AX21" s="72">
        <v>46859600</v>
      </c>
      <c r="AY21" s="72">
        <v>0</v>
      </c>
      <c r="AZ21" s="72">
        <v>0</v>
      </c>
      <c r="BA21" s="72">
        <v>1296344179</v>
      </c>
      <c r="BB21" s="72">
        <v>4208</v>
      </c>
      <c r="BC21" s="72">
        <v>1529370</v>
      </c>
      <c r="BD21" s="72">
        <v>0</v>
      </c>
      <c r="BE21" s="73">
        <v>2.7539999999999999E-2</v>
      </c>
      <c r="BF21" s="73">
        <f>ROUND(BG21/BH21-BE21,5)</f>
        <v>-1.4999999999999999E-4</v>
      </c>
      <c r="BG21" s="72">
        <f t="shared" si="2"/>
        <v>45512984</v>
      </c>
      <c r="BH21" s="74">
        <f>SUM(AD21,-AF21,-AG21,AH21,AL21,-AP21,-ROUND(SUM(AD21,-AF21,-AG21,AH21,AL21)*ROUND(SUM(AM10:AN21)/((SUM(AD10:AD21,AH10:AH21,AL10:AL21)-10090000)-SUM(AF10:AG21)),8),0))</f>
        <v>1661852924</v>
      </c>
      <c r="BI21" s="69"/>
      <c r="BJ21" s="72"/>
      <c r="BK21" s="71">
        <f t="shared" si="10"/>
        <v>42063944</v>
      </c>
      <c r="BL21" s="69">
        <f t="shared" si="9"/>
        <v>6670908</v>
      </c>
      <c r="BM21" s="69">
        <f t="shared" si="5"/>
        <v>3109917</v>
      </c>
      <c r="BN21" s="75">
        <f>ROUND((ROUND((BA21-AY21)*BF19,0)-ROUND((BH19-(SUM(AU19:AX19)+AY19+SUM(BB19:BC19)))*IF(BI19="",BF19,BI19),0))*ROUND(BH21/(BH21-SUM(AU21:AX21,AY21,BB21:BC21)),8),0)</f>
        <v>111951</v>
      </c>
      <c r="BO21" s="76">
        <v>142</v>
      </c>
      <c r="BP21" s="76">
        <v>126</v>
      </c>
      <c r="BQ21" s="76">
        <v>0</v>
      </c>
      <c r="BT21" s="73">
        <f t="shared" si="11"/>
        <v>2.7389999999999998E-2</v>
      </c>
      <c r="BU21" s="72">
        <f t="shared" si="12"/>
        <v>35506867</v>
      </c>
    </row>
    <row r="22" spans="1:75">
      <c r="A22" s="68">
        <v>40695</v>
      </c>
      <c r="B22" s="69">
        <v>48206461.579999998</v>
      </c>
      <c r="C22" s="69">
        <v>8476990.8200000003</v>
      </c>
      <c r="D22" s="69">
        <v>2147730.39</v>
      </c>
      <c r="E22" s="69">
        <v>511180.26</v>
      </c>
      <c r="F22" s="69">
        <v>-2089.9699999999998</v>
      </c>
      <c r="G22" s="69">
        <v>152412.07</v>
      </c>
      <c r="H22" s="69">
        <v>38615.120000000003</v>
      </c>
      <c r="I22" s="69">
        <v>0</v>
      </c>
      <c r="J22" s="69">
        <v>4009164.36</v>
      </c>
      <c r="K22" s="69">
        <v>670349</v>
      </c>
      <c r="L22" s="69">
        <v>556017</v>
      </c>
      <c r="M22" s="70">
        <v>352704</v>
      </c>
      <c r="N22" s="71">
        <f t="shared" si="13"/>
        <v>-238372</v>
      </c>
      <c r="O22" s="69">
        <f>4447156.52-54181.76</f>
        <v>4392974.76</v>
      </c>
      <c r="P22" s="69">
        <v>2783475.54</v>
      </c>
      <c r="Q22" s="69">
        <v>226266.66</v>
      </c>
      <c r="R22" s="69">
        <v>45629.96</v>
      </c>
      <c r="S22" s="69">
        <v>0</v>
      </c>
      <c r="T22" s="69">
        <v>0</v>
      </c>
      <c r="U22" s="72">
        <v>0</v>
      </c>
      <c r="V22" s="69">
        <v>3668986.34</v>
      </c>
      <c r="W22" s="69">
        <v>846613.47</v>
      </c>
      <c r="X22" s="69">
        <v>4202.57</v>
      </c>
      <c r="Y22" s="69">
        <v>2027919.25</v>
      </c>
      <c r="Z22" s="72">
        <v>0</v>
      </c>
      <c r="AA22" s="72">
        <v>0</v>
      </c>
      <c r="AB22" s="72">
        <v>0</v>
      </c>
      <c r="AC22" s="72">
        <v>0</v>
      </c>
      <c r="AD22" s="72">
        <v>1921376000</v>
      </c>
      <c r="AE22" s="72">
        <v>403053000</v>
      </c>
      <c r="AF22" s="72">
        <v>49344000</v>
      </c>
      <c r="AG22" s="72">
        <v>52439000</v>
      </c>
      <c r="AH22" s="72">
        <v>169823000</v>
      </c>
      <c r="AI22" s="72">
        <v>128241000</v>
      </c>
      <c r="AJ22" s="72">
        <v>1000000</v>
      </c>
      <c r="AK22" s="72">
        <v>0</v>
      </c>
      <c r="AL22" s="72">
        <v>12666800</v>
      </c>
      <c r="AO22" s="109">
        <v>107215044</v>
      </c>
      <c r="AP22" s="72">
        <v>120266000</v>
      </c>
      <c r="AQ22" s="72">
        <v>21663000</v>
      </c>
      <c r="AR22" s="72">
        <v>75035000</v>
      </c>
      <c r="AS22" s="72">
        <v>0</v>
      </c>
      <c r="AT22" s="72">
        <v>0</v>
      </c>
      <c r="AU22" s="72">
        <v>69946216</v>
      </c>
      <c r="AV22" s="72">
        <v>0</v>
      </c>
      <c r="AW22" s="72">
        <v>115969398</v>
      </c>
      <c r="AX22" s="72">
        <v>55590400</v>
      </c>
      <c r="AY22" s="72">
        <v>0</v>
      </c>
      <c r="AZ22" s="72">
        <v>0</v>
      </c>
      <c r="BA22" s="72">
        <v>1526528523</v>
      </c>
      <c r="BB22" s="72">
        <v>4831</v>
      </c>
      <c r="BC22" s="72">
        <v>1527580</v>
      </c>
      <c r="BD22" s="72">
        <v>888076</v>
      </c>
      <c r="BE22" s="73">
        <v>2.7539999999999999E-2</v>
      </c>
      <c r="BF22" s="73">
        <f>ROUND(BG22/BH22-BE22,5)</f>
        <v>1.47E-3</v>
      </c>
      <c r="BG22" s="72">
        <f>BK22+BL22-BM22-BN22-AB22</f>
        <v>51216857</v>
      </c>
      <c r="BH22" s="74">
        <f t="shared" ref="BH22:BH27" si="14">SUM(AD22,-AF22,-AG22,AH22,AL22,-AP22,-ROUND(SUM(AD22,-AF22,-AG22,AH22,AL22)*ROUND(SUM(AO11:AO22)/(SUM(AD11:AD22,AH11:AH22,AL11:AL22)-SUM(AF11:AG22)),8),0))</f>
        <v>1765193074</v>
      </c>
      <c r="BI22" s="69"/>
      <c r="BJ22" s="72"/>
      <c r="BK22" s="71">
        <f t="shared" ref="BK22:BK31" si="15">ROUND(B22-(C22*(IF(AE22=0,0,ROUND((AF22+AG22+((AF22+AG22)*0.01))/AE22,5)))),0)+ROUND(E22,0)+ROUND(F22,0)+ROUND(I22,0)-SUM(IF(AE22=0,0,ROUND(G22*ROUND((AF22+AG22+((AF22+AG22)*0.01))/AE22,5),0)))+ROUND(J22,0)+ROUND(N22,0)</f>
        <v>50285328</v>
      </c>
      <c r="BL22" s="69">
        <f t="shared" ref="BL22:BL31" si="16">ROUND(O22-T22-U22,0)</f>
        <v>4392975</v>
      </c>
      <c r="BM22" s="69">
        <f>ROUND(V22-SUM(W22:AA22),0)+ROUND(W22+X22,0)+ROUND(Y22+Z22,0)+ROUND((V22-W22-X22-Y22-Z22)*0.01,0)</f>
        <v>3676889</v>
      </c>
      <c r="BN22" s="75">
        <f>ROUND((ROUND((BA22-AY22)*BF20,0)-ROUND((BH20-(SUM(AU20:AX20)+AY20+SUM(BB20:BC20)))*IF(BI20="",BF20,BI20),0))*ROUND(BH22/(BH22-SUM(AU22:AX22,AY22,BB22:BC22)),8),0)</f>
        <v>-215443</v>
      </c>
      <c r="BO22" s="76">
        <v>0</v>
      </c>
      <c r="BP22" s="76">
        <v>259</v>
      </c>
      <c r="BQ22" s="76">
        <v>0</v>
      </c>
      <c r="BT22" s="73">
        <f t="shared" si="11"/>
        <v>2.9009999999999998E-2</v>
      </c>
      <c r="BU22" s="72">
        <f t="shared" si="12"/>
        <v>44284592</v>
      </c>
      <c r="BV22" s="77">
        <f>SUM(BU11:BU22)</f>
        <v>523004032</v>
      </c>
      <c r="BW22" s="76">
        <f>BV22/SUM(BA11:BA22)</f>
        <v>2.7839584207937005E-2</v>
      </c>
    </row>
    <row r="23" spans="1:75">
      <c r="A23" s="68">
        <v>40725</v>
      </c>
      <c r="B23" s="69">
        <v>52585357.869999997</v>
      </c>
      <c r="C23" s="69">
        <v>8677642.8599999994</v>
      </c>
      <c r="D23" s="69">
        <v>2200650.23</v>
      </c>
      <c r="E23" s="69">
        <v>543635.27</v>
      </c>
      <c r="F23" s="69">
        <v>508.65</v>
      </c>
      <c r="G23" s="69">
        <v>236197.29</v>
      </c>
      <c r="H23" s="69">
        <v>59899.63</v>
      </c>
      <c r="I23" s="69">
        <v>0</v>
      </c>
      <c r="J23" s="69">
        <v>6544354.79</v>
      </c>
      <c r="K23" s="69">
        <v>932682</v>
      </c>
      <c r="L23" s="69">
        <v>648159</v>
      </c>
      <c r="M23" s="70">
        <v>471521</v>
      </c>
      <c r="N23" s="71">
        <f t="shared" si="13"/>
        <v>-186998</v>
      </c>
      <c r="O23" s="69">
        <f>6672928.03</f>
        <v>6672928.0300000003</v>
      </c>
      <c r="P23" s="69">
        <v>3775334.39</v>
      </c>
      <c r="Q23" s="69">
        <v>281308.2</v>
      </c>
      <c r="R23" s="69">
        <v>33493.449999999997</v>
      </c>
      <c r="S23" s="69">
        <v>0</v>
      </c>
      <c r="T23" s="69">
        <v>13399.41</v>
      </c>
      <c r="U23" s="69">
        <v>138759.18</v>
      </c>
      <c r="V23" s="69">
        <v>2951908.74</v>
      </c>
      <c r="W23" s="69">
        <v>323957.52</v>
      </c>
      <c r="X23" s="69">
        <v>2119</v>
      </c>
      <c r="Y23" s="69">
        <v>2183841.7000000002</v>
      </c>
      <c r="Z23" s="72">
        <v>0</v>
      </c>
      <c r="AA23" s="72">
        <v>0</v>
      </c>
      <c r="AB23" s="72">
        <v>0</v>
      </c>
      <c r="AC23" s="72">
        <v>0</v>
      </c>
      <c r="AD23" s="72">
        <v>2102035000</v>
      </c>
      <c r="AE23" s="72">
        <v>401777000</v>
      </c>
      <c r="AF23" s="72">
        <v>49276000</v>
      </c>
      <c r="AG23" s="72">
        <v>52279000</v>
      </c>
      <c r="AH23" s="72">
        <v>223530000</v>
      </c>
      <c r="AI23" s="72">
        <v>165231000</v>
      </c>
      <c r="AJ23" s="72">
        <v>714000</v>
      </c>
      <c r="AK23" s="72">
        <v>0</v>
      </c>
      <c r="AL23" s="72">
        <v>13749212</v>
      </c>
      <c r="AO23" s="109">
        <v>75216163</v>
      </c>
      <c r="AP23" s="72">
        <v>97265000</v>
      </c>
      <c r="AQ23" s="72">
        <v>8108000</v>
      </c>
      <c r="AR23" s="72">
        <v>76982000</v>
      </c>
      <c r="AS23" s="72">
        <v>0</v>
      </c>
      <c r="AT23" s="72">
        <v>0</v>
      </c>
      <c r="AU23" s="72">
        <v>76979593</v>
      </c>
      <c r="AV23" s="72">
        <v>0</v>
      </c>
      <c r="AW23" s="72">
        <f>128954570+6056631</f>
        <v>135011201</v>
      </c>
      <c r="AX23" s="72">
        <v>65086000</v>
      </c>
      <c r="AY23" s="72">
        <v>0</v>
      </c>
      <c r="AZ23" s="72">
        <v>0</v>
      </c>
      <c r="BA23" s="72">
        <v>1599481519</v>
      </c>
      <c r="BB23" s="72">
        <v>6595</v>
      </c>
      <c r="BC23" s="72">
        <v>1474755</v>
      </c>
      <c r="BD23" s="72">
        <v>2465824</v>
      </c>
      <c r="BE23" s="73">
        <v>2.6679999999999999E-2</v>
      </c>
      <c r="BF23" s="73">
        <f>ROUND(BG23/BH23-BE23,5)</f>
        <v>3.5599999999999998E-3</v>
      </c>
      <c r="BG23" s="72">
        <f>BK23+BL23-BM23-BN23-AB23</f>
        <v>60802574</v>
      </c>
      <c r="BH23" s="74">
        <f t="shared" si="14"/>
        <v>2010781895</v>
      </c>
      <c r="BI23" s="69"/>
      <c r="BJ23" s="72"/>
      <c r="BK23" s="71">
        <f t="shared" si="15"/>
        <v>57211244</v>
      </c>
      <c r="BL23" s="69">
        <f t="shared" si="16"/>
        <v>6520769</v>
      </c>
      <c r="BM23" s="69">
        <f t="shared" si="5"/>
        <v>2956330</v>
      </c>
      <c r="BN23" s="75">
        <f>ROUND((ROUND((BA23-AY23-BD23)*BF21,0)-ROUND((BH21-(SUM(AU21:AX21)+AY21+SUM(BB21:BC21)))*IF(BI21="",BF21,BI21),0))*ROUND(BH23/(BH23-SUM(AU23:AX23,AY23,BB23:BC23)),8),0)</f>
        <v>-26891</v>
      </c>
      <c r="BO23" s="76">
        <v>0</v>
      </c>
      <c r="BP23" s="76">
        <v>454</v>
      </c>
      <c r="BQ23" s="76">
        <v>0</v>
      </c>
      <c r="BT23" s="73">
        <f t="shared" si="11"/>
        <v>3.024E-2</v>
      </c>
      <c r="BU23" s="72">
        <f t="shared" si="12"/>
        <v>48368321</v>
      </c>
    </row>
    <row r="24" spans="1:75">
      <c r="A24" s="68">
        <v>40756</v>
      </c>
      <c r="B24" s="69">
        <v>48881166.990000002</v>
      </c>
      <c r="C24" s="69">
        <v>6613318.3600000003</v>
      </c>
      <c r="D24" s="69">
        <v>1686065.52</v>
      </c>
      <c r="E24" s="69">
        <v>804223.32</v>
      </c>
      <c r="F24" s="69">
        <v>791.83</v>
      </c>
      <c r="G24" s="69">
        <v>539756.51</v>
      </c>
      <c r="H24" s="69">
        <v>137610.92000000001</v>
      </c>
      <c r="I24" s="69">
        <v>0</v>
      </c>
      <c r="J24" s="69">
        <v>4840688.32</v>
      </c>
      <c r="K24" s="69">
        <v>1997774</v>
      </c>
      <c r="L24" s="69">
        <v>2157168</v>
      </c>
      <c r="M24" s="70">
        <v>74581</v>
      </c>
      <c r="N24" s="71">
        <f t="shared" si="13"/>
        <v>-233975</v>
      </c>
      <c r="O24" s="69">
        <f>7133428.98</f>
        <v>7133428.9800000004</v>
      </c>
      <c r="P24" s="69">
        <v>4858128.97</v>
      </c>
      <c r="Q24" s="69">
        <v>181388.87</v>
      </c>
      <c r="R24" s="69">
        <v>7254.9</v>
      </c>
      <c r="S24" s="69">
        <v>0</v>
      </c>
      <c r="T24" s="69">
        <v>2039.18</v>
      </c>
      <c r="U24" s="69">
        <v>70069.03</v>
      </c>
      <c r="V24" s="69">
        <v>1628578.39</v>
      </c>
      <c r="W24" s="69">
        <v>165932.42000000001</v>
      </c>
      <c r="X24" s="69">
        <v>295.86</v>
      </c>
      <c r="Y24" s="69">
        <v>1298071.33</v>
      </c>
      <c r="Z24" s="72">
        <v>0</v>
      </c>
      <c r="AA24" s="72">
        <v>0</v>
      </c>
      <c r="AB24" s="72">
        <v>0</v>
      </c>
      <c r="AC24" s="72">
        <v>0</v>
      </c>
      <c r="AD24" s="72">
        <v>1920646000</v>
      </c>
      <c r="AE24" s="72">
        <v>308700000</v>
      </c>
      <c r="AF24" s="72">
        <v>38039000</v>
      </c>
      <c r="AG24" s="72">
        <v>40404000</v>
      </c>
      <c r="AH24" s="72">
        <v>271956000</v>
      </c>
      <c r="AI24" s="72">
        <v>214643000</v>
      </c>
      <c r="AJ24" s="72">
        <v>177000</v>
      </c>
      <c r="AK24" s="72">
        <v>0</v>
      </c>
      <c r="AL24" s="72">
        <v>13168313</v>
      </c>
      <c r="AO24" s="109">
        <v>58228108</v>
      </c>
      <c r="AP24" s="72">
        <v>51618000</v>
      </c>
      <c r="AQ24" s="72">
        <v>3723000</v>
      </c>
      <c r="AR24" s="72">
        <v>43067000</v>
      </c>
      <c r="AS24" s="72">
        <v>0</v>
      </c>
      <c r="AT24" s="72">
        <v>0</v>
      </c>
      <c r="AU24" s="72">
        <v>75935742</v>
      </c>
      <c r="AV24" s="72">
        <v>0</v>
      </c>
      <c r="AW24" s="72">
        <f>121768537+5757328</f>
        <v>127525865</v>
      </c>
      <c r="AX24" s="72">
        <v>61537200</v>
      </c>
      <c r="AY24" s="72">
        <v>0</v>
      </c>
      <c r="AZ24" s="72">
        <v>0</v>
      </c>
      <c r="BA24" s="72">
        <v>1758228088</v>
      </c>
      <c r="BB24" s="72">
        <v>5269</v>
      </c>
      <c r="BC24" s="72">
        <v>1605089</v>
      </c>
      <c r="BD24" s="72">
        <v>1353404</v>
      </c>
      <c r="BE24" s="73">
        <v>2.6679999999999999E-2</v>
      </c>
      <c r="BF24" s="73">
        <f t="shared" ref="BF24:BF31" si="17">ROUND(BG24/BH24-BE24,5)</f>
        <v>2.5100000000000001E-3</v>
      </c>
      <c r="BG24" s="72">
        <f t="shared" ref="BG24:BG31" si="18">BK24+BL24-BM24-BN24-AC24</f>
        <v>57489097</v>
      </c>
      <c r="BH24" s="74">
        <f t="shared" si="14"/>
        <v>1969433550</v>
      </c>
      <c r="BI24" s="69"/>
      <c r="BJ24" s="72"/>
      <c r="BK24" s="71">
        <f t="shared" si="15"/>
        <v>52457058</v>
      </c>
      <c r="BL24" s="69">
        <f t="shared" si="16"/>
        <v>7061321</v>
      </c>
      <c r="BM24" s="69">
        <f t="shared" si="5"/>
        <v>1630221</v>
      </c>
      <c r="BN24" s="75">
        <f>ROUND((ROUND((BA24-AY24-BD24)*BF22,0)-ROUND((BH22-(SUM(AU22:AX22)+AY22+SUM(BB22:BC22)))*IF(BI22="",BF22,BI22),0))*ROUND(BH24/(BH24-SUM(AU24:AX24,AY24,BB24:BC24)),8),0)</f>
        <v>399061</v>
      </c>
      <c r="BO24" s="76">
        <v>0</v>
      </c>
      <c r="BP24" s="76">
        <v>326</v>
      </c>
      <c r="BQ24" s="76">
        <v>0</v>
      </c>
      <c r="BT24" s="73">
        <f t="shared" si="11"/>
        <v>2.9190000000000001E-2</v>
      </c>
      <c r="BU24" s="72">
        <f t="shared" si="12"/>
        <v>51322678</v>
      </c>
    </row>
    <row r="25" spans="1:75">
      <c r="A25" s="68">
        <v>40787</v>
      </c>
      <c r="B25" s="69">
        <v>34451062.700000003</v>
      </c>
      <c r="C25" s="69">
        <v>4221297.3899999997</v>
      </c>
      <c r="D25" s="69">
        <v>1082045.1599999999</v>
      </c>
      <c r="E25" s="69">
        <v>1074928.0900000001</v>
      </c>
      <c r="F25" s="69">
        <v>0</v>
      </c>
      <c r="G25" s="69">
        <v>651157.69999999995</v>
      </c>
      <c r="H25" s="69">
        <v>166911.25</v>
      </c>
      <c r="I25" s="69">
        <v>544.38</v>
      </c>
      <c r="J25" s="69">
        <v>2367224.4900000002</v>
      </c>
      <c r="K25" s="69">
        <v>933198</v>
      </c>
      <c r="L25" s="69">
        <v>797234</v>
      </c>
      <c r="M25" s="70">
        <v>6304</v>
      </c>
      <c r="N25" s="71">
        <f t="shared" si="13"/>
        <v>0</v>
      </c>
      <c r="O25" s="69">
        <v>9662611.5999999996</v>
      </c>
      <c r="P25" s="69">
        <v>8069822.5999999996</v>
      </c>
      <c r="Q25" s="69">
        <v>209100.36</v>
      </c>
      <c r="R25" s="69">
        <v>0</v>
      </c>
      <c r="S25" s="69">
        <v>0</v>
      </c>
      <c r="T25" s="69">
        <v>11.88</v>
      </c>
      <c r="U25" s="72">
        <v>38699.67</v>
      </c>
      <c r="V25" s="69">
        <v>2334759.67</v>
      </c>
      <c r="W25" s="69">
        <v>0</v>
      </c>
      <c r="X25" s="69">
        <v>0</v>
      </c>
      <c r="Y25" s="69">
        <v>2323327.25</v>
      </c>
      <c r="Z25" s="72">
        <v>0</v>
      </c>
      <c r="AA25" s="72">
        <v>0</v>
      </c>
      <c r="AB25" s="72">
        <v>0</v>
      </c>
      <c r="AC25" s="72">
        <v>0</v>
      </c>
      <c r="AD25" s="72">
        <v>1366670000</v>
      </c>
      <c r="AE25" s="72">
        <v>196941000</v>
      </c>
      <c r="AF25" s="72">
        <v>24387000</v>
      </c>
      <c r="AG25" s="72">
        <v>25930000</v>
      </c>
      <c r="AH25" s="72">
        <v>401091000</v>
      </c>
      <c r="AI25" s="72">
        <v>367228000</v>
      </c>
      <c r="AJ25" s="72">
        <v>0</v>
      </c>
      <c r="AK25" s="72">
        <v>0</v>
      </c>
      <c r="AL25" s="72">
        <v>11664812</v>
      </c>
      <c r="AO25" s="109">
        <v>87670825</v>
      </c>
      <c r="AP25" s="72">
        <v>90476000</v>
      </c>
      <c r="AQ25" s="72">
        <v>0</v>
      </c>
      <c r="AR25" s="72">
        <v>90092000</v>
      </c>
      <c r="AS25" s="72">
        <v>0</v>
      </c>
      <c r="AT25" s="72">
        <v>0</v>
      </c>
      <c r="AU25" s="72">
        <v>65223360</v>
      </c>
      <c r="AV25" s="72">
        <v>0</v>
      </c>
      <c r="AW25" s="72">
        <v>98667919</v>
      </c>
      <c r="AX25" s="72">
        <v>45978400</v>
      </c>
      <c r="AY25" s="72">
        <v>0</v>
      </c>
      <c r="AZ25" s="72">
        <v>0</v>
      </c>
      <c r="BA25" s="72">
        <v>1618966629</v>
      </c>
      <c r="BB25" s="72">
        <v>8179</v>
      </c>
      <c r="BC25" s="72">
        <v>1599785</v>
      </c>
      <c r="BD25" s="72">
        <f>83145+693930</f>
        <v>777075</v>
      </c>
      <c r="BE25" s="73">
        <v>2.6679999999999999E-2</v>
      </c>
      <c r="BF25" s="73">
        <f t="shared" si="17"/>
        <v>1.8400000000000001E-3</v>
      </c>
      <c r="BG25" s="72">
        <f t="shared" si="18"/>
        <v>44395237</v>
      </c>
      <c r="BH25" s="74">
        <f t="shared" si="14"/>
        <v>1556578005</v>
      </c>
      <c r="BI25" s="69"/>
      <c r="BJ25" s="72"/>
      <c r="BK25" s="71">
        <f t="shared" si="15"/>
        <v>36636422</v>
      </c>
      <c r="BL25" s="69">
        <f t="shared" si="16"/>
        <v>9623900</v>
      </c>
      <c r="BM25" s="69">
        <f t="shared" si="5"/>
        <v>2334873</v>
      </c>
      <c r="BN25" s="75">
        <f>ROUND((ROUND((BA25-AY25-BD25)*BF23,0)-ROUND((BH23-(SUM(AU23:AX23)+AY23+SUM(BB23:BC23)))*IF(BI23="",BF23,BI23),0))*ROUND(BH25/(BH25-SUM(AU25:AX25,AY25,BB25:BC25)),8),0)</f>
        <v>-469788</v>
      </c>
      <c r="BO25" s="76">
        <v>0</v>
      </c>
      <c r="BP25" s="76">
        <v>112</v>
      </c>
      <c r="BQ25" s="76">
        <v>0</v>
      </c>
      <c r="BT25" s="73">
        <f t="shared" si="11"/>
        <v>2.852E-2</v>
      </c>
      <c r="BU25" s="72">
        <f t="shared" si="12"/>
        <v>46172928</v>
      </c>
    </row>
    <row r="26" spans="1:75">
      <c r="A26" s="68">
        <v>40817</v>
      </c>
      <c r="B26" s="69">
        <v>36669491.369999997</v>
      </c>
      <c r="C26" s="69">
        <v>8504675.3200000003</v>
      </c>
      <c r="D26" s="69">
        <v>2154149.21</v>
      </c>
      <c r="E26" s="69">
        <v>427808.68</v>
      </c>
      <c r="F26" s="69">
        <v>0</v>
      </c>
      <c r="G26" s="69">
        <v>16163.42</v>
      </c>
      <c r="H26" s="69">
        <v>4094.03</v>
      </c>
      <c r="I26" s="69">
        <v>0</v>
      </c>
      <c r="J26" s="69">
        <v>822534.95</v>
      </c>
      <c r="K26" s="69">
        <v>3500261.26</v>
      </c>
      <c r="L26" s="69">
        <v>2520519.7000000002</v>
      </c>
      <c r="M26" s="70">
        <v>4728.67</v>
      </c>
      <c r="N26" s="71">
        <f t="shared" si="13"/>
        <v>0</v>
      </c>
      <c r="O26" s="78">
        <v>7264487.5599999996</v>
      </c>
      <c r="P26" s="69">
        <v>6301153.3099999996</v>
      </c>
      <c r="Q26" s="69">
        <v>324370.84999999998</v>
      </c>
      <c r="R26" s="69">
        <v>768.59</v>
      </c>
      <c r="S26" s="69">
        <v>0</v>
      </c>
      <c r="T26" s="69">
        <v>0</v>
      </c>
      <c r="U26" s="72">
        <v>0</v>
      </c>
      <c r="V26" s="69">
        <v>4820149.8099999996</v>
      </c>
      <c r="W26" s="69">
        <v>55056.31</v>
      </c>
      <c r="X26" s="69">
        <v>0</v>
      </c>
      <c r="Y26" s="69">
        <v>3963562.69</v>
      </c>
      <c r="Z26" s="72">
        <v>0</v>
      </c>
      <c r="AA26" s="72">
        <v>0</v>
      </c>
      <c r="AB26" s="72">
        <v>0</v>
      </c>
      <c r="AC26" s="72">
        <v>0</v>
      </c>
      <c r="AD26" s="72">
        <v>1591541000</v>
      </c>
      <c r="AE26" s="72">
        <v>430745000</v>
      </c>
      <c r="AF26" s="72">
        <v>52706000</v>
      </c>
      <c r="AG26" s="72">
        <v>56041000</v>
      </c>
      <c r="AH26" s="72">
        <v>317943000</v>
      </c>
      <c r="AI26" s="72">
        <v>298394000</v>
      </c>
      <c r="AJ26" s="72">
        <v>34000</v>
      </c>
      <c r="AK26" s="72">
        <v>0</v>
      </c>
      <c r="AL26" s="72">
        <v>40067000</v>
      </c>
      <c r="AO26" s="109">
        <v>92774108</v>
      </c>
      <c r="AP26" s="72">
        <v>189684000</v>
      </c>
      <c r="AQ26" s="72">
        <v>2102000</v>
      </c>
      <c r="AR26" s="72">
        <v>158275000</v>
      </c>
      <c r="AS26" s="72">
        <v>0</v>
      </c>
      <c r="AT26" s="72">
        <v>0</v>
      </c>
      <c r="AU26" s="72">
        <v>74157862</v>
      </c>
      <c r="AV26" s="72">
        <v>0</v>
      </c>
      <c r="AW26" s="72">
        <v>94245568</v>
      </c>
      <c r="AX26" s="72">
        <v>43858000</v>
      </c>
      <c r="AY26" s="72">
        <v>0</v>
      </c>
      <c r="AZ26" s="72">
        <v>0</v>
      </c>
      <c r="BA26" s="72">
        <v>1459659884</v>
      </c>
      <c r="BB26" s="72">
        <v>4057</v>
      </c>
      <c r="BC26" s="72">
        <v>1392931</v>
      </c>
      <c r="BD26" s="72">
        <v>0</v>
      </c>
      <c r="BE26" s="73">
        <v>2.6679999999999999E-2</v>
      </c>
      <c r="BF26" s="73">
        <f t="shared" si="17"/>
        <v>-1.9499999999999999E-3</v>
      </c>
      <c r="BG26" s="72">
        <f t="shared" si="18"/>
        <v>38889731</v>
      </c>
      <c r="BH26" s="74">
        <f t="shared" si="14"/>
        <v>1572629075</v>
      </c>
      <c r="BI26" s="69"/>
      <c r="BJ26" s="72"/>
      <c r="BK26" s="71">
        <f t="shared" si="15"/>
        <v>35747106</v>
      </c>
      <c r="BL26" s="69">
        <f t="shared" si="16"/>
        <v>7264488</v>
      </c>
      <c r="BM26" s="69">
        <f t="shared" si="5"/>
        <v>4828165</v>
      </c>
      <c r="BN26" s="75">
        <f t="shared" ref="BN26:BN31" si="19">ROUND((ROUND((BA26-AY26-BD26)*BF24,0)-ROUND((BH24-(SUM(AU24:AX24)+AY24+SUM(BB24:BC24)))*IF(BI24="",BF24,BI24),0))*ROUND(BH26/(BH26-SUM(AU26:AX26,AY26,BB26:BC26)),8),0)</f>
        <v>-706302</v>
      </c>
      <c r="BO26" s="76">
        <v>319</v>
      </c>
      <c r="BP26" s="76">
        <v>0</v>
      </c>
      <c r="BQ26" s="76">
        <v>0</v>
      </c>
      <c r="BT26" s="73">
        <f t="shared" si="11"/>
        <v>2.4729999999999999E-2</v>
      </c>
      <c r="BU26" s="72">
        <f t="shared" si="12"/>
        <v>36097389</v>
      </c>
    </row>
    <row r="27" spans="1:75">
      <c r="A27" s="68">
        <v>40848</v>
      </c>
      <c r="B27" s="69">
        <v>37659632.009999998</v>
      </c>
      <c r="C27" s="69">
        <v>7217684.6799999997</v>
      </c>
      <c r="D27" s="69">
        <v>1849170.82</v>
      </c>
      <c r="E27" s="69">
        <v>1089848.8899999999</v>
      </c>
      <c r="F27" s="69">
        <v>38750.04</v>
      </c>
      <c r="G27" s="69">
        <v>356289.49</v>
      </c>
      <c r="H27" s="69">
        <v>91281.37</v>
      </c>
      <c r="I27" s="69">
        <v>0</v>
      </c>
      <c r="J27" s="69">
        <v>1444103.49</v>
      </c>
      <c r="K27" s="69">
        <v>1181520</v>
      </c>
      <c r="L27" s="69">
        <v>723967</v>
      </c>
      <c r="M27" s="70">
        <v>35547</v>
      </c>
      <c r="N27" s="71">
        <f t="shared" si="13"/>
        <v>0</v>
      </c>
      <c r="O27" s="69">
        <v>6037926.8200000003</v>
      </c>
      <c r="P27" s="69">
        <v>5211601.87</v>
      </c>
      <c r="Q27" s="69">
        <v>198150.71</v>
      </c>
      <c r="R27" s="69">
        <v>0</v>
      </c>
      <c r="S27" s="69">
        <v>0</v>
      </c>
      <c r="T27" s="69">
        <v>0</v>
      </c>
      <c r="U27" s="72">
        <v>0</v>
      </c>
      <c r="V27" s="69">
        <v>1946386.18</v>
      </c>
      <c r="W27" s="69">
        <v>0</v>
      </c>
      <c r="X27" s="69">
        <v>0</v>
      </c>
      <c r="Y27" s="69">
        <v>1863831.27</v>
      </c>
      <c r="Z27" s="72">
        <v>0</v>
      </c>
      <c r="AA27" s="72">
        <v>0</v>
      </c>
      <c r="AB27" s="72">
        <v>0</v>
      </c>
      <c r="AC27" s="72">
        <v>0</v>
      </c>
      <c r="AD27" s="72">
        <v>1550793000</v>
      </c>
      <c r="AE27" s="72">
        <v>354310000</v>
      </c>
      <c r="AF27" s="72">
        <v>43836000</v>
      </c>
      <c r="AG27" s="72">
        <v>46638000</v>
      </c>
      <c r="AH27" s="72">
        <v>263803000</v>
      </c>
      <c r="AI27" s="72">
        <v>240256000</v>
      </c>
      <c r="AJ27" s="72">
        <v>0</v>
      </c>
      <c r="AK27" s="72">
        <v>0</v>
      </c>
      <c r="AL27" s="72">
        <v>39254000</v>
      </c>
      <c r="AO27" s="109">
        <v>47493374</v>
      </c>
      <c r="AP27" s="72">
        <v>74239000</v>
      </c>
      <c r="AQ27" s="72">
        <v>0</v>
      </c>
      <c r="AR27" s="72">
        <v>71349000</v>
      </c>
      <c r="AS27" s="72">
        <v>0</v>
      </c>
      <c r="AT27" s="72">
        <v>0</v>
      </c>
      <c r="AU27" s="72">
        <v>84616670</v>
      </c>
      <c r="AV27" s="72">
        <v>0</v>
      </c>
      <c r="AW27" s="72">
        <v>95731032</v>
      </c>
      <c r="AX27" s="72">
        <v>43301600</v>
      </c>
      <c r="AY27" s="72">
        <v>0</v>
      </c>
      <c r="AZ27" s="72">
        <v>0</v>
      </c>
      <c r="BA27" s="72">
        <v>1256720738</v>
      </c>
      <c r="BB27" s="72">
        <v>8086</v>
      </c>
      <c r="BC27" s="72">
        <v>1473670</v>
      </c>
      <c r="BD27" s="72">
        <v>0</v>
      </c>
      <c r="BE27" s="73">
        <v>2.6679999999999999E-2</v>
      </c>
      <c r="BF27" s="73">
        <f t="shared" si="17"/>
        <v>-4.2999999999999999E-4</v>
      </c>
      <c r="BG27" s="72">
        <f t="shared" si="18"/>
        <v>42558484</v>
      </c>
      <c r="BH27" s="74">
        <f t="shared" si="14"/>
        <v>1621439620</v>
      </c>
      <c r="BI27" s="69"/>
      <c r="BJ27" s="72"/>
      <c r="BK27" s="71">
        <f t="shared" si="15"/>
        <v>38278930</v>
      </c>
      <c r="BL27" s="69">
        <f t="shared" si="16"/>
        <v>6037927</v>
      </c>
      <c r="BM27" s="69">
        <f t="shared" si="5"/>
        <v>1947212</v>
      </c>
      <c r="BN27" s="75">
        <f t="shared" si="19"/>
        <v>-188839</v>
      </c>
      <c r="BO27" s="76">
        <v>450</v>
      </c>
      <c r="BP27" s="76">
        <v>0</v>
      </c>
      <c r="BQ27" s="76">
        <v>0</v>
      </c>
      <c r="BT27" s="73">
        <f t="shared" si="11"/>
        <v>2.6249999999999999E-2</v>
      </c>
      <c r="BU27" s="72">
        <f t="shared" si="12"/>
        <v>32988919</v>
      </c>
    </row>
    <row r="28" spans="1:75">
      <c r="A28" s="68">
        <v>40878</v>
      </c>
      <c r="B28" s="69">
        <v>41504273.560000002</v>
      </c>
      <c r="C28" s="69">
        <v>7234927.4000000004</v>
      </c>
      <c r="D28" s="69">
        <v>1839842.03</v>
      </c>
      <c r="E28" s="69">
        <v>676687.68</v>
      </c>
      <c r="F28" s="69">
        <v>0</v>
      </c>
      <c r="G28" s="69">
        <v>261538.53</v>
      </c>
      <c r="H28" s="69">
        <v>66509.25</v>
      </c>
      <c r="I28" s="69">
        <v>0</v>
      </c>
      <c r="J28" s="69">
        <v>859400.23</v>
      </c>
      <c r="K28" s="69">
        <v>185719</v>
      </c>
      <c r="L28" s="69">
        <v>127403</v>
      </c>
      <c r="M28" s="70">
        <v>1910</v>
      </c>
      <c r="N28" s="71">
        <f t="shared" si="13"/>
        <v>0</v>
      </c>
      <c r="O28" s="69">
        <v>10289051.9</v>
      </c>
      <c r="P28" s="69">
        <v>9222194.8699999992</v>
      </c>
      <c r="Q28" s="69">
        <v>323317.86</v>
      </c>
      <c r="R28" s="69">
        <v>0</v>
      </c>
      <c r="S28" s="69">
        <v>0</v>
      </c>
      <c r="T28" s="69">
        <v>0</v>
      </c>
      <c r="U28" s="72">
        <v>0</v>
      </c>
      <c r="V28" s="69">
        <v>3197008.82</v>
      </c>
      <c r="W28" s="69">
        <v>0</v>
      </c>
      <c r="X28" s="69">
        <v>0</v>
      </c>
      <c r="Y28" s="69">
        <v>3179160.19</v>
      </c>
      <c r="Z28" s="72">
        <v>0</v>
      </c>
      <c r="AA28" s="72">
        <v>0</v>
      </c>
      <c r="AB28" s="72">
        <v>0</v>
      </c>
      <c r="AC28" s="72">
        <v>0</v>
      </c>
      <c r="AD28" s="72">
        <v>1639922000</v>
      </c>
      <c r="AE28" s="72">
        <v>343948000</v>
      </c>
      <c r="AF28" s="72">
        <v>42238000</v>
      </c>
      <c r="AG28" s="72">
        <v>44940000</v>
      </c>
      <c r="AH28" s="72">
        <v>451793000</v>
      </c>
      <c r="AI28" s="72">
        <v>425541000</v>
      </c>
      <c r="AJ28" s="72">
        <v>0</v>
      </c>
      <c r="AK28" s="72">
        <v>0</v>
      </c>
      <c r="AL28" s="72">
        <v>37953000</v>
      </c>
      <c r="AO28" s="109">
        <v>97618990</v>
      </c>
      <c r="AP28" s="72">
        <v>121525000</v>
      </c>
      <c r="AQ28" s="72">
        <v>0</v>
      </c>
      <c r="AR28" s="72">
        <v>120983000</v>
      </c>
      <c r="AS28" s="72">
        <v>0</v>
      </c>
      <c r="AT28" s="72">
        <v>0</v>
      </c>
      <c r="AU28" s="72">
        <v>100258274</v>
      </c>
      <c r="AV28" s="72">
        <v>0</v>
      </c>
      <c r="AW28" s="72">
        <v>110099062</v>
      </c>
      <c r="AX28" s="72">
        <v>46488800</v>
      </c>
      <c r="AY28" s="72">
        <v>0</v>
      </c>
      <c r="AZ28" s="72">
        <v>0</v>
      </c>
      <c r="BA28" s="72">
        <v>1478224470</v>
      </c>
      <c r="BB28" s="72">
        <v>13030</v>
      </c>
      <c r="BC28" s="72">
        <v>1896902</v>
      </c>
      <c r="BD28" s="72">
        <v>0</v>
      </c>
      <c r="BE28" s="73">
        <v>2.6679999999999999E-2</v>
      </c>
      <c r="BF28" s="73">
        <f t="shared" si="17"/>
        <v>-2.5000000000000001E-4</v>
      </c>
      <c r="BG28" s="72">
        <f t="shared" si="18"/>
        <v>48483870</v>
      </c>
      <c r="BH28" s="74">
        <f t="shared" ref="BH28" si="20">SUM(AD28,-AF28,-AG28,AH28,AL28,-AP28,-ROUND(SUM(AD28,-AF28,-AG28,AH28,AL28)*ROUND(SUM(AO17:AO28)/(SUM(AD17:AD28,AH17:AH28,AL17:AL28)-SUM(AF17:AG28)),8),0))</f>
        <v>1834212933</v>
      </c>
      <c r="BI28" s="69"/>
      <c r="BJ28" s="72"/>
      <c r="BK28" s="71">
        <f t="shared" si="15"/>
        <v>41121266</v>
      </c>
      <c r="BL28" s="69">
        <f t="shared" si="16"/>
        <v>10289052</v>
      </c>
      <c r="BM28" s="69">
        <f t="shared" si="5"/>
        <v>3197187</v>
      </c>
      <c r="BN28" s="75">
        <f t="shared" si="19"/>
        <v>-270739</v>
      </c>
      <c r="BO28" s="76">
        <v>746</v>
      </c>
      <c r="BP28" s="76">
        <v>0</v>
      </c>
      <c r="BQ28" s="76">
        <v>0</v>
      </c>
      <c r="BT28" s="73">
        <f t="shared" si="11"/>
        <v>2.6429999999999999E-2</v>
      </c>
      <c r="BU28" s="72">
        <f t="shared" si="12"/>
        <v>39069473</v>
      </c>
    </row>
    <row r="29" spans="1:75">
      <c r="A29" s="68">
        <v>40909</v>
      </c>
      <c r="B29" s="69">
        <v>45229342.840000004</v>
      </c>
      <c r="C29" s="69">
        <v>7509149.9500000002</v>
      </c>
      <c r="D29" s="69">
        <v>1909727.01</v>
      </c>
      <c r="E29" s="69">
        <v>718058.01</v>
      </c>
      <c r="F29" s="69">
        <v>395.91</v>
      </c>
      <c r="G29" s="69">
        <v>335939.1</v>
      </c>
      <c r="H29" s="69">
        <v>85436.02</v>
      </c>
      <c r="I29" s="69">
        <v>0</v>
      </c>
      <c r="J29" s="69">
        <v>1483806.61</v>
      </c>
      <c r="K29" s="69">
        <v>1243427</v>
      </c>
      <c r="L29" s="69">
        <v>1496970</v>
      </c>
      <c r="M29" s="70">
        <v>2714</v>
      </c>
      <c r="N29" s="71">
        <f t="shared" si="13"/>
        <v>-256257</v>
      </c>
      <c r="O29" s="69">
        <v>10292875.109999999</v>
      </c>
      <c r="P29" s="69">
        <v>9405230.5199999996</v>
      </c>
      <c r="Q29" s="69">
        <v>265583.90999999997</v>
      </c>
      <c r="R29" s="69">
        <v>0</v>
      </c>
      <c r="S29" s="69">
        <v>0</v>
      </c>
      <c r="T29" s="69">
        <v>0</v>
      </c>
      <c r="U29" s="72">
        <v>0</v>
      </c>
      <c r="V29" s="69">
        <v>2500396.77</v>
      </c>
      <c r="W29" s="69">
        <v>1278.1300000000001</v>
      </c>
      <c r="X29" s="69">
        <v>0</v>
      </c>
      <c r="Y29" s="69">
        <v>2491593.56</v>
      </c>
      <c r="Z29" s="72">
        <v>0</v>
      </c>
      <c r="AA29" s="72">
        <v>0</v>
      </c>
      <c r="AB29" s="72">
        <v>0</v>
      </c>
      <c r="AC29" s="72">
        <v>0</v>
      </c>
      <c r="AD29" s="72">
        <v>1773116000</v>
      </c>
      <c r="AE29" s="72">
        <v>355330000</v>
      </c>
      <c r="AF29" s="72">
        <v>43659000</v>
      </c>
      <c r="AG29" s="72">
        <v>46411000</v>
      </c>
      <c r="AH29" s="72">
        <v>457987626</v>
      </c>
      <c r="AI29" s="72">
        <v>436448000</v>
      </c>
      <c r="AJ29" s="72">
        <v>0</v>
      </c>
      <c r="AK29" s="72">
        <v>0</v>
      </c>
      <c r="AL29" s="72">
        <v>39101374</v>
      </c>
      <c r="AO29" s="109">
        <v>121082488</v>
      </c>
      <c r="AP29" s="72">
        <v>94181000</v>
      </c>
      <c r="AQ29" s="72">
        <v>44000</v>
      </c>
      <c r="AR29" s="72">
        <v>93872000</v>
      </c>
      <c r="AS29" s="72">
        <v>0</v>
      </c>
      <c r="AT29" s="72">
        <v>0</v>
      </c>
      <c r="AU29" s="72">
        <v>112765196</v>
      </c>
      <c r="AV29" s="72">
        <v>0</v>
      </c>
      <c r="AW29" s="72">
        <v>117651870</v>
      </c>
      <c r="AX29" s="72">
        <v>49277600</v>
      </c>
      <c r="BA29" s="72">
        <v>1612798139</v>
      </c>
      <c r="BB29" s="72">
        <v>16720</v>
      </c>
      <c r="BC29" s="72">
        <v>2386756</v>
      </c>
      <c r="BD29" s="72">
        <v>0</v>
      </c>
      <c r="BE29" s="73">
        <v>2.6679999999999999E-2</v>
      </c>
      <c r="BF29" s="73">
        <f t="shared" si="17"/>
        <v>-3.0000000000000001E-5</v>
      </c>
      <c r="BG29" s="72">
        <f t="shared" si="18"/>
        <v>53067702</v>
      </c>
      <c r="BH29" s="74">
        <f t="shared" ref="BH29:BH31" si="21">SUM(AD29,-AF29,-AG29,AH29,AL29,-AP29,-ROUND(SUM(AD29,-AF29,-AG29,AH29,AL29)*ROUND(SUM(AO18:AO29)/(SUM(AD18:AD29,AH18:AH29,AL18:AL29)-SUM(AF18:AG29)),8),0))</f>
        <v>1991504469</v>
      </c>
      <c r="BI29" s="69"/>
      <c r="BJ29" s="72"/>
      <c r="BK29" s="71">
        <f t="shared" si="15"/>
        <v>45166847</v>
      </c>
      <c r="BL29" s="69">
        <f t="shared" si="16"/>
        <v>10292875</v>
      </c>
      <c r="BM29" s="69">
        <f t="shared" si="5"/>
        <v>2500472</v>
      </c>
      <c r="BN29" s="75">
        <f t="shared" si="19"/>
        <v>-108452</v>
      </c>
      <c r="BO29" s="76">
        <v>851</v>
      </c>
      <c r="BP29" s="76">
        <v>0</v>
      </c>
      <c r="BQ29" s="76">
        <v>0</v>
      </c>
      <c r="BT29" s="73">
        <f t="shared" si="11"/>
        <v>2.665E-2</v>
      </c>
      <c r="BU29" s="72">
        <f t="shared" si="12"/>
        <v>42981070</v>
      </c>
    </row>
    <row r="30" spans="1:75">
      <c r="A30" s="68">
        <v>40940</v>
      </c>
      <c r="B30" s="69">
        <v>42266807.130000003</v>
      </c>
      <c r="C30" s="69">
        <v>8311028.5999999996</v>
      </c>
      <c r="D30" s="69">
        <v>2102939.5699999998</v>
      </c>
      <c r="E30" s="69">
        <v>452395.25</v>
      </c>
      <c r="F30" s="69">
        <v>226.09</v>
      </c>
      <c r="G30" s="69">
        <v>132858.54</v>
      </c>
      <c r="H30" s="69">
        <v>33617.19</v>
      </c>
      <c r="I30" s="69">
        <v>0</v>
      </c>
      <c r="J30" s="69">
        <v>1372797.06</v>
      </c>
      <c r="K30" s="69">
        <v>423959</v>
      </c>
      <c r="L30" s="69">
        <v>410960</v>
      </c>
      <c r="M30" s="70">
        <v>445</v>
      </c>
      <c r="N30" s="71">
        <f t="shared" si="13"/>
        <v>0</v>
      </c>
      <c r="O30" s="69">
        <v>7217597.7400000002</v>
      </c>
      <c r="P30" s="69">
        <v>6394049.9800000004</v>
      </c>
      <c r="Q30" s="69">
        <v>50906.81</v>
      </c>
      <c r="R30" s="69">
        <v>0</v>
      </c>
      <c r="S30" s="69">
        <v>0</v>
      </c>
      <c r="T30" s="69">
        <v>0</v>
      </c>
      <c r="U30" s="72">
        <v>0</v>
      </c>
      <c r="V30" s="69">
        <v>391331.14</v>
      </c>
      <c r="W30" s="69">
        <v>1559.41</v>
      </c>
      <c r="X30" s="69">
        <v>0</v>
      </c>
      <c r="Y30" s="69">
        <v>386945.35</v>
      </c>
      <c r="Z30" s="72">
        <v>0</v>
      </c>
      <c r="AA30" s="72">
        <v>0</v>
      </c>
      <c r="AB30" s="72">
        <v>0</v>
      </c>
      <c r="AC30" s="72">
        <v>0</v>
      </c>
      <c r="AD30" s="72">
        <v>1629864000</v>
      </c>
      <c r="AE30" s="72">
        <v>392742000</v>
      </c>
      <c r="AF30" s="72">
        <v>47998000</v>
      </c>
      <c r="AG30" s="72">
        <v>51049000</v>
      </c>
      <c r="AH30" s="72">
        <v>317339712</v>
      </c>
      <c r="AI30" s="72">
        <v>290185000</v>
      </c>
      <c r="AJ30" s="72">
        <v>0</v>
      </c>
      <c r="AK30" s="72">
        <v>0</v>
      </c>
      <c r="AL30" s="72">
        <v>36756662</v>
      </c>
      <c r="AO30" s="109">
        <v>96222862</v>
      </c>
      <c r="AP30" s="72">
        <v>13194000</v>
      </c>
      <c r="AQ30" s="72">
        <v>56000</v>
      </c>
      <c r="AR30" s="72">
        <v>13054000</v>
      </c>
      <c r="AS30" s="72">
        <v>0</v>
      </c>
      <c r="AT30" s="72">
        <v>0</v>
      </c>
      <c r="AU30" s="72">
        <v>95771474</v>
      </c>
      <c r="AV30" s="72">
        <v>0</v>
      </c>
      <c r="AW30" s="72">
        <v>105906051</v>
      </c>
      <c r="AX30" s="72">
        <v>45377600</v>
      </c>
      <c r="AY30" s="72">
        <v>0</v>
      </c>
      <c r="AZ30" s="72">
        <v>0</v>
      </c>
      <c r="BA30" s="72">
        <v>1703648389</v>
      </c>
      <c r="BB30" s="72">
        <v>12519</v>
      </c>
      <c r="BC30" s="72">
        <v>2103473</v>
      </c>
      <c r="BD30" s="72">
        <v>0</v>
      </c>
      <c r="BE30" s="73">
        <v>2.6679999999999999E-2</v>
      </c>
      <c r="BF30" s="73">
        <f t="shared" si="17"/>
        <v>6.0999999999999997E-4</v>
      </c>
      <c r="BG30" s="72">
        <f t="shared" si="18"/>
        <v>48804874</v>
      </c>
      <c r="BH30" s="74">
        <f t="shared" si="21"/>
        <v>1788356290</v>
      </c>
      <c r="BI30" s="69"/>
      <c r="BJ30" s="72"/>
      <c r="BK30" s="71">
        <f t="shared" si="15"/>
        <v>41941398</v>
      </c>
      <c r="BL30" s="69">
        <f t="shared" si="16"/>
        <v>7217598</v>
      </c>
      <c r="BM30" s="69">
        <f t="shared" si="5"/>
        <v>391358</v>
      </c>
      <c r="BN30" s="75">
        <f t="shared" si="19"/>
        <v>-37236</v>
      </c>
      <c r="BO30" s="72">
        <v>718</v>
      </c>
      <c r="BP30" s="76">
        <v>0</v>
      </c>
      <c r="BQ30" s="76">
        <v>0</v>
      </c>
    </row>
    <row r="31" spans="1:75">
      <c r="A31" s="68">
        <v>40969</v>
      </c>
      <c r="B31" s="69">
        <v>35378172.060000002</v>
      </c>
      <c r="C31" s="69">
        <v>6351513.0599999996</v>
      </c>
      <c r="D31" s="69">
        <v>1614935.72</v>
      </c>
      <c r="E31" s="69">
        <v>552759.41</v>
      </c>
      <c r="F31" s="69">
        <v>0.23</v>
      </c>
      <c r="G31" s="69">
        <v>96367.44</v>
      </c>
      <c r="H31" s="69">
        <v>24502.38</v>
      </c>
      <c r="I31" s="69">
        <v>0</v>
      </c>
      <c r="J31" s="69">
        <v>2008792.83</v>
      </c>
      <c r="K31" s="69">
        <v>2217827</v>
      </c>
      <c r="L31" s="69">
        <v>2021134</v>
      </c>
      <c r="M31" s="70">
        <v>85929</v>
      </c>
      <c r="N31" s="71">
        <f t="shared" si="13"/>
        <v>0</v>
      </c>
      <c r="O31" s="69">
        <v>8466831.3200000003</v>
      </c>
      <c r="P31" s="69">
        <v>7341090.2300000004</v>
      </c>
      <c r="Q31" s="69">
        <v>63959.92</v>
      </c>
      <c r="R31" s="69">
        <v>0</v>
      </c>
      <c r="S31" s="69">
        <v>0</v>
      </c>
      <c r="T31" s="69">
        <v>0</v>
      </c>
      <c r="U31" s="72">
        <v>0</v>
      </c>
      <c r="V31" s="69">
        <v>534339.06000000006</v>
      </c>
      <c r="W31" s="69">
        <v>9084.39</v>
      </c>
      <c r="X31" s="69">
        <v>0</v>
      </c>
      <c r="Y31" s="69">
        <v>521486.23</v>
      </c>
      <c r="Z31" s="72">
        <v>0</v>
      </c>
      <c r="AA31" s="72">
        <v>0</v>
      </c>
      <c r="AB31" s="72">
        <v>0</v>
      </c>
      <c r="AC31" s="72">
        <v>0</v>
      </c>
      <c r="AD31" s="72">
        <v>1394476000</v>
      </c>
      <c r="AE31" s="72">
        <v>292561000</v>
      </c>
      <c r="AF31" s="72">
        <v>35951000</v>
      </c>
      <c r="AG31" s="72">
        <v>38190000</v>
      </c>
      <c r="AH31" s="72">
        <v>357908863</v>
      </c>
      <c r="AI31" s="72">
        <v>317379000</v>
      </c>
      <c r="AJ31" s="72">
        <v>0</v>
      </c>
      <c r="AK31" s="72">
        <v>0</v>
      </c>
      <c r="AL31" s="72">
        <v>37268137</v>
      </c>
      <c r="AO31" s="109">
        <v>97975757</v>
      </c>
      <c r="AP31" s="72">
        <v>17485000</v>
      </c>
      <c r="AQ31" s="72">
        <v>267000</v>
      </c>
      <c r="AR31" s="72">
        <v>17109000</v>
      </c>
      <c r="AS31" s="72">
        <v>0</v>
      </c>
      <c r="AT31" s="72">
        <v>0</v>
      </c>
      <c r="AU31" s="72">
        <v>73910862</v>
      </c>
      <c r="AV31" s="72">
        <v>0</v>
      </c>
      <c r="AW31" s="72">
        <v>97026794</v>
      </c>
      <c r="AX31" s="72">
        <v>45254400</v>
      </c>
      <c r="AY31" s="72">
        <v>0</v>
      </c>
      <c r="AZ31" s="72">
        <v>0</v>
      </c>
      <c r="BA31" s="72">
        <v>1471376467</v>
      </c>
      <c r="BB31" s="72">
        <v>7501</v>
      </c>
      <c r="BC31" s="72">
        <v>1812126</v>
      </c>
      <c r="BD31" s="72">
        <v>0</v>
      </c>
      <c r="BE31" s="73">
        <v>2.6679999999999999E-2</v>
      </c>
      <c r="BF31" s="73">
        <f t="shared" si="17"/>
        <v>5.9999999999999995E-4</v>
      </c>
      <c r="BG31" s="72">
        <f t="shared" si="18"/>
        <v>44213593</v>
      </c>
      <c r="BH31" s="74">
        <f t="shared" si="21"/>
        <v>1620768969</v>
      </c>
      <c r="BI31" s="69"/>
      <c r="BJ31" s="72"/>
      <c r="BK31" s="71">
        <f t="shared" si="15"/>
        <v>36289389</v>
      </c>
      <c r="BL31" s="69">
        <f t="shared" si="16"/>
        <v>8466831</v>
      </c>
      <c r="BM31" s="69">
        <f t="shared" si="5"/>
        <v>534376</v>
      </c>
      <c r="BN31" s="75">
        <f t="shared" si="19"/>
        <v>8251</v>
      </c>
      <c r="BO31" s="72">
        <v>298</v>
      </c>
      <c r="BP31" s="76">
        <v>34</v>
      </c>
      <c r="BQ31" s="76">
        <v>0</v>
      </c>
    </row>
    <row r="32" spans="1:75">
      <c r="A32" s="68">
        <v>41000</v>
      </c>
      <c r="M32" s="70"/>
      <c r="N32" s="71"/>
      <c r="U32" s="72">
        <v>0</v>
      </c>
      <c r="Z32" s="72"/>
      <c r="AA32" s="72"/>
      <c r="AB32" s="72"/>
      <c r="AC32" s="72"/>
      <c r="BA32" s="72">
        <v>1336068601</v>
      </c>
      <c r="BD32" s="72">
        <v>0</v>
      </c>
      <c r="BH32" s="74"/>
      <c r="BI32" s="69"/>
      <c r="BJ32" s="72"/>
      <c r="BK32" s="71"/>
      <c r="BL32" s="69"/>
      <c r="BM32" s="69"/>
      <c r="BN32" s="75"/>
      <c r="BO32" s="69"/>
    </row>
    <row r="33" spans="1:67">
      <c r="A33" s="68"/>
      <c r="M33" s="70"/>
      <c r="N33" s="71"/>
      <c r="U33" s="72"/>
      <c r="Z33" s="72"/>
      <c r="AA33" s="72"/>
      <c r="AB33" s="72"/>
      <c r="AC33" s="72"/>
      <c r="BH33" s="74"/>
      <c r="BI33" s="69"/>
      <c r="BJ33" s="72"/>
      <c r="BK33" s="71"/>
      <c r="BL33" s="69"/>
      <c r="BM33" s="69"/>
      <c r="BN33" s="75"/>
      <c r="BO33" s="69"/>
    </row>
    <row r="34" spans="1:67">
      <c r="A34" s="68"/>
      <c r="M34" s="70"/>
      <c r="N34" s="71"/>
      <c r="U34" s="72"/>
      <c r="Z34" s="72"/>
      <c r="AA34" s="72"/>
      <c r="AB34" s="72"/>
      <c r="AC34" s="72"/>
      <c r="BH34" s="74"/>
      <c r="BI34" s="69"/>
      <c r="BJ34" s="72"/>
      <c r="BK34" s="71"/>
      <c r="BL34" s="69"/>
      <c r="BM34" s="69"/>
      <c r="BN34" s="75"/>
      <c r="BO34" s="69"/>
    </row>
    <row r="35" spans="1:67">
      <c r="A35" s="68"/>
      <c r="M35" s="70"/>
      <c r="N35" s="71"/>
      <c r="U35" s="72"/>
      <c r="Z35" s="72"/>
      <c r="AA35" s="72"/>
      <c r="AB35" s="72"/>
      <c r="AC35" s="72"/>
      <c r="BH35" s="74"/>
      <c r="BI35" s="69"/>
      <c r="BJ35" s="72"/>
      <c r="BK35" s="71"/>
      <c r="BL35" s="69"/>
      <c r="BM35" s="69"/>
      <c r="BN35" s="75"/>
      <c r="BO35" s="69"/>
    </row>
    <row r="36" spans="1:67">
      <c r="A36" s="68"/>
      <c r="M36" s="70"/>
      <c r="N36" s="71"/>
      <c r="U36" s="72"/>
      <c r="Z36" s="72"/>
      <c r="AA36" s="72"/>
      <c r="AB36" s="72"/>
      <c r="AC36" s="72"/>
      <c r="BH36" s="74"/>
      <c r="BI36" s="69"/>
      <c r="BJ36" s="72"/>
      <c r="BK36" s="71"/>
      <c r="BL36" s="69"/>
      <c r="BM36" s="69"/>
      <c r="BN36" s="75"/>
      <c r="BO36" s="69"/>
    </row>
    <row r="37" spans="1:67">
      <c r="A37" s="68"/>
      <c r="M37" s="70"/>
      <c r="N37" s="71"/>
      <c r="U37" s="72"/>
      <c r="Z37" s="72"/>
      <c r="AA37" s="72"/>
      <c r="AB37" s="72"/>
      <c r="AC37" s="72"/>
      <c r="BH37" s="74"/>
      <c r="BI37" s="69"/>
      <c r="BJ37" s="72"/>
      <c r="BK37" s="71"/>
      <c r="BL37" s="69"/>
      <c r="BM37" s="69"/>
      <c r="BN37" s="75"/>
      <c r="BO37" s="69"/>
    </row>
    <row r="38" spans="1:67">
      <c r="A38" s="68"/>
      <c r="M38" s="70"/>
      <c r="N38" s="71"/>
      <c r="U38" s="72"/>
      <c r="Z38" s="72"/>
      <c r="AA38" s="72"/>
      <c r="AB38" s="72"/>
      <c r="AC38" s="72"/>
      <c r="BH38" s="74"/>
      <c r="BI38" s="69"/>
      <c r="BJ38" s="72"/>
      <c r="BK38" s="71"/>
      <c r="BL38" s="69"/>
      <c r="BM38" s="69"/>
      <c r="BN38" s="75"/>
      <c r="BO38" s="69"/>
    </row>
    <row r="39" spans="1:67">
      <c r="A39" s="68"/>
      <c r="M39" s="70"/>
      <c r="N39" s="71"/>
      <c r="U39" s="72"/>
      <c r="Z39" s="72"/>
      <c r="AA39" s="72"/>
      <c r="AB39" s="72"/>
      <c r="AC39" s="72"/>
      <c r="BH39" s="74"/>
      <c r="BI39" s="69"/>
      <c r="BJ39" s="72"/>
      <c r="BK39" s="71"/>
      <c r="BL39" s="69"/>
      <c r="BM39" s="69"/>
      <c r="BN39" s="75"/>
      <c r="BO39" s="69"/>
    </row>
    <row r="40" spans="1:67">
      <c r="A40" s="68"/>
      <c r="M40" s="70"/>
      <c r="N40" s="71"/>
      <c r="U40" s="72"/>
      <c r="Z40" s="72"/>
      <c r="AA40" s="72"/>
      <c r="AB40" s="72"/>
      <c r="AC40" s="72"/>
      <c r="BH40" s="74"/>
      <c r="BI40" s="69"/>
      <c r="BJ40" s="72"/>
      <c r="BK40" s="71"/>
      <c r="BL40" s="69"/>
      <c r="BM40" s="69"/>
      <c r="BN40" s="75"/>
      <c r="BO40" s="69"/>
    </row>
    <row r="41" spans="1:67">
      <c r="A41" s="68"/>
      <c r="M41" s="70"/>
      <c r="N41" s="71"/>
      <c r="U41" s="72"/>
      <c r="Z41" s="72"/>
      <c r="AA41" s="72"/>
      <c r="AB41" s="72"/>
      <c r="AC41" s="72"/>
      <c r="BH41" s="74"/>
      <c r="BI41" s="69"/>
      <c r="BJ41" s="72"/>
      <c r="BK41" s="71"/>
      <c r="BL41" s="69"/>
      <c r="BM41" s="69"/>
      <c r="BN41" s="75"/>
      <c r="BO41" s="69"/>
    </row>
    <row r="42" spans="1:67">
      <c r="A42" s="68"/>
      <c r="M42" s="70"/>
      <c r="N42" s="71"/>
      <c r="U42" s="72"/>
      <c r="Z42" s="72"/>
      <c r="AA42" s="72"/>
      <c r="AB42" s="72"/>
      <c r="AC42" s="72"/>
      <c r="BH42" s="74"/>
      <c r="BI42" s="69"/>
      <c r="BJ42" s="72"/>
      <c r="BK42" s="71"/>
      <c r="BL42" s="69"/>
      <c r="BM42" s="69"/>
      <c r="BN42" s="75"/>
      <c r="BO42" s="69"/>
    </row>
    <row r="43" spans="1:67">
      <c r="A43" s="68"/>
      <c r="M43" s="70"/>
      <c r="N43" s="71"/>
      <c r="U43" s="72"/>
      <c r="Z43" s="72"/>
      <c r="AA43" s="72"/>
      <c r="AB43" s="72"/>
      <c r="AC43" s="72"/>
      <c r="BH43" s="74"/>
      <c r="BI43" s="69"/>
      <c r="BJ43" s="72"/>
      <c r="BK43" s="71"/>
      <c r="BL43" s="69"/>
      <c r="BM43" s="69"/>
      <c r="BN43" s="75"/>
      <c r="BO43" s="69"/>
    </row>
    <row r="44" spans="1:67">
      <c r="A44" s="68"/>
      <c r="M44" s="70"/>
      <c r="N44" s="71"/>
      <c r="U44" s="72"/>
      <c r="Z44" s="72"/>
      <c r="AA44" s="72"/>
      <c r="AB44" s="72"/>
      <c r="AC44" s="72"/>
      <c r="BH44" s="74"/>
      <c r="BI44" s="69"/>
      <c r="BJ44" s="72"/>
      <c r="BK44" s="71"/>
      <c r="BL44" s="69"/>
      <c r="BM44" s="69"/>
      <c r="BN44" s="75"/>
      <c r="BO44" s="69"/>
    </row>
    <row r="45" spans="1:67">
      <c r="M45" s="70"/>
      <c r="N45" s="71"/>
    </row>
    <row r="46" spans="1:67">
      <c r="M46" s="70"/>
      <c r="N46" s="71"/>
    </row>
    <row r="47" spans="1:67">
      <c r="M47" s="70"/>
      <c r="N47" s="71"/>
    </row>
    <row r="48" spans="1:67">
      <c r="M48" s="70"/>
      <c r="N48" s="71"/>
    </row>
    <row r="49" spans="13:14">
      <c r="M49" s="70"/>
      <c r="N49" s="71"/>
    </row>
    <row r="50" spans="13:14">
      <c r="M50" s="70"/>
      <c r="N50" s="71"/>
    </row>
    <row r="51" spans="13:14">
      <c r="M51" s="70"/>
      <c r="N51" s="71"/>
    </row>
    <row r="52" spans="13:14">
      <c r="M52" s="70"/>
      <c r="N52" s="71"/>
    </row>
    <row r="53" spans="13:14">
      <c r="M53" s="70"/>
      <c r="N53" s="71"/>
    </row>
    <row r="54" spans="13:14">
      <c r="M54" s="70"/>
      <c r="N54" s="71"/>
    </row>
    <row r="55" spans="13:14">
      <c r="M55" s="70"/>
      <c r="N55" s="71"/>
    </row>
    <row r="56" spans="13:14">
      <c r="M56" s="70"/>
      <c r="N56" s="71"/>
    </row>
    <row r="57" spans="13:14">
      <c r="M57" s="70"/>
      <c r="N57" s="71"/>
    </row>
    <row r="58" spans="13:14">
      <c r="M58" s="70"/>
      <c r="N58" s="71"/>
    </row>
    <row r="59" spans="13:14">
      <c r="M59" s="70"/>
      <c r="N59" s="71"/>
    </row>
    <row r="60" spans="13:14">
      <c r="M60" s="70"/>
      <c r="N60" s="71"/>
    </row>
    <row r="61" spans="13:14">
      <c r="M61" s="70"/>
      <c r="N61" s="71"/>
    </row>
    <row r="62" spans="13:14">
      <c r="M62" s="70"/>
      <c r="N62" s="71"/>
    </row>
    <row r="63" spans="13:14">
      <c r="M63" s="70"/>
      <c r="N63" s="71"/>
    </row>
    <row r="64" spans="13:14">
      <c r="M64" s="70"/>
      <c r="N64" s="71"/>
    </row>
    <row r="65" spans="13:14">
      <c r="M65" s="70"/>
      <c r="N65" s="71"/>
    </row>
    <row r="66" spans="13:14">
      <c r="M66" s="70"/>
      <c r="N66" s="71"/>
    </row>
    <row r="67" spans="13:14">
      <c r="M67" s="70"/>
      <c r="N67" s="71"/>
    </row>
    <row r="68" spans="13:14">
      <c r="M68" s="70"/>
      <c r="N68" s="71"/>
    </row>
    <row r="69" spans="13:14">
      <c r="M69" s="70"/>
      <c r="N69" s="71"/>
    </row>
    <row r="70" spans="13:14">
      <c r="M70" s="70"/>
      <c r="N70" s="71"/>
    </row>
    <row r="71" spans="13:14">
      <c r="M71" s="70"/>
      <c r="N71" s="71"/>
    </row>
    <row r="72" spans="13:14">
      <c r="M72" s="70"/>
      <c r="N72" s="71"/>
    </row>
    <row r="73" spans="13:14">
      <c r="M73" s="70"/>
      <c r="N73" s="71"/>
    </row>
    <row r="74" spans="13:14">
      <c r="M74" s="70"/>
      <c r="N74" s="71"/>
    </row>
    <row r="75" spans="13:14">
      <c r="M75" s="70"/>
      <c r="N75" s="71"/>
    </row>
    <row r="76" spans="13:14">
      <c r="M76" s="70"/>
      <c r="N76" s="71"/>
    </row>
    <row r="77" spans="13:14">
      <c r="M77" s="70"/>
      <c r="N77" s="71"/>
    </row>
    <row r="78" spans="13:14">
      <c r="M78" s="70"/>
      <c r="N78" s="71"/>
    </row>
    <row r="79" spans="13:14">
      <c r="M79" s="70"/>
      <c r="N79" s="71"/>
    </row>
    <row r="80" spans="13:14">
      <c r="M80" s="70"/>
      <c r="N80" s="71"/>
    </row>
    <row r="81" spans="13:14">
      <c r="M81" s="70"/>
      <c r="N81" s="71"/>
    </row>
    <row r="82" spans="13:14">
      <c r="M82" s="70"/>
      <c r="N82" s="71"/>
    </row>
    <row r="83" spans="13:14">
      <c r="M83" s="70"/>
      <c r="N83" s="71"/>
    </row>
    <row r="84" spans="13:14">
      <c r="M84" s="70"/>
      <c r="N84" s="71"/>
    </row>
    <row r="85" spans="13:14">
      <c r="M85" s="70"/>
      <c r="N85" s="71"/>
    </row>
    <row r="86" spans="13:14">
      <c r="M86" s="70"/>
      <c r="N86" s="71"/>
    </row>
    <row r="87" spans="13:14">
      <c r="M87" s="70"/>
      <c r="N87" s="71"/>
    </row>
    <row r="88" spans="13:14">
      <c r="M88" s="70"/>
      <c r="N88" s="71"/>
    </row>
    <row r="89" spans="13:14">
      <c r="M89" s="70"/>
      <c r="N89" s="71"/>
    </row>
    <row r="90" spans="13:14">
      <c r="M90" s="70"/>
      <c r="N90" s="71"/>
    </row>
    <row r="91" spans="13:14">
      <c r="M91" s="70"/>
      <c r="N91" s="71"/>
    </row>
    <row r="92" spans="13:14">
      <c r="M92" s="70"/>
      <c r="N92" s="71"/>
    </row>
    <row r="93" spans="13:14">
      <c r="M93" s="70"/>
      <c r="N93" s="71"/>
    </row>
    <row r="94" spans="13:14">
      <c r="M94" s="70"/>
      <c r="N94" s="71"/>
    </row>
    <row r="95" spans="13:14">
      <c r="M95" s="70"/>
      <c r="N95" s="71"/>
    </row>
    <row r="96" spans="13:14">
      <c r="M96" s="70"/>
      <c r="N96" s="71"/>
    </row>
    <row r="97" spans="13:14">
      <c r="M97" s="70"/>
      <c r="N97" s="71"/>
    </row>
    <row r="98" spans="13:14">
      <c r="M98" s="70"/>
      <c r="N98" s="71"/>
    </row>
    <row r="99" spans="13:14">
      <c r="M99" s="70"/>
      <c r="N99" s="71"/>
    </row>
    <row r="100" spans="13:14">
      <c r="M100" s="70"/>
      <c r="N100" s="71"/>
    </row>
    <row r="101" spans="13:14">
      <c r="M101" s="70"/>
      <c r="N101" s="71"/>
    </row>
    <row r="102" spans="13:14">
      <c r="M102" s="70"/>
      <c r="N102" s="71"/>
    </row>
    <row r="103" spans="13:14">
      <c r="M103" s="70"/>
      <c r="N103" s="71"/>
    </row>
    <row r="104" spans="13:14">
      <c r="M104" s="70"/>
      <c r="N104" s="71"/>
    </row>
    <row r="105" spans="13:14">
      <c r="M105" s="70"/>
      <c r="N105" s="71"/>
    </row>
    <row r="106" spans="13:14">
      <c r="M106" s="70"/>
      <c r="N106" s="71"/>
    </row>
    <row r="107" spans="13:14">
      <c r="M107" s="70"/>
      <c r="N107" s="71"/>
    </row>
    <row r="108" spans="13:14">
      <c r="M108" s="70"/>
      <c r="N108" s="71"/>
    </row>
    <row r="109" spans="13:14">
      <c r="M109" s="70"/>
      <c r="N109" s="71"/>
    </row>
    <row r="110" spans="13:14">
      <c r="M110" s="70"/>
      <c r="N110" s="71"/>
    </row>
    <row r="111" spans="13:14">
      <c r="M111" s="70"/>
      <c r="N111" s="71"/>
    </row>
    <row r="112" spans="13:14">
      <c r="M112" s="70"/>
      <c r="N112" s="71"/>
    </row>
    <row r="113" spans="13:14">
      <c r="M113" s="70"/>
      <c r="N113" s="71"/>
    </row>
    <row r="114" spans="13:14">
      <c r="M114" s="70"/>
      <c r="N114" s="71"/>
    </row>
    <row r="115" spans="13:14">
      <c r="M115" s="70"/>
      <c r="N115" s="71"/>
    </row>
    <row r="116" spans="13:14">
      <c r="M116" s="70"/>
      <c r="N116" s="71"/>
    </row>
    <row r="117" spans="13:14">
      <c r="M117" s="70"/>
      <c r="N117" s="71"/>
    </row>
    <row r="118" spans="13:14">
      <c r="M118" s="70"/>
      <c r="N118" s="71"/>
    </row>
    <row r="119" spans="13:14">
      <c r="M119" s="70"/>
      <c r="N119" s="71"/>
    </row>
    <row r="120" spans="13:14">
      <c r="M120" s="70"/>
      <c r="N120" s="71"/>
    </row>
    <row r="121" spans="13:14">
      <c r="M121" s="70"/>
      <c r="N121" s="71"/>
    </row>
    <row r="122" spans="13:14">
      <c r="M122" s="70"/>
      <c r="N122" s="71"/>
    </row>
    <row r="123" spans="13:14">
      <c r="M123" s="70"/>
      <c r="N123" s="71"/>
    </row>
    <row r="124" spans="13:14">
      <c r="M124" s="70"/>
      <c r="N124" s="71"/>
    </row>
    <row r="125" spans="13:14">
      <c r="M125" s="70"/>
      <c r="N125" s="71"/>
    </row>
    <row r="126" spans="13:14">
      <c r="M126" s="70"/>
      <c r="N126" s="71"/>
    </row>
    <row r="127" spans="13:14">
      <c r="M127" s="70"/>
      <c r="N127" s="71"/>
    </row>
    <row r="128" spans="13:14">
      <c r="M128" s="70"/>
      <c r="N128" s="71"/>
    </row>
    <row r="129" spans="13:14">
      <c r="M129" s="70"/>
      <c r="N129" s="71"/>
    </row>
    <row r="130" spans="13:14">
      <c r="M130" s="70"/>
      <c r="N130" s="71"/>
    </row>
    <row r="131" spans="13:14">
      <c r="M131" s="70"/>
      <c r="N131" s="71"/>
    </row>
    <row r="132" spans="13:14">
      <c r="M132" s="70"/>
      <c r="N132" s="71"/>
    </row>
    <row r="133" spans="13:14">
      <c r="M133" s="70"/>
      <c r="N133" s="71"/>
    </row>
    <row r="134" spans="13:14">
      <c r="M134" s="70"/>
      <c r="N134" s="71"/>
    </row>
    <row r="135" spans="13:14">
      <c r="M135" s="70"/>
      <c r="N135" s="71"/>
    </row>
    <row r="136" spans="13:14">
      <c r="M136" s="70"/>
      <c r="N136" s="71"/>
    </row>
    <row r="137" spans="13:14">
      <c r="M137" s="70"/>
      <c r="N137" s="71"/>
    </row>
    <row r="138" spans="13:14">
      <c r="M138" s="70"/>
      <c r="N138" s="71"/>
    </row>
    <row r="139" spans="13:14">
      <c r="M139" s="70"/>
      <c r="N139" s="71"/>
    </row>
    <row r="140" spans="13:14">
      <c r="M140" s="70"/>
      <c r="N140" s="71"/>
    </row>
    <row r="141" spans="13:14">
      <c r="M141" s="70"/>
      <c r="N141" s="71"/>
    </row>
    <row r="142" spans="13:14">
      <c r="M142" s="70"/>
      <c r="N142" s="71"/>
    </row>
    <row r="143" spans="13:14">
      <c r="M143" s="70"/>
      <c r="N143" s="71"/>
    </row>
    <row r="144" spans="13:14">
      <c r="M144" s="70"/>
      <c r="N144" s="71"/>
    </row>
    <row r="145" spans="13:14">
      <c r="M145" s="70"/>
      <c r="N145" s="71"/>
    </row>
    <row r="146" spans="13:14">
      <c r="M146" s="70"/>
      <c r="N146" s="71"/>
    </row>
    <row r="147" spans="13:14">
      <c r="M147" s="70"/>
      <c r="N147" s="71"/>
    </row>
    <row r="148" spans="13:14">
      <c r="M148" s="70"/>
      <c r="N148" s="71"/>
    </row>
    <row r="149" spans="13:14">
      <c r="M149" s="70"/>
      <c r="N149" s="71"/>
    </row>
    <row r="150" spans="13:14">
      <c r="M150" s="70"/>
      <c r="N150" s="71"/>
    </row>
    <row r="151" spans="13:14">
      <c r="M151" s="70"/>
      <c r="N151" s="71"/>
    </row>
    <row r="152" spans="13:14">
      <c r="M152" s="70"/>
      <c r="N152" s="71"/>
    </row>
    <row r="153" spans="13:14">
      <c r="M153" s="70"/>
      <c r="N153" s="71"/>
    </row>
    <row r="154" spans="13:14">
      <c r="M154" s="70"/>
      <c r="N154" s="71"/>
    </row>
    <row r="155" spans="13:14">
      <c r="M155" s="70"/>
      <c r="N155" s="71"/>
    </row>
    <row r="156" spans="13:14">
      <c r="M156" s="70"/>
      <c r="N156" s="71"/>
    </row>
    <row r="157" spans="13:14">
      <c r="M157" s="70"/>
      <c r="N157" s="71"/>
    </row>
    <row r="158" spans="13:14">
      <c r="M158" s="70"/>
      <c r="N158" s="71"/>
    </row>
    <row r="159" spans="13:14">
      <c r="M159" s="70"/>
      <c r="N159" s="71"/>
    </row>
    <row r="160" spans="13:14">
      <c r="M160" s="70"/>
      <c r="N160" s="71"/>
    </row>
    <row r="161" spans="13:14">
      <c r="M161" s="70"/>
      <c r="N161" s="71"/>
    </row>
  </sheetData>
  <mergeCells count="3">
    <mergeCell ref="AL1:AN1"/>
    <mergeCell ref="C3:D3"/>
    <mergeCell ref="G3:H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9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0" sqref="N10"/>
    </sheetView>
  </sheetViews>
  <sheetFormatPr defaultRowHeight="12.75"/>
  <cols>
    <col min="1" max="1" width="9.140625" style="80"/>
    <col min="2" max="14" width="18.7109375" style="80" customWidth="1"/>
    <col min="15" max="16384" width="9.140625" style="80"/>
  </cols>
  <sheetData>
    <row r="1" spans="1:14">
      <c r="C1" s="81">
        <v>40634</v>
      </c>
      <c r="D1" s="81">
        <f>EOMONTH(C1,0)+1</f>
        <v>40664</v>
      </c>
      <c r="E1" s="81">
        <f t="shared" ref="E1:N1" si="0">EOMONTH(D1,0)+1</f>
        <v>40695</v>
      </c>
      <c r="F1" s="81">
        <f t="shared" si="0"/>
        <v>40725</v>
      </c>
      <c r="G1" s="81">
        <f t="shared" si="0"/>
        <v>40756</v>
      </c>
      <c r="H1" s="81">
        <f t="shared" si="0"/>
        <v>40787</v>
      </c>
      <c r="I1" s="81">
        <f t="shared" si="0"/>
        <v>40817</v>
      </c>
      <c r="J1" s="81">
        <f t="shared" si="0"/>
        <v>40848</v>
      </c>
      <c r="K1" s="81">
        <f t="shared" si="0"/>
        <v>40878</v>
      </c>
      <c r="L1" s="81">
        <f t="shared" si="0"/>
        <v>40909</v>
      </c>
      <c r="M1" s="81">
        <f t="shared" si="0"/>
        <v>40940</v>
      </c>
      <c r="N1" s="81">
        <f t="shared" si="0"/>
        <v>40969</v>
      </c>
    </row>
    <row r="3" spans="1:14">
      <c r="A3" s="82" t="s">
        <v>108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>
      <c r="A4" s="85" t="s">
        <v>109</v>
      </c>
      <c r="B4" s="86" t="s">
        <v>110</v>
      </c>
      <c r="C4" s="87">
        <f t="shared" ref="C4:N4" si="1">C$37</f>
        <v>41469087.5</v>
      </c>
      <c r="D4" s="87">
        <f t="shared" si="1"/>
        <v>45512018.770000003</v>
      </c>
      <c r="E4" s="87">
        <f t="shared" si="1"/>
        <v>50921239.779999994</v>
      </c>
      <c r="F4" s="87">
        <f t="shared" si="1"/>
        <v>60387247.489999995</v>
      </c>
      <c r="G4" s="87">
        <f t="shared" si="1"/>
        <v>57612742.700000003</v>
      </c>
      <c r="H4" s="87">
        <f t="shared" si="1"/>
        <v>44392924.870000005</v>
      </c>
      <c r="I4" s="87">
        <f t="shared" si="1"/>
        <v>38886440.700000003</v>
      </c>
      <c r="J4" s="87">
        <f t="shared" si="1"/>
        <v>42558264.130000003</v>
      </c>
      <c r="K4" s="87">
        <f t="shared" si="1"/>
        <v>48443092.309999995</v>
      </c>
      <c r="L4" s="87">
        <f t="shared" si="1"/>
        <v>53095091.949999996</v>
      </c>
      <c r="M4" s="87">
        <f t="shared" si="1"/>
        <v>48817325.660000004</v>
      </c>
      <c r="N4" s="87">
        <f t="shared" si="1"/>
        <v>44193679.089999996</v>
      </c>
    </row>
    <row r="5" spans="1:14">
      <c r="A5" s="85" t="s">
        <v>111</v>
      </c>
      <c r="B5" s="86" t="s">
        <v>112</v>
      </c>
      <c r="C5" s="88">
        <f t="shared" ref="C5:N5" si="2">C$52</f>
        <v>1490352072</v>
      </c>
      <c r="D5" s="88">
        <f t="shared" si="2"/>
        <v>1573514629</v>
      </c>
      <c r="E5" s="88">
        <f t="shared" si="2"/>
        <v>1779169014</v>
      </c>
      <c r="F5" s="88">
        <f t="shared" si="2"/>
        <v>2026370618</v>
      </c>
      <c r="G5" s="88">
        <f t="shared" si="2"/>
        <v>1983922032</v>
      </c>
      <c r="H5" s="88">
        <f t="shared" si="2"/>
        <v>1567929086</v>
      </c>
      <c r="I5" s="88">
        <f t="shared" si="2"/>
        <v>1581918011</v>
      </c>
      <c r="J5" s="88">
        <f t="shared" si="2"/>
        <v>1629615195</v>
      </c>
      <c r="K5" s="88">
        <f t="shared" si="2"/>
        <v>1840157989</v>
      </c>
      <c r="L5" s="88">
        <f t="shared" si="2"/>
        <v>1997349084</v>
      </c>
      <c r="M5" s="88">
        <f t="shared" si="2"/>
        <v>1793717493</v>
      </c>
      <c r="N5" s="88">
        <f t="shared" si="2"/>
        <v>1625540682</v>
      </c>
    </row>
    <row r="6" spans="1:14">
      <c r="A6" s="85"/>
      <c r="B6" s="86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>
      <c r="A7" s="85"/>
      <c r="B7" s="86"/>
      <c r="C7" s="90">
        <f t="shared" ref="C7:N7" si="3">IF(C5=0,0,ROUND(C4/C5,5))</f>
        <v>2.7830000000000001E-2</v>
      </c>
      <c r="D7" s="90">
        <f t="shared" si="3"/>
        <v>2.8920000000000001E-2</v>
      </c>
      <c r="E7" s="90">
        <f t="shared" si="3"/>
        <v>2.862E-2</v>
      </c>
      <c r="F7" s="90">
        <f t="shared" si="3"/>
        <v>2.98E-2</v>
      </c>
      <c r="G7" s="90">
        <f t="shared" si="3"/>
        <v>2.904E-2</v>
      </c>
      <c r="H7" s="90">
        <f t="shared" si="3"/>
        <v>2.8309999999999998E-2</v>
      </c>
      <c r="I7" s="90">
        <f t="shared" si="3"/>
        <v>2.4580000000000001E-2</v>
      </c>
      <c r="J7" s="90">
        <f t="shared" si="3"/>
        <v>2.6120000000000001E-2</v>
      </c>
      <c r="K7" s="90">
        <f t="shared" si="3"/>
        <v>2.6329999999999999E-2</v>
      </c>
      <c r="L7" s="90">
        <f t="shared" si="3"/>
        <v>2.6579999999999999E-2</v>
      </c>
      <c r="M7" s="90">
        <f t="shared" si="3"/>
        <v>2.7220000000000001E-2</v>
      </c>
      <c r="N7" s="90">
        <f t="shared" si="3"/>
        <v>2.7189999999999999E-2</v>
      </c>
    </row>
    <row r="8" spans="1:14">
      <c r="A8" s="85" t="s">
        <v>113</v>
      </c>
      <c r="B8" s="86"/>
      <c r="C8" s="90">
        <v>2.7539999999999999E-2</v>
      </c>
      <c r="D8" s="90">
        <f>C8</f>
        <v>2.7539999999999999E-2</v>
      </c>
      <c r="E8" s="90">
        <v>2.7539999999999999E-2</v>
      </c>
      <c r="F8" s="90">
        <v>2.6679999999999999E-2</v>
      </c>
      <c r="G8" s="90">
        <v>2.6679999999999999E-2</v>
      </c>
      <c r="H8" s="90">
        <v>2.6679999999999999E-2</v>
      </c>
      <c r="I8" s="90">
        <v>2.6679999999999999E-2</v>
      </c>
      <c r="J8" s="90">
        <v>2.6679999999999999E-2</v>
      </c>
      <c r="K8" s="90">
        <v>2.6679999999999999E-2</v>
      </c>
      <c r="L8" s="90">
        <v>2.6679999999999999E-2</v>
      </c>
      <c r="M8" s="90">
        <v>2.6679999999999999E-2</v>
      </c>
      <c r="N8" s="90">
        <v>2.6679999999999999E-2</v>
      </c>
    </row>
    <row r="9" spans="1:14">
      <c r="A9" s="85" t="s">
        <v>114</v>
      </c>
      <c r="B9" s="86"/>
      <c r="C9" s="91">
        <f t="shared" ref="C9:N9" si="4">C7-C8</f>
        <v>2.9000000000000206E-4</v>
      </c>
      <c r="D9" s="91">
        <f t="shared" si="4"/>
        <v>1.3800000000000028E-3</v>
      </c>
      <c r="E9" s="91">
        <f t="shared" si="4"/>
        <v>1.0800000000000011E-3</v>
      </c>
      <c r="F9" s="91">
        <f t="shared" si="4"/>
        <v>3.1200000000000012E-3</v>
      </c>
      <c r="G9" s="91">
        <f t="shared" si="4"/>
        <v>2.360000000000001E-3</v>
      </c>
      <c r="H9" s="91">
        <f t="shared" si="4"/>
        <v>1.6299999999999995E-3</v>
      </c>
      <c r="I9" s="91">
        <f t="shared" si="4"/>
        <v>-2.0999999999999977E-3</v>
      </c>
      <c r="J9" s="91">
        <f t="shared" si="4"/>
        <v>-5.59999999999998E-4</v>
      </c>
      <c r="K9" s="91">
        <f t="shared" si="4"/>
        <v>-3.4999999999999962E-4</v>
      </c>
      <c r="L9" s="91">
        <f t="shared" si="4"/>
        <v>-9.9999999999999395E-5</v>
      </c>
      <c r="M9" s="91">
        <f t="shared" si="4"/>
        <v>5.4000000000000228E-4</v>
      </c>
      <c r="N9" s="91">
        <f t="shared" si="4"/>
        <v>5.1000000000000004E-4</v>
      </c>
    </row>
    <row r="10" spans="1:14">
      <c r="A10" s="92"/>
      <c r="B10" s="93"/>
      <c r="C10" s="94"/>
      <c r="D10" s="94"/>
      <c r="E10" s="94"/>
      <c r="F10" s="94"/>
      <c r="G10" s="94"/>
      <c r="H10" s="94"/>
      <c r="I10" s="103"/>
      <c r="J10" s="103"/>
      <c r="K10" s="103"/>
      <c r="L10" s="103"/>
      <c r="M10" s="103"/>
      <c r="N10" s="103"/>
    </row>
    <row r="11" spans="1:14">
      <c r="A11" s="82" t="s">
        <v>115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>
      <c r="A12" s="85" t="s">
        <v>116</v>
      </c>
      <c r="B12" s="86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>
      <c r="A13" s="85"/>
      <c r="B13" s="86" t="s">
        <v>117</v>
      </c>
      <c r="C13" s="88">
        <v>28250751</v>
      </c>
      <c r="D13" s="88">
        <v>38317949</v>
      </c>
      <c r="E13" s="88">
        <v>46044320</v>
      </c>
      <c r="F13" s="88">
        <v>50370042</v>
      </c>
      <c r="G13" s="88">
        <v>47183859</v>
      </c>
      <c r="H13" s="88">
        <v>33361757</v>
      </c>
      <c r="I13" s="88">
        <v>34500884</v>
      </c>
      <c r="J13" s="88">
        <v>35798119</v>
      </c>
      <c r="K13" s="88">
        <v>39652132</v>
      </c>
      <c r="L13" s="88">
        <v>43306850</v>
      </c>
      <c r="M13" s="88">
        <v>40149822</v>
      </c>
      <c r="N13" s="88">
        <v>33752502</v>
      </c>
    </row>
    <row r="14" spans="1:14">
      <c r="A14" s="85"/>
      <c r="B14" s="86" t="s">
        <v>118</v>
      </c>
      <c r="C14" s="88">
        <v>349994</v>
      </c>
      <c r="D14" s="88">
        <v>1110930</v>
      </c>
      <c r="E14" s="88">
        <v>470216</v>
      </c>
      <c r="F14" s="88">
        <v>483845</v>
      </c>
      <c r="G14" s="88">
        <v>666487</v>
      </c>
      <c r="H14" s="88">
        <v>907441</v>
      </c>
      <c r="I14" s="88">
        <v>423687</v>
      </c>
      <c r="J14" s="88">
        <v>1036708</v>
      </c>
      <c r="K14" s="88">
        <v>570984</v>
      </c>
      <c r="L14" s="88">
        <v>632447</v>
      </c>
      <c r="M14" s="88">
        <v>418780</v>
      </c>
      <c r="N14" s="88">
        <v>528094</v>
      </c>
    </row>
    <row r="15" spans="1:14">
      <c r="A15" s="85"/>
      <c r="B15" s="86" t="s">
        <v>119</v>
      </c>
      <c r="C15" s="88">
        <f>VLOOKUP(C$1,'As Filed'!$A$6:$BQ$32,'As Filed'!$J$5,FALSE)</f>
        <v>2920782.61</v>
      </c>
      <c r="D15" s="88">
        <f>VLOOKUP(D$1,'As Filed'!$A$6:$BQ$32,'As Filed'!$J$5,FALSE)</f>
        <v>3021111.59</v>
      </c>
      <c r="E15" s="88">
        <f>VLOOKUP(E$1,'As Filed'!$A$6:$BQ$32,'As Filed'!$J$5,FALSE)</f>
        <v>4009164.36</v>
      </c>
      <c r="F15" s="88">
        <f>VLOOKUP(F$1,'As Filed'!$A$6:$BQ$32,'As Filed'!$J$5,FALSE)</f>
        <v>6544354.79</v>
      </c>
      <c r="G15" s="88">
        <f>VLOOKUP(G$1,'As Filed'!$A$6:$BQ$32,'As Filed'!$J$5,FALSE)</f>
        <v>4840688.32</v>
      </c>
      <c r="H15" s="88">
        <f>VLOOKUP(H$1,'As Filed'!$A$6:$BQ$32,'As Filed'!$J$5,FALSE)</f>
        <v>2367224.4900000002</v>
      </c>
      <c r="I15" s="88">
        <f>VLOOKUP(I$1,'As Filed'!$A$6:$BQ$32,'As Filed'!$J$5,FALSE)</f>
        <v>822534.95</v>
      </c>
      <c r="J15" s="88">
        <f>VLOOKUP(J$1,'As Filed'!$A$6:$BQ$32,'As Filed'!$J$5,FALSE)</f>
        <v>1444103.49</v>
      </c>
      <c r="K15" s="88">
        <f>VLOOKUP(K$1,'As Filed'!$A$6:$BQ$32,'As Filed'!$J$5,FALSE)</f>
        <v>859400.23</v>
      </c>
      <c r="L15" s="88">
        <f>VLOOKUP(L$1,'As Filed'!$A$6:$BQ$32,'As Filed'!$J$5,FALSE)</f>
        <v>1483806.61</v>
      </c>
      <c r="M15" s="88">
        <f>VLOOKUP(M$1,'As Filed'!$A$6:$BQ$32,'As Filed'!$J$5,FALSE)</f>
        <v>1372797.06</v>
      </c>
      <c r="N15" s="88">
        <f>VLOOKUP(N$1,'As Filed'!$A$6:$BQ$32,'As Filed'!$J$5,FALSE)</f>
        <v>2008792.83</v>
      </c>
    </row>
    <row r="16" spans="1:14">
      <c r="A16" s="85"/>
      <c r="B16" s="86" t="s">
        <v>120</v>
      </c>
      <c r="C16" s="88">
        <f>VLOOKUP(C$1,'As Filed'!$A$6:$BQ$32,'As Filed'!$K$5,FALSE)</f>
        <v>519851</v>
      </c>
      <c r="D16" s="88">
        <f>VLOOKUP(D$1,'As Filed'!$A$6:$BQ$32,'As Filed'!$K$5,FALSE)</f>
        <v>1682233</v>
      </c>
      <c r="E16" s="88">
        <f>VLOOKUP(E$1,'As Filed'!$A$6:$BQ$32,'As Filed'!$K$5,FALSE)</f>
        <v>670349</v>
      </c>
      <c r="F16" s="88">
        <f>VLOOKUP(F$1,'As Filed'!$A$6:$BQ$32,'As Filed'!$K$5,FALSE)</f>
        <v>932682</v>
      </c>
      <c r="G16" s="88">
        <f>VLOOKUP(G$1,'As Filed'!$A$6:$BQ$32,'As Filed'!$K$5,FALSE)</f>
        <v>1997774</v>
      </c>
      <c r="H16" s="88">
        <f>VLOOKUP(H$1,'As Filed'!$A$6:$BQ$32,'As Filed'!$K$5,FALSE)</f>
        <v>933198</v>
      </c>
      <c r="I16" s="88">
        <f>VLOOKUP(I$1,'As Filed'!$A$6:$BQ$32,'As Filed'!$K$5,FALSE)</f>
        <v>3500261.26</v>
      </c>
      <c r="J16" s="88">
        <f>VLOOKUP(J$1,'As Filed'!$A$6:$BQ$32,'As Filed'!$K$5,FALSE)</f>
        <v>1181520</v>
      </c>
      <c r="K16" s="88">
        <f>VLOOKUP(K$1,'As Filed'!$A$6:$BQ$32,'As Filed'!$K$5,FALSE)</f>
        <v>185719</v>
      </c>
      <c r="L16" s="88">
        <f>VLOOKUP(L$1,'As Filed'!$A$6:$BQ$32,'As Filed'!$K$5,FALSE)</f>
        <v>1243427</v>
      </c>
      <c r="M16" s="88">
        <f>VLOOKUP(M$1,'As Filed'!$A$6:$BQ$32,'As Filed'!$K$5,FALSE)</f>
        <v>423959</v>
      </c>
      <c r="N16" s="88">
        <f>VLOOKUP(N$1,'As Filed'!$A$6:$BQ$32,'As Filed'!$K$5,FALSE)</f>
        <v>2217827</v>
      </c>
    </row>
    <row r="17" spans="1:14" ht="15">
      <c r="A17" s="85"/>
      <c r="B17" s="86" t="s">
        <v>121</v>
      </c>
      <c r="C17" s="95">
        <f>VLOOKUP(C$1,'As Filed'!$A$6:$BQ$32,'As Filed'!$L$5,FALSE)</f>
        <v>368867</v>
      </c>
      <c r="D17" s="95">
        <f>VLOOKUP(D$1,'As Filed'!$A$6:$BQ$32,'As Filed'!$L$5,FALSE)</f>
        <v>1620023</v>
      </c>
      <c r="E17" s="95">
        <f>VLOOKUP(E$1,'As Filed'!$A$6:$BQ$32,'As Filed'!$L$5,FALSE)</f>
        <v>556017</v>
      </c>
      <c r="F17" s="95">
        <f>VLOOKUP(F$1,'As Filed'!$A$6:$BQ$32,'As Filed'!$L$5,FALSE)</f>
        <v>648159</v>
      </c>
      <c r="G17" s="95">
        <f>VLOOKUP(G$1,'As Filed'!$A$6:$BQ$32,'As Filed'!$L$5,FALSE)</f>
        <v>2157168</v>
      </c>
      <c r="H17" s="95">
        <f>VLOOKUP(H$1,'As Filed'!$A$6:$BQ$32,'As Filed'!$L$5,FALSE)</f>
        <v>797234</v>
      </c>
      <c r="I17" s="95">
        <f>VLOOKUP(I$1,'As Filed'!$A$6:$BQ$32,'As Filed'!$L$5,FALSE)</f>
        <v>2520519.7000000002</v>
      </c>
      <c r="J17" s="95">
        <f>VLOOKUP(J$1,'As Filed'!$A$6:$BQ$32,'As Filed'!$L$5,FALSE)</f>
        <v>723967</v>
      </c>
      <c r="K17" s="95">
        <f>VLOOKUP(K$1,'As Filed'!$A$6:$BQ$32,'As Filed'!$L$5,FALSE)</f>
        <v>127403</v>
      </c>
      <c r="L17" s="95">
        <f>VLOOKUP(L$1,'As Filed'!$A$6:$BQ$32,'As Filed'!$L$5,FALSE)</f>
        <v>1496970</v>
      </c>
      <c r="M17" s="95">
        <f>VLOOKUP(M$1,'As Filed'!$A$6:$BQ$32,'As Filed'!$L$5,FALSE)</f>
        <v>410960</v>
      </c>
      <c r="N17" s="95">
        <f>VLOOKUP(N$1,'As Filed'!$A$6:$BQ$32,'As Filed'!$L$5,FALSE)</f>
        <v>2021134</v>
      </c>
    </row>
    <row r="18" spans="1:14">
      <c r="A18" s="85"/>
      <c r="B18" s="86" t="s">
        <v>122</v>
      </c>
      <c r="C18" s="88">
        <f>IF(C17+C22&gt;C16,SUM(C13:C16)-C17, SUM(C13:C15))</f>
        <v>31672511.609999999</v>
      </c>
      <c r="D18" s="88">
        <f t="shared" ref="D18:N18" si="5">IF(D17+D22&gt;D16,SUM(D13:D16)-D17, SUM(D13:D15))</f>
        <v>42512200.590000004</v>
      </c>
      <c r="E18" s="88">
        <f t="shared" si="5"/>
        <v>50638032.359999999</v>
      </c>
      <c r="F18" s="88">
        <f t="shared" si="5"/>
        <v>57682764.789999999</v>
      </c>
      <c r="G18" s="88">
        <f t="shared" si="5"/>
        <v>52531640.32</v>
      </c>
      <c r="H18" s="88">
        <f t="shared" si="5"/>
        <v>36636422.490000002</v>
      </c>
      <c r="I18" s="88">
        <f t="shared" si="5"/>
        <v>35747105.950000003</v>
      </c>
      <c r="J18" s="88">
        <f t="shared" si="5"/>
        <v>38278930.490000002</v>
      </c>
      <c r="K18" s="88">
        <f t="shared" si="5"/>
        <v>41082516.229999997</v>
      </c>
      <c r="L18" s="88">
        <f t="shared" si="5"/>
        <v>45169560.609999999</v>
      </c>
      <c r="M18" s="88">
        <f t="shared" si="5"/>
        <v>41941399.060000002</v>
      </c>
      <c r="N18" s="88">
        <f t="shared" si="5"/>
        <v>36289388.829999998</v>
      </c>
    </row>
    <row r="19" spans="1:14">
      <c r="A19" s="85"/>
      <c r="B19" s="86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>
      <c r="A20" s="85" t="s">
        <v>70</v>
      </c>
      <c r="B20" s="8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>
      <c r="A21" s="85"/>
      <c r="B21" s="86" t="s">
        <v>17</v>
      </c>
      <c r="C21" s="88">
        <f>VLOOKUP(C$1,'As Filed'!$A$6:$BQ$32,'As Filed'!$O$5,FALSE)-VLOOKUP(C$1,'As Filed'!$A$6:$BQ$32,'As Filed'!$P$5,FALSE)-VLOOKUP(C$1,'As Filed'!$A$6:$BQ$32,'As Filed'!$Q$5,FALSE)-VLOOKUP(C$1,'As Filed'!$A$6:$BQ$32,'As Filed'!$R$5,FALSE)-VLOOKUP(C$1,'As Filed'!$A$6:$BQ$32,'As Filed'!$U$5,FALSE)</f>
        <v>2822351.6699999995</v>
      </c>
      <c r="D21" s="88">
        <f>VLOOKUP(D$1,'As Filed'!$A$6:$BQ$32,'As Filed'!$O$5,FALSE)-VLOOKUP(D$1,'As Filed'!$A$6:$BQ$32,'As Filed'!$P$5,FALSE)-VLOOKUP(D$1,'As Filed'!$A$6:$BQ$32,'As Filed'!$Q$5,FALSE)-VLOOKUP(D$1,'As Filed'!$A$6:$BQ$32,'As Filed'!$R$5,FALSE)-VLOOKUP(D$1,'As Filed'!$A$6:$BQ$32,'As Filed'!$U$5,FALSE)</f>
        <v>1690050.2999999996</v>
      </c>
      <c r="E21" s="88">
        <f>VLOOKUP(E$1,'As Filed'!$A$6:$BQ$32,'As Filed'!$O$5,FALSE)-VLOOKUP(E$1,'As Filed'!$A$6:$BQ$32,'As Filed'!$P$5,FALSE)-VLOOKUP(E$1,'As Filed'!$A$6:$BQ$32,'As Filed'!$Q$5,FALSE)-VLOOKUP(E$1,'As Filed'!$A$6:$BQ$32,'As Filed'!$R$5,FALSE)-VLOOKUP(E$1,'As Filed'!$A$6:$BQ$32,'As Filed'!$U$5,FALSE)</f>
        <v>1337602.5999999999</v>
      </c>
      <c r="F21" s="88">
        <f>VLOOKUP(F$1,'As Filed'!$A$6:$BQ$32,'As Filed'!$O$5,FALSE)-VLOOKUP(F$1,'As Filed'!$A$6:$BQ$32,'As Filed'!$P$5,FALSE)-VLOOKUP(F$1,'As Filed'!$A$6:$BQ$32,'As Filed'!$Q$5,FALSE)-VLOOKUP(F$1,'As Filed'!$A$6:$BQ$32,'As Filed'!$R$5,FALSE)-VLOOKUP(F$1,'As Filed'!$A$6:$BQ$32,'As Filed'!$U$5,FALSE)</f>
        <v>2444032.8099999996</v>
      </c>
      <c r="G21" s="88">
        <f>VLOOKUP(G$1,'As Filed'!$A$6:$BQ$32,'As Filed'!$O$5,FALSE)-VLOOKUP(G$1,'As Filed'!$A$6:$BQ$32,'As Filed'!$P$5,FALSE)-VLOOKUP(G$1,'As Filed'!$A$6:$BQ$32,'As Filed'!$Q$5,FALSE)-VLOOKUP(G$1,'As Filed'!$A$6:$BQ$32,'As Filed'!$R$5,FALSE)-VLOOKUP(G$1,'As Filed'!$A$6:$BQ$32,'As Filed'!$U$5,FALSE)</f>
        <v>2016587.2100000007</v>
      </c>
      <c r="H21" s="88">
        <f>VLOOKUP(H$1,'As Filed'!$A$6:$BQ$32,'As Filed'!$O$5,FALSE)-VLOOKUP(H$1,'As Filed'!$A$6:$BQ$32,'As Filed'!$P$5,FALSE)-VLOOKUP(H$1,'As Filed'!$A$6:$BQ$32,'As Filed'!$Q$5,FALSE)-VLOOKUP(H$1,'As Filed'!$A$6:$BQ$32,'As Filed'!$R$5,FALSE)-VLOOKUP(H$1,'As Filed'!$A$6:$BQ$32,'As Filed'!$U$5,FALSE)</f>
        <v>1344988.9700000002</v>
      </c>
      <c r="I21" s="88">
        <f>VLOOKUP(I$1,'As Filed'!$A$6:$BQ$32,'As Filed'!$O$5,FALSE)-VLOOKUP(I$1,'As Filed'!$A$6:$BQ$32,'As Filed'!$P$5,FALSE)-VLOOKUP(I$1,'As Filed'!$A$6:$BQ$32,'As Filed'!$Q$5,FALSE)-VLOOKUP(I$1,'As Filed'!$A$6:$BQ$32,'As Filed'!$R$5,FALSE)-VLOOKUP(I$1,'As Filed'!$A$6:$BQ$32,'As Filed'!$U$5,FALSE)</f>
        <v>638194.81000000006</v>
      </c>
      <c r="J21" s="88">
        <f>VLOOKUP(J$1,'As Filed'!$A$6:$BQ$32,'As Filed'!$O$5,FALSE)-VLOOKUP(J$1,'As Filed'!$A$6:$BQ$32,'As Filed'!$P$5,FALSE)-VLOOKUP(J$1,'As Filed'!$A$6:$BQ$32,'As Filed'!$Q$5,FALSE)-VLOOKUP(J$1,'As Filed'!$A$6:$BQ$32,'As Filed'!$R$5,FALSE)-VLOOKUP(J$1,'As Filed'!$A$6:$BQ$32,'As Filed'!$U$5,FALSE)</f>
        <v>628174.24000000022</v>
      </c>
      <c r="K21" s="88">
        <f>VLOOKUP(K$1,'As Filed'!$A$6:$BQ$32,'As Filed'!$O$5,FALSE)-VLOOKUP(K$1,'As Filed'!$A$6:$BQ$32,'As Filed'!$P$5,FALSE)-VLOOKUP(K$1,'As Filed'!$A$6:$BQ$32,'As Filed'!$Q$5,FALSE)-VLOOKUP(K$1,'As Filed'!$A$6:$BQ$32,'As Filed'!$R$5,FALSE)-VLOOKUP(K$1,'As Filed'!$A$6:$BQ$32,'As Filed'!$U$5,FALSE)</f>
        <v>743539.17000000121</v>
      </c>
      <c r="L21" s="88">
        <f>VLOOKUP(L$1,'As Filed'!$A$6:$BQ$32,'As Filed'!$O$5,FALSE)-VLOOKUP(L$1,'As Filed'!$A$6:$BQ$32,'As Filed'!$P$5,FALSE)-VLOOKUP(L$1,'As Filed'!$A$6:$BQ$32,'As Filed'!$Q$5,FALSE)-VLOOKUP(L$1,'As Filed'!$A$6:$BQ$32,'As Filed'!$R$5,FALSE)-VLOOKUP(L$1,'As Filed'!$A$6:$BQ$32,'As Filed'!$U$5,FALSE)</f>
        <v>622060.67999999993</v>
      </c>
      <c r="M21" s="88">
        <f>VLOOKUP(M$1,'As Filed'!$A$6:$BQ$32,'As Filed'!$O$5,FALSE)-VLOOKUP(M$1,'As Filed'!$A$6:$BQ$32,'As Filed'!$P$5,FALSE)-VLOOKUP(M$1,'As Filed'!$A$6:$BQ$32,'As Filed'!$Q$5,FALSE)-VLOOKUP(M$1,'As Filed'!$A$6:$BQ$32,'As Filed'!$R$5,FALSE)-VLOOKUP(M$1,'As Filed'!$A$6:$BQ$32,'As Filed'!$U$5,FALSE)</f>
        <v>772640.94999999972</v>
      </c>
      <c r="N21" s="88">
        <f>VLOOKUP(N$1,'As Filed'!$A$6:$BQ$32,'As Filed'!$O$5,FALSE)-VLOOKUP(N$1,'As Filed'!$A$6:$BQ$32,'As Filed'!$P$5,FALSE)-VLOOKUP(N$1,'As Filed'!$A$6:$BQ$32,'As Filed'!$Q$5,FALSE)-VLOOKUP(N$1,'As Filed'!$A$6:$BQ$32,'As Filed'!$R$5,FALSE)-VLOOKUP(N$1,'As Filed'!$A$6:$BQ$32,'As Filed'!$U$5,FALSE)</f>
        <v>1061781.17</v>
      </c>
    </row>
    <row r="22" spans="1:14">
      <c r="A22" s="85"/>
      <c r="B22" s="86" t="s">
        <v>123</v>
      </c>
      <c r="C22" s="88">
        <f>VLOOKUP(C$1,'As Filed'!$A$6:$BQ$32,'As Filed'!$M$5,FALSE)</f>
        <v>196422</v>
      </c>
      <c r="D22" s="88">
        <f>VLOOKUP(D$1,'As Filed'!$A$6:$BQ$32,'As Filed'!$M$5,FALSE)</f>
        <v>448257</v>
      </c>
      <c r="E22" s="88">
        <f>VLOOKUP(E$1,'As Filed'!$A$6:$BQ$32,'As Filed'!$M$5,FALSE)</f>
        <v>352704</v>
      </c>
      <c r="F22" s="88">
        <f>VLOOKUP(F$1,'As Filed'!$A$6:$BQ$32,'As Filed'!$M$5,FALSE)</f>
        <v>471521</v>
      </c>
      <c r="G22" s="88">
        <f>VLOOKUP(G$1,'As Filed'!$A$6:$BQ$32,'As Filed'!$M$5,FALSE)</f>
        <v>74581</v>
      </c>
      <c r="H22" s="88">
        <f>VLOOKUP(H$1,'As Filed'!$A$6:$BQ$32,'As Filed'!$M$5,FALSE)</f>
        <v>6304</v>
      </c>
      <c r="I22" s="88">
        <f>VLOOKUP(I$1,'As Filed'!$A$6:$BQ$32,'As Filed'!$M$5,FALSE)</f>
        <v>4728.67</v>
      </c>
      <c r="J22" s="88">
        <f>VLOOKUP(J$1,'As Filed'!$A$6:$BQ$32,'As Filed'!$M$5,FALSE)</f>
        <v>35547</v>
      </c>
      <c r="K22" s="88">
        <f>VLOOKUP(K$1,'As Filed'!$A$6:$BQ$32,'As Filed'!$M$5,FALSE)</f>
        <v>1910</v>
      </c>
      <c r="L22" s="88">
        <f>VLOOKUP(L$1,'As Filed'!$A$6:$BQ$32,'As Filed'!$M$5,FALSE)</f>
        <v>2714</v>
      </c>
      <c r="M22" s="88">
        <f>VLOOKUP(M$1,'As Filed'!$A$6:$BQ$32,'As Filed'!$M$5,FALSE)</f>
        <v>445</v>
      </c>
      <c r="N22" s="88">
        <f>VLOOKUP(N$1,'As Filed'!$A$6:$BQ$32,'As Filed'!$M$5,FALSE)</f>
        <v>85929</v>
      </c>
    </row>
    <row r="23" spans="1:14">
      <c r="A23" s="85"/>
      <c r="B23" s="86" t="s">
        <v>124</v>
      </c>
      <c r="C23" s="88">
        <f>VLOOKUP(C$1,'As Filed'!$A$6:$BQ$32,'As Filed'!$T$5,FALSE)</f>
        <v>0</v>
      </c>
      <c r="D23" s="88">
        <f>VLOOKUP(D$1,'As Filed'!$A$6:$BQ$32,'As Filed'!$T$5,FALSE)</f>
        <v>0</v>
      </c>
      <c r="E23" s="88">
        <f>VLOOKUP(E$1,'As Filed'!$A$6:$BQ$32,'As Filed'!$T$5,FALSE)</f>
        <v>0</v>
      </c>
      <c r="F23" s="88">
        <f>VLOOKUP(F$1,'As Filed'!$A$6:$BQ$32,'As Filed'!$T$5,FALSE)</f>
        <v>13399.41</v>
      </c>
      <c r="G23" s="88">
        <f>VLOOKUP(G$1,'As Filed'!$A$6:$BQ$32,'As Filed'!$T$5,FALSE)</f>
        <v>2039.18</v>
      </c>
      <c r="H23" s="88">
        <f>VLOOKUP(H$1,'As Filed'!$A$6:$BQ$32,'As Filed'!$T$5,FALSE)</f>
        <v>11.88</v>
      </c>
      <c r="I23" s="88">
        <f>VLOOKUP(I$1,'As Filed'!$A$6:$BQ$32,'As Filed'!$T$5,FALSE)</f>
        <v>0</v>
      </c>
      <c r="J23" s="88">
        <f>VLOOKUP(J$1,'As Filed'!$A$6:$BQ$32,'As Filed'!$T$5,FALSE)</f>
        <v>0</v>
      </c>
      <c r="K23" s="88">
        <f>VLOOKUP(K$1,'As Filed'!$A$6:$BQ$32,'As Filed'!$T$5,FALSE)</f>
        <v>0</v>
      </c>
      <c r="L23" s="88">
        <f>VLOOKUP(L$1,'As Filed'!$A$6:$BQ$32,'As Filed'!$T$5,FALSE)</f>
        <v>0</v>
      </c>
      <c r="M23" s="88">
        <f>VLOOKUP(M$1,'As Filed'!$A$6:$BQ$32,'As Filed'!$T$5,FALSE)</f>
        <v>0</v>
      </c>
      <c r="N23" s="88">
        <f>VLOOKUP(N$1,'As Filed'!$A$6:$BQ$32,'As Filed'!$T$5,FALSE)</f>
        <v>0</v>
      </c>
    </row>
    <row r="24" spans="1:14">
      <c r="A24" s="85"/>
      <c r="B24" s="106" t="s">
        <v>156</v>
      </c>
      <c r="C24" s="88">
        <f>VLOOKUP(C$1,'As Filed'!$A$6:$BQ$32,'As Filed'!$P$5,FALSE)+VLOOKUP(C$1,'As Filed'!$A$6:$BQ$32,'As Filed'!$Q$5,FALSE)</f>
        <v>8118393</v>
      </c>
      <c r="D24" s="88">
        <f>VLOOKUP(D$1,'As Filed'!$A$6:$BQ$32,'As Filed'!$P$5,FALSE)+VLOOKUP(D$1,'As Filed'!$A$6:$BQ$32,'As Filed'!$Q$5,FALSE)</f>
        <v>4953043.5199999996</v>
      </c>
      <c r="E24" s="88">
        <f>VLOOKUP(E$1,'As Filed'!$A$6:$BQ$32,'As Filed'!$P$5,FALSE)+VLOOKUP(E$1,'As Filed'!$A$6:$BQ$32,'As Filed'!$Q$5,FALSE)</f>
        <v>3009742.2</v>
      </c>
      <c r="F24" s="88">
        <f>VLOOKUP(F$1,'As Filed'!$A$6:$BQ$32,'As Filed'!$P$5,FALSE)+VLOOKUP(F$1,'As Filed'!$A$6:$BQ$32,'As Filed'!$Q$5,FALSE)</f>
        <v>4056642.5900000003</v>
      </c>
      <c r="G24" s="88">
        <f>VLOOKUP(G$1,'As Filed'!$A$6:$BQ$32,'As Filed'!$P$5,FALSE)+VLOOKUP(G$1,'As Filed'!$A$6:$BQ$32,'As Filed'!$Q$5,FALSE)</f>
        <v>5039517.84</v>
      </c>
      <c r="H24" s="88">
        <f>VLOOKUP(H$1,'As Filed'!$A$6:$BQ$32,'As Filed'!$P$5,FALSE)+VLOOKUP(H$1,'As Filed'!$A$6:$BQ$32,'As Filed'!$Q$5,FALSE)</f>
        <v>8278922.96</v>
      </c>
      <c r="I24" s="88">
        <f>VLOOKUP(I$1,'As Filed'!$A$6:$BQ$32,'As Filed'!$P$5,FALSE)+VLOOKUP(I$1,'As Filed'!$A$6:$BQ$32,'As Filed'!$Q$5,FALSE)</f>
        <v>6625524.1599999992</v>
      </c>
      <c r="J24" s="88">
        <f>VLOOKUP(J$1,'As Filed'!$A$6:$BQ$32,'As Filed'!$P$5,FALSE)+VLOOKUP(J$1,'As Filed'!$A$6:$BQ$32,'As Filed'!$Q$5,FALSE)</f>
        <v>5409752.5800000001</v>
      </c>
      <c r="K24" s="88">
        <f>VLOOKUP(K$1,'As Filed'!$A$6:$BQ$32,'As Filed'!$P$5,FALSE)+VLOOKUP(K$1,'As Filed'!$A$6:$BQ$32,'As Filed'!$Q$5,FALSE)</f>
        <v>9545512.7299999986</v>
      </c>
      <c r="L24" s="88">
        <f>VLOOKUP(L$1,'As Filed'!$A$6:$BQ$32,'As Filed'!$P$5,FALSE)+VLOOKUP(L$1,'As Filed'!$A$6:$BQ$32,'As Filed'!$Q$5,FALSE)</f>
        <v>9670814.4299999997</v>
      </c>
      <c r="M24" s="88">
        <f>VLOOKUP(M$1,'As Filed'!$A$6:$BQ$32,'As Filed'!$P$5,FALSE)+VLOOKUP(M$1,'As Filed'!$A$6:$BQ$32,'As Filed'!$Q$5,FALSE)</f>
        <v>6444956.79</v>
      </c>
      <c r="N24" s="88">
        <f>VLOOKUP(N$1,'As Filed'!$A$6:$BQ$32,'As Filed'!$P$5,FALSE)+VLOOKUP(N$1,'As Filed'!$A$6:$BQ$32,'As Filed'!$Q$5,FALSE)</f>
        <v>7405050.1500000004</v>
      </c>
    </row>
    <row r="25" spans="1:14" ht="15">
      <c r="A25" s="85"/>
      <c r="B25" s="86" t="s">
        <v>125</v>
      </c>
      <c r="C25" s="95">
        <f>VLOOKUP(C$1,'As Filed'!$A$6:$BQ$32,'As Filed'!$R$5,FALSE)</f>
        <v>40.86</v>
      </c>
      <c r="D25" s="95">
        <f>VLOOKUP(D$1,'As Filed'!$A$6:$BQ$32,'As Filed'!$R$5,FALSE)</f>
        <v>27813.82</v>
      </c>
      <c r="E25" s="95">
        <f>VLOOKUP(E$1,'As Filed'!$A$6:$BQ$32,'As Filed'!$R$5,FALSE)</f>
        <v>45629.96</v>
      </c>
      <c r="F25" s="95">
        <f>VLOOKUP(F$1,'As Filed'!$A$6:$BQ$32,'As Filed'!$R$5,FALSE)</f>
        <v>33493.449999999997</v>
      </c>
      <c r="G25" s="95">
        <f>VLOOKUP(G$1,'As Filed'!$A$6:$BQ$32,'As Filed'!$R$5,FALSE)</f>
        <v>7254.9</v>
      </c>
      <c r="H25" s="95">
        <f>VLOOKUP(H$1,'As Filed'!$A$6:$BQ$32,'As Filed'!$R$5,FALSE)</f>
        <v>0</v>
      </c>
      <c r="I25" s="95">
        <f>VLOOKUP(I$1,'As Filed'!$A$6:$BQ$32,'As Filed'!$R$5,FALSE)</f>
        <v>768.59</v>
      </c>
      <c r="J25" s="95">
        <f>VLOOKUP(J$1,'As Filed'!$A$6:$BQ$32,'As Filed'!$R$5,FALSE)</f>
        <v>0</v>
      </c>
      <c r="K25" s="95">
        <f>VLOOKUP(K$1,'As Filed'!$A$6:$BQ$32,'As Filed'!$R$5,FALSE)</f>
        <v>0</v>
      </c>
      <c r="L25" s="95">
        <f>VLOOKUP(L$1,'As Filed'!$A$6:$BQ$32,'As Filed'!$R$5,FALSE)</f>
        <v>0</v>
      </c>
      <c r="M25" s="95">
        <f>VLOOKUP(M$1,'As Filed'!$A$6:$BQ$32,'As Filed'!$R$5,FALSE)</f>
        <v>0</v>
      </c>
      <c r="N25" s="95">
        <f>VLOOKUP(N$1,'As Filed'!$A$6:$BQ$32,'As Filed'!$R$5,FALSE)</f>
        <v>0</v>
      </c>
    </row>
    <row r="26" spans="1:14">
      <c r="A26" s="85"/>
      <c r="B26" s="86" t="s">
        <v>126</v>
      </c>
      <c r="C26" s="88">
        <f t="shared" ref="C26:E26" si="6">IF(C17+C22&gt;C16,SUM(C21,-C22,-C23,C24,C25),SUM(C21,-C23,C24,C25))</f>
        <v>10744363.529999999</v>
      </c>
      <c r="D26" s="88">
        <f t="shared" si="6"/>
        <v>6222650.6399999997</v>
      </c>
      <c r="E26" s="88">
        <f t="shared" si="6"/>
        <v>4040270.76</v>
      </c>
      <c r="F26" s="88">
        <f>IF(F17+F22&gt;F16,SUM(F21,-F22,-F23,F24,F25),SUM(F21,-F23,F24,F25))</f>
        <v>6049248.4400000004</v>
      </c>
      <c r="G26" s="88">
        <f t="shared" ref="G26:N26" si="7">IF(G17+G22&gt;G16,SUM(G21,-G22,-G23,G24,G25),SUM(G21,-G23,G24,G25))</f>
        <v>6986739.7700000014</v>
      </c>
      <c r="H26" s="88">
        <f t="shared" si="7"/>
        <v>9623900.0500000007</v>
      </c>
      <c r="I26" s="88">
        <f t="shared" si="7"/>
        <v>7264487.5599999987</v>
      </c>
      <c r="J26" s="88">
        <f t="shared" si="7"/>
        <v>6037926.8200000003</v>
      </c>
      <c r="K26" s="88">
        <f t="shared" si="7"/>
        <v>10289051.9</v>
      </c>
      <c r="L26" s="88">
        <f t="shared" si="7"/>
        <v>10290161.109999999</v>
      </c>
      <c r="M26" s="88">
        <f t="shared" si="7"/>
        <v>7217597.7400000002</v>
      </c>
      <c r="N26" s="88">
        <f t="shared" si="7"/>
        <v>8466831.3200000003</v>
      </c>
    </row>
    <row r="27" spans="1:14">
      <c r="A27" s="85"/>
      <c r="B27" s="86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>
      <c r="A28" s="85" t="s">
        <v>60</v>
      </c>
      <c r="B28" s="86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4">
      <c r="A29" s="85"/>
      <c r="B29" s="86" t="s">
        <v>127</v>
      </c>
      <c r="C29" s="88">
        <f>VLOOKUP(C$1,'As Filed'!$A$6:$BQ$32,'As Filed'!$V$5,FALSE)-VLOOKUP(C$1,'As Filed'!$A$6:$BQ$32,'As Filed'!$W$5,FALSE)-VLOOKUP(C$1,'As Filed'!$A$6:$BQ$32,'As Filed'!$X$5,FALSE)-VLOOKUP(C$1,'As Filed'!$A$6:$BQ$32,'As Filed'!$Y$5,FALSE)</f>
        <v>525.18999999994412</v>
      </c>
      <c r="D29" s="88">
        <f>VLOOKUP(D$1,'As Filed'!$A$6:$BQ$32,'As Filed'!$V$5,FALSE)-VLOOKUP(D$1,'As Filed'!$A$6:$BQ$32,'As Filed'!$W$5,FALSE)-VLOOKUP(D$1,'As Filed'!$A$6:$BQ$32,'As Filed'!$X$5,FALSE)-VLOOKUP(D$1,'As Filed'!$A$6:$BQ$32,'As Filed'!$Y$5,FALSE)</f>
        <v>426532.58999999985</v>
      </c>
      <c r="E29" s="88">
        <f>VLOOKUP(E$1,'As Filed'!$A$6:$BQ$32,'As Filed'!$V$5,FALSE)-VLOOKUP(E$1,'As Filed'!$A$6:$BQ$32,'As Filed'!$W$5,FALSE)-VLOOKUP(E$1,'As Filed'!$A$6:$BQ$32,'As Filed'!$X$5,FALSE)-VLOOKUP(E$1,'As Filed'!$A$6:$BQ$32,'As Filed'!$Y$5,FALSE)</f>
        <v>790251.05000000028</v>
      </c>
      <c r="F29" s="88">
        <f>VLOOKUP(F$1,'As Filed'!$A$6:$BQ$32,'As Filed'!$V$5,FALSE)-VLOOKUP(F$1,'As Filed'!$A$6:$BQ$32,'As Filed'!$W$5,FALSE)-VLOOKUP(F$1,'As Filed'!$A$6:$BQ$32,'As Filed'!$X$5,FALSE)-VLOOKUP(F$1,'As Filed'!$A$6:$BQ$32,'As Filed'!$Y$5,FALSE)</f>
        <v>441990.52</v>
      </c>
      <c r="G29" s="88">
        <f>VLOOKUP(G$1,'As Filed'!$A$6:$BQ$32,'As Filed'!$V$5,FALSE)-VLOOKUP(G$1,'As Filed'!$A$6:$BQ$32,'As Filed'!$W$5,FALSE)-VLOOKUP(G$1,'As Filed'!$A$6:$BQ$32,'As Filed'!$X$5,FALSE)-VLOOKUP(G$1,'As Filed'!$A$6:$BQ$32,'As Filed'!$Y$5,FALSE)</f>
        <v>164278.7799999998</v>
      </c>
      <c r="H29" s="88">
        <f>VLOOKUP(H$1,'As Filed'!$A$6:$BQ$32,'As Filed'!$V$5,FALSE)-VLOOKUP(H$1,'As Filed'!$A$6:$BQ$32,'As Filed'!$W$5,FALSE)-VLOOKUP(H$1,'As Filed'!$A$6:$BQ$32,'As Filed'!$X$5,FALSE)-VLOOKUP(H$1,'As Filed'!$A$6:$BQ$32,'As Filed'!$Y$5,FALSE)</f>
        <v>11432.419999999925</v>
      </c>
      <c r="I29" s="88">
        <f>VLOOKUP(I$1,'As Filed'!$A$6:$BQ$32,'As Filed'!$V$5,FALSE)-VLOOKUP(I$1,'As Filed'!$A$6:$BQ$32,'As Filed'!$W$5,FALSE)-VLOOKUP(I$1,'As Filed'!$A$6:$BQ$32,'As Filed'!$X$5,FALSE)-VLOOKUP(I$1,'As Filed'!$A$6:$BQ$32,'As Filed'!$Y$5,FALSE)</f>
        <v>801530.81</v>
      </c>
      <c r="J29" s="88">
        <f>VLOOKUP(J$1,'As Filed'!$A$6:$BQ$32,'As Filed'!$V$5,FALSE)-VLOOKUP(J$1,'As Filed'!$A$6:$BQ$32,'As Filed'!$W$5,FALSE)-VLOOKUP(J$1,'As Filed'!$A$6:$BQ$32,'As Filed'!$X$5,FALSE)-VLOOKUP(J$1,'As Filed'!$A$6:$BQ$32,'As Filed'!$Y$5,FALSE)</f>
        <v>82554.909999999916</v>
      </c>
      <c r="K29" s="88">
        <f>VLOOKUP(K$1,'As Filed'!$A$6:$BQ$32,'As Filed'!$V$5,FALSE)-VLOOKUP(K$1,'As Filed'!$A$6:$BQ$32,'As Filed'!$W$5,FALSE)-VLOOKUP(K$1,'As Filed'!$A$6:$BQ$32,'As Filed'!$X$5,FALSE)-VLOOKUP(K$1,'As Filed'!$A$6:$BQ$32,'As Filed'!$Y$5,FALSE)</f>
        <v>17848.629999999888</v>
      </c>
      <c r="L29" s="88">
        <f>VLOOKUP(L$1,'As Filed'!$A$6:$BQ$32,'As Filed'!$V$5,FALSE)-VLOOKUP(L$1,'As Filed'!$A$6:$BQ$32,'As Filed'!$W$5,FALSE)-VLOOKUP(L$1,'As Filed'!$A$6:$BQ$32,'As Filed'!$X$5,FALSE)-VLOOKUP(L$1,'As Filed'!$A$6:$BQ$32,'As Filed'!$Y$5,FALSE)</f>
        <v>7525.0800000000745</v>
      </c>
      <c r="M29" s="88">
        <f>VLOOKUP(M$1,'As Filed'!$A$6:$BQ$32,'As Filed'!$V$5,FALSE)-VLOOKUP(M$1,'As Filed'!$A$6:$BQ$32,'As Filed'!$W$5,FALSE)-VLOOKUP(M$1,'As Filed'!$A$6:$BQ$32,'As Filed'!$X$5,FALSE)-VLOOKUP(M$1,'As Filed'!$A$6:$BQ$32,'As Filed'!$Y$5,FALSE)</f>
        <v>2826.3800000000629</v>
      </c>
      <c r="N29" s="88">
        <f>VLOOKUP(N$1,'As Filed'!$A$6:$BQ$32,'As Filed'!$V$5,FALSE)-VLOOKUP(N$1,'As Filed'!$A$6:$BQ$32,'As Filed'!$W$5,FALSE)-VLOOKUP(N$1,'As Filed'!$A$6:$BQ$32,'As Filed'!$X$5,FALSE)-VLOOKUP(N$1,'As Filed'!$A$6:$BQ$32,'As Filed'!$Y$5,FALSE)</f>
        <v>3768.4400000000605</v>
      </c>
    </row>
    <row r="30" spans="1:14">
      <c r="A30" s="85"/>
      <c r="B30" s="106" t="s">
        <v>156</v>
      </c>
      <c r="C30" s="88">
        <f>VLOOKUP(C$1,'As Filed'!$A$6:$BQ$32,'As Filed'!$W$5,FALSE)+VLOOKUP(C$1,'As Filed'!$A$6:$BQ$32,'As Filed'!$X$5,FALSE)</f>
        <v>323.56</v>
      </c>
      <c r="D30" s="88">
        <f>VLOOKUP(D$1,'As Filed'!$A$6:$BQ$32,'As Filed'!$W$5,FALSE)+VLOOKUP(D$1,'As Filed'!$A$6:$BQ$32,'As Filed'!$X$5,FALSE)</f>
        <v>230565.47</v>
      </c>
      <c r="E30" s="88">
        <f>VLOOKUP(E$1,'As Filed'!$A$6:$BQ$32,'As Filed'!$W$5,FALSE)+VLOOKUP(E$1,'As Filed'!$A$6:$BQ$32,'As Filed'!$X$5,FALSE)</f>
        <v>850816.03999999992</v>
      </c>
      <c r="F30" s="88">
        <f>VLOOKUP(F$1,'As Filed'!$A$6:$BQ$32,'As Filed'!$W$5,FALSE)+VLOOKUP(F$1,'As Filed'!$A$6:$BQ$32,'As Filed'!$X$5,FALSE)</f>
        <v>326076.52</v>
      </c>
      <c r="G30" s="88">
        <f>VLOOKUP(G$1,'As Filed'!$A$6:$BQ$32,'As Filed'!$W$5,FALSE)+VLOOKUP(G$1,'As Filed'!$A$6:$BQ$32,'As Filed'!$X$5,FALSE)</f>
        <v>166228.28</v>
      </c>
      <c r="H30" s="88">
        <f>VLOOKUP(H$1,'As Filed'!$A$6:$BQ$32,'As Filed'!$W$5,FALSE)+VLOOKUP(H$1,'As Filed'!$A$6:$BQ$32,'As Filed'!$X$5,FALSE)</f>
        <v>0</v>
      </c>
      <c r="I30" s="88">
        <f>VLOOKUP(I$1,'As Filed'!$A$6:$BQ$32,'As Filed'!$W$5,FALSE)+VLOOKUP(I$1,'As Filed'!$A$6:$BQ$32,'As Filed'!$X$5,FALSE)</f>
        <v>55056.31</v>
      </c>
      <c r="J30" s="88">
        <f>VLOOKUP(J$1,'As Filed'!$A$6:$BQ$32,'As Filed'!$W$5,FALSE)+VLOOKUP(J$1,'As Filed'!$A$6:$BQ$32,'As Filed'!$X$5,FALSE)</f>
        <v>0</v>
      </c>
      <c r="K30" s="88">
        <f>VLOOKUP(K$1,'As Filed'!$A$6:$BQ$32,'As Filed'!$W$5,FALSE)+VLOOKUP(K$1,'As Filed'!$A$6:$BQ$32,'As Filed'!$X$5,FALSE)</f>
        <v>0</v>
      </c>
      <c r="L30" s="88">
        <f>VLOOKUP(L$1,'As Filed'!$A$6:$BQ$32,'As Filed'!$W$5,FALSE)+VLOOKUP(L$1,'As Filed'!$A$6:$BQ$32,'As Filed'!$X$5,FALSE)</f>
        <v>1278.1300000000001</v>
      </c>
      <c r="M30" s="88">
        <f>VLOOKUP(M$1,'As Filed'!$A$6:$BQ$32,'As Filed'!$W$5,FALSE)+VLOOKUP(M$1,'As Filed'!$A$6:$BQ$32,'As Filed'!$X$5,FALSE)</f>
        <v>1559.41</v>
      </c>
      <c r="N30" s="88">
        <f>VLOOKUP(N$1,'As Filed'!$A$6:$BQ$32,'As Filed'!$W$5,FALSE)+VLOOKUP(N$1,'As Filed'!$A$6:$BQ$32,'As Filed'!$X$5,FALSE)</f>
        <v>9084.39</v>
      </c>
    </row>
    <row r="31" spans="1:14">
      <c r="A31" s="85"/>
      <c r="B31" s="106" t="s">
        <v>63</v>
      </c>
      <c r="C31" s="88">
        <f>VLOOKUP(C$1,'As Filed'!$A$6:$BQ$32,'As Filed'!$Y$5,FALSE)</f>
        <v>910534.89</v>
      </c>
      <c r="D31" s="88">
        <f>VLOOKUP(D$1,'As Filed'!$A$6:$BQ$32,'As Filed'!$Y$5,FALSE)</f>
        <v>2448554.4</v>
      </c>
      <c r="E31" s="88">
        <f>VLOOKUP(E$1,'As Filed'!$A$6:$BQ$32,'As Filed'!$Y$5,FALSE)</f>
        <v>2027919.25</v>
      </c>
      <c r="F31" s="88">
        <f>VLOOKUP(F$1,'As Filed'!$A$6:$BQ$32,'As Filed'!$Y$5,FALSE)</f>
        <v>2183841.7000000002</v>
      </c>
      <c r="G31" s="88">
        <f>VLOOKUP(G$1,'As Filed'!$A$6:$BQ$32,'As Filed'!$Y$5,FALSE)</f>
        <v>1298071.33</v>
      </c>
      <c r="H31" s="88">
        <f>VLOOKUP(H$1,'As Filed'!$A$6:$BQ$32,'As Filed'!$Y$5,FALSE)</f>
        <v>2323327.25</v>
      </c>
      <c r="I31" s="88">
        <f>VLOOKUP(I$1,'As Filed'!$A$6:$BQ$32,'As Filed'!$Y$5,FALSE)</f>
        <v>3963562.69</v>
      </c>
      <c r="J31" s="88">
        <f>VLOOKUP(J$1,'As Filed'!$A$6:$BQ$32,'As Filed'!$Y$5,FALSE)</f>
        <v>1863831.27</v>
      </c>
      <c r="K31" s="88">
        <f>VLOOKUP(K$1,'As Filed'!$A$6:$BQ$32,'As Filed'!$Y$5,FALSE)</f>
        <v>3179160.19</v>
      </c>
      <c r="L31" s="88">
        <f>VLOOKUP(L$1,'As Filed'!$A$6:$BQ$32,'As Filed'!$Y$5,FALSE)</f>
        <v>2491593.56</v>
      </c>
      <c r="M31" s="88">
        <f>VLOOKUP(M$1,'As Filed'!$A$6:$BQ$32,'As Filed'!$Y$5,FALSE)</f>
        <v>386945.35</v>
      </c>
      <c r="N31" s="88">
        <f>VLOOKUP(N$1,'As Filed'!$A$6:$BQ$32,'As Filed'!$Y$5,FALSE)</f>
        <v>521486.23</v>
      </c>
    </row>
    <row r="32" spans="1:14" ht="15">
      <c r="A32" s="85"/>
      <c r="B32" s="86" t="s">
        <v>128</v>
      </c>
      <c r="C32" s="95">
        <f>ROUND(C29*0.01,0)</f>
        <v>5</v>
      </c>
      <c r="D32" s="95">
        <f t="shared" ref="D32:N32" si="8">ROUND(D29*0.01,0)</f>
        <v>4265</v>
      </c>
      <c r="E32" s="95">
        <f t="shared" si="8"/>
        <v>7903</v>
      </c>
      <c r="F32" s="95">
        <f t="shared" si="8"/>
        <v>4420</v>
      </c>
      <c r="G32" s="95">
        <f t="shared" si="8"/>
        <v>1643</v>
      </c>
      <c r="H32" s="95">
        <f t="shared" si="8"/>
        <v>114</v>
      </c>
      <c r="I32" s="95">
        <f t="shared" si="8"/>
        <v>8015</v>
      </c>
      <c r="J32" s="95">
        <f t="shared" si="8"/>
        <v>826</v>
      </c>
      <c r="K32" s="95">
        <f t="shared" si="8"/>
        <v>178</v>
      </c>
      <c r="L32" s="95">
        <f t="shared" si="8"/>
        <v>75</v>
      </c>
      <c r="M32" s="95">
        <f t="shared" si="8"/>
        <v>28</v>
      </c>
      <c r="N32" s="95">
        <f t="shared" si="8"/>
        <v>38</v>
      </c>
    </row>
    <row r="33" spans="1:14">
      <c r="A33" s="85"/>
      <c r="B33" s="86" t="s">
        <v>126</v>
      </c>
      <c r="C33" s="88">
        <f t="shared" ref="C33:D33" si="9">SUM(C29:C32)</f>
        <v>911388.64</v>
      </c>
      <c r="D33" s="88">
        <f t="shared" si="9"/>
        <v>3109917.46</v>
      </c>
      <c r="E33" s="88">
        <f t="shared" ref="E33:N33" si="10">SUM(E29:E32)</f>
        <v>3676889.3400000003</v>
      </c>
      <c r="F33" s="88">
        <f t="shared" si="10"/>
        <v>2956328.74</v>
      </c>
      <c r="G33" s="88">
        <f t="shared" si="10"/>
        <v>1630221.39</v>
      </c>
      <c r="H33" s="88">
        <f t="shared" si="10"/>
        <v>2334873.67</v>
      </c>
      <c r="I33" s="88">
        <f t="shared" si="10"/>
        <v>4828164.8100000005</v>
      </c>
      <c r="J33" s="88">
        <f t="shared" si="10"/>
        <v>1947212.18</v>
      </c>
      <c r="K33" s="88">
        <f t="shared" si="10"/>
        <v>3197186.82</v>
      </c>
      <c r="L33" s="88">
        <f t="shared" si="10"/>
        <v>2500471.77</v>
      </c>
      <c r="M33" s="88">
        <f t="shared" si="10"/>
        <v>391359.14</v>
      </c>
      <c r="N33" s="88">
        <f t="shared" si="10"/>
        <v>534377.06000000006</v>
      </c>
    </row>
    <row r="34" spans="1:14">
      <c r="A34" s="85"/>
      <c r="B34" s="86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>
      <c r="A35" s="96" t="s">
        <v>129</v>
      </c>
      <c r="B35" s="86"/>
      <c r="C35" s="97">
        <f t="shared" ref="C35:N35" si="11">C$73</f>
        <v>36399</v>
      </c>
      <c r="D35" s="97">
        <f t="shared" si="11"/>
        <v>112915</v>
      </c>
      <c r="E35" s="97">
        <f t="shared" si="11"/>
        <v>80174</v>
      </c>
      <c r="F35" s="97">
        <f t="shared" si="11"/>
        <v>388437</v>
      </c>
      <c r="G35" s="97">
        <f t="shared" si="11"/>
        <v>275416</v>
      </c>
      <c r="H35" s="97">
        <f t="shared" si="11"/>
        <v>-467476</v>
      </c>
      <c r="I35" s="97">
        <f t="shared" si="11"/>
        <v>-703012</v>
      </c>
      <c r="J35" s="97">
        <f t="shared" si="11"/>
        <v>-188619</v>
      </c>
      <c r="K35" s="97">
        <f t="shared" si="11"/>
        <v>-268711</v>
      </c>
      <c r="L35" s="97">
        <f t="shared" si="11"/>
        <v>-135842</v>
      </c>
      <c r="M35" s="97">
        <f t="shared" si="11"/>
        <v>-49688</v>
      </c>
      <c r="N35" s="97">
        <f t="shared" si="11"/>
        <v>28164</v>
      </c>
    </row>
    <row r="36" spans="1:14">
      <c r="A36" s="85" t="s">
        <v>130</v>
      </c>
      <c r="B36" s="86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>
      <c r="A37" s="85"/>
      <c r="B37" s="86" t="s">
        <v>131</v>
      </c>
      <c r="C37" s="87">
        <f t="shared" ref="C37:N37" si="12">C18+C26-C33-C35</f>
        <v>41469087.5</v>
      </c>
      <c r="D37" s="87">
        <f t="shared" si="12"/>
        <v>45512018.770000003</v>
      </c>
      <c r="E37" s="87">
        <f t="shared" si="12"/>
        <v>50921239.779999994</v>
      </c>
      <c r="F37" s="87">
        <f t="shared" si="12"/>
        <v>60387247.489999995</v>
      </c>
      <c r="G37" s="87">
        <f t="shared" si="12"/>
        <v>57612742.700000003</v>
      </c>
      <c r="H37" s="87">
        <f t="shared" si="12"/>
        <v>44392924.870000005</v>
      </c>
      <c r="I37" s="87">
        <f t="shared" si="12"/>
        <v>38886440.700000003</v>
      </c>
      <c r="J37" s="87">
        <f t="shared" si="12"/>
        <v>42558264.130000003</v>
      </c>
      <c r="K37" s="87">
        <f t="shared" si="12"/>
        <v>48443092.309999995</v>
      </c>
      <c r="L37" s="87">
        <f t="shared" si="12"/>
        <v>53095091.949999996</v>
      </c>
      <c r="M37" s="87">
        <f t="shared" si="12"/>
        <v>48817325.660000004</v>
      </c>
      <c r="N37" s="87">
        <f t="shared" si="12"/>
        <v>44193679.089999996</v>
      </c>
    </row>
    <row r="38" spans="1:14">
      <c r="A38" s="92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</row>
    <row r="39" spans="1:14">
      <c r="A39" s="82" t="s">
        <v>132</v>
      </c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>
      <c r="A40" s="85"/>
      <c r="B40" s="86" t="s">
        <v>133</v>
      </c>
      <c r="C40" s="88">
        <f>VLOOKUP(C$1,'As Filed'!$A$6:$BQ$32,'As Filed'!$AD$5,FALSE)-VLOOKUP(C$1,'As Filed'!$A$6:$BQ$32,'As Filed'!$AF$5,FALSE)-VLOOKUP(C$1,'As Filed'!$A$6:$BQ$32,'As Filed'!$AG$5,FALSE)</f>
        <v>1145800000</v>
      </c>
      <c r="D40" s="88">
        <f>VLOOKUP(D$1,'As Filed'!$A$6:$BQ$32,'As Filed'!$AD$5,FALSE)-VLOOKUP(D$1,'As Filed'!$A$6:$BQ$32,'As Filed'!$AF$5,FALSE)-VLOOKUP(D$1,'As Filed'!$A$6:$BQ$32,'As Filed'!$AG$5,FALSE)</f>
        <v>1502522000</v>
      </c>
      <c r="E40" s="88">
        <f>VLOOKUP(E$1,'As Filed'!$A$6:$BQ$32,'As Filed'!$AD$5,FALSE)-VLOOKUP(E$1,'As Filed'!$A$6:$BQ$32,'As Filed'!$AF$5,FALSE)-VLOOKUP(E$1,'As Filed'!$A$6:$BQ$32,'As Filed'!$AG$5,FALSE)</f>
        <v>1819593000</v>
      </c>
      <c r="F40" s="88">
        <f>VLOOKUP(F$1,'As Filed'!$A$6:$BQ$32,'As Filed'!$AD$5,FALSE)-VLOOKUP(F$1,'As Filed'!$A$6:$BQ$32,'As Filed'!$AF$5,FALSE)-VLOOKUP(F$1,'As Filed'!$A$6:$BQ$32,'As Filed'!$AG$5,FALSE)</f>
        <v>2000480000</v>
      </c>
      <c r="G40" s="88">
        <f>VLOOKUP(G$1,'As Filed'!$A$6:$BQ$32,'As Filed'!$AD$5,FALSE)-VLOOKUP(G$1,'As Filed'!$A$6:$BQ$32,'As Filed'!$AF$5,FALSE)-VLOOKUP(G$1,'As Filed'!$A$6:$BQ$32,'As Filed'!$AG$5,FALSE)</f>
        <v>1842203000</v>
      </c>
      <c r="H40" s="88">
        <f>VLOOKUP(H$1,'As Filed'!$A$6:$BQ$32,'As Filed'!$AD$5,FALSE)-VLOOKUP(H$1,'As Filed'!$A$6:$BQ$32,'As Filed'!$AF$5,FALSE)-VLOOKUP(H$1,'As Filed'!$A$6:$BQ$32,'As Filed'!$AG$5,FALSE)</f>
        <v>1316353000</v>
      </c>
      <c r="I40" s="88">
        <f>VLOOKUP(I$1,'As Filed'!$A$6:$BQ$32,'As Filed'!$AD$5,FALSE)-VLOOKUP(I$1,'As Filed'!$A$6:$BQ$32,'As Filed'!$AF$5,FALSE)-VLOOKUP(I$1,'As Filed'!$A$6:$BQ$32,'As Filed'!$AG$5,FALSE)</f>
        <v>1482794000</v>
      </c>
      <c r="J40" s="88">
        <f>VLOOKUP(J$1,'As Filed'!$A$6:$BQ$32,'As Filed'!$AD$5,FALSE)-VLOOKUP(J$1,'As Filed'!$A$6:$BQ$32,'As Filed'!$AF$5,FALSE)-VLOOKUP(J$1,'As Filed'!$A$6:$BQ$32,'As Filed'!$AG$5,FALSE)</f>
        <v>1460319000</v>
      </c>
      <c r="K40" s="88">
        <f>VLOOKUP(K$1,'As Filed'!$A$6:$BQ$32,'As Filed'!$AD$5,FALSE)-VLOOKUP(K$1,'As Filed'!$A$6:$BQ$32,'As Filed'!$AF$5,FALSE)-VLOOKUP(K$1,'As Filed'!$A$6:$BQ$32,'As Filed'!$AG$5,FALSE)</f>
        <v>1552744000</v>
      </c>
      <c r="L40" s="88">
        <f>VLOOKUP(L$1,'As Filed'!$A$6:$BQ$32,'As Filed'!$AD$5,FALSE)-VLOOKUP(L$1,'As Filed'!$A$6:$BQ$32,'As Filed'!$AF$5,FALSE)-VLOOKUP(L$1,'As Filed'!$A$6:$BQ$32,'As Filed'!$AG$5,FALSE)</f>
        <v>1683046000</v>
      </c>
      <c r="M40" s="88">
        <f>VLOOKUP(M$1,'As Filed'!$A$6:$BQ$32,'As Filed'!$AD$5,FALSE)-VLOOKUP(M$1,'As Filed'!$A$6:$BQ$32,'As Filed'!$AF$5,FALSE)-VLOOKUP(M$1,'As Filed'!$A$6:$BQ$32,'As Filed'!$AG$5,FALSE)</f>
        <v>1530817000</v>
      </c>
      <c r="N40" s="88">
        <f>VLOOKUP(N$1,'As Filed'!$A$6:$BQ$32,'As Filed'!$AD$5,FALSE)-VLOOKUP(N$1,'As Filed'!$A$6:$BQ$32,'As Filed'!$AF$5,FALSE)-VLOOKUP(N$1,'As Filed'!$A$6:$BQ$32,'As Filed'!$AG$5,FALSE)</f>
        <v>1320335000</v>
      </c>
    </row>
    <row r="41" spans="1:14">
      <c r="A41" s="85"/>
      <c r="B41" s="86" t="s">
        <v>134</v>
      </c>
      <c r="C41" s="88">
        <f>VLOOKUP(C$1,'As Filed'!$A$6:$BQ$32,'As Filed'!$AH$5,FALSE)-VLOOKUP(C$1,'As Filed'!$A$6:$BQ$32,'As Filed'!$AI$5,FALSE)-VLOOKUP(C$1,'As Filed'!$A$6:$BQ$32,'As Filed'!$AJ$5,FALSE)+VLOOKUP(C$1,'As Filed'!$A$6:$BQ$32,'As Filed'!$AL$5,FALSE)</f>
        <v>93222451</v>
      </c>
      <c r="D41" s="88">
        <f>VLOOKUP(D$1,'As Filed'!$A$6:$BQ$32,'As Filed'!$AH$5,FALSE)-VLOOKUP(D$1,'As Filed'!$A$6:$BQ$32,'As Filed'!$AI$5,FALSE)-VLOOKUP(D$1,'As Filed'!$A$6:$BQ$32,'As Filed'!$AJ$5,FALSE)+VLOOKUP(D$1,'As Filed'!$A$6:$BQ$32,'As Filed'!$AL$5,FALSE)</f>
        <v>54861924</v>
      </c>
      <c r="E41" s="88">
        <f>VLOOKUP(E$1,'As Filed'!$A$6:$BQ$32,'As Filed'!$AH$5,FALSE)-VLOOKUP(E$1,'As Filed'!$A$6:$BQ$32,'As Filed'!$AI$5,FALSE)-VLOOKUP(E$1,'As Filed'!$A$6:$BQ$32,'As Filed'!$AJ$5,FALSE)+VLOOKUP(E$1,'As Filed'!$A$6:$BQ$32,'As Filed'!$AL$5,FALSE)</f>
        <v>53248800</v>
      </c>
      <c r="F41" s="88">
        <f>VLOOKUP(F$1,'As Filed'!$A$6:$BQ$32,'As Filed'!$AH$5,FALSE)-VLOOKUP(F$1,'As Filed'!$A$6:$BQ$32,'As Filed'!$AI$5,FALSE)-VLOOKUP(F$1,'As Filed'!$A$6:$BQ$32,'As Filed'!$AJ$5,FALSE)+VLOOKUP(F$1,'As Filed'!$A$6:$BQ$32,'As Filed'!$AL$5,FALSE)</f>
        <v>71334212</v>
      </c>
      <c r="G41" s="88">
        <f>VLOOKUP(G$1,'As Filed'!$A$6:$BQ$32,'As Filed'!$AH$5,FALSE)-VLOOKUP(G$1,'As Filed'!$A$6:$BQ$32,'As Filed'!$AI$5,FALSE)-VLOOKUP(G$1,'As Filed'!$A$6:$BQ$32,'As Filed'!$AJ$5,FALSE)+VLOOKUP(G$1,'As Filed'!$A$6:$BQ$32,'As Filed'!$AL$5,FALSE)</f>
        <v>70304313</v>
      </c>
      <c r="H41" s="88">
        <f>VLOOKUP(H$1,'As Filed'!$A$6:$BQ$32,'As Filed'!$AH$5,FALSE)-VLOOKUP(H$1,'As Filed'!$A$6:$BQ$32,'As Filed'!$AI$5,FALSE)-VLOOKUP(H$1,'As Filed'!$A$6:$BQ$32,'As Filed'!$AJ$5,FALSE)+VLOOKUP(H$1,'As Filed'!$A$6:$BQ$32,'As Filed'!$AL$5,FALSE)</f>
        <v>45527812</v>
      </c>
      <c r="I41" s="88">
        <f>VLOOKUP(I$1,'As Filed'!$A$6:$BQ$32,'As Filed'!$AH$5,FALSE)-VLOOKUP(I$1,'As Filed'!$A$6:$BQ$32,'As Filed'!$AI$5,FALSE)-VLOOKUP(I$1,'As Filed'!$A$6:$BQ$32,'As Filed'!$AJ$5,FALSE)+VLOOKUP(I$1,'As Filed'!$A$6:$BQ$32,'As Filed'!$AL$5,FALSE)</f>
        <v>59582000</v>
      </c>
      <c r="J41" s="88">
        <f>VLOOKUP(J$1,'As Filed'!$A$6:$BQ$32,'As Filed'!$AH$5,FALSE)-VLOOKUP(J$1,'As Filed'!$A$6:$BQ$32,'As Filed'!$AI$5,FALSE)-VLOOKUP(J$1,'As Filed'!$A$6:$BQ$32,'As Filed'!$AJ$5,FALSE)+VLOOKUP(J$1,'As Filed'!$A$6:$BQ$32,'As Filed'!$AL$5,FALSE)</f>
        <v>62801000</v>
      </c>
      <c r="K41" s="88">
        <f>VLOOKUP(K$1,'As Filed'!$A$6:$BQ$32,'As Filed'!$AH$5,FALSE)-VLOOKUP(K$1,'As Filed'!$A$6:$BQ$32,'As Filed'!$AI$5,FALSE)-VLOOKUP(K$1,'As Filed'!$A$6:$BQ$32,'As Filed'!$AJ$5,FALSE)+VLOOKUP(K$1,'As Filed'!$A$6:$BQ$32,'As Filed'!$AL$5,FALSE)</f>
        <v>64205000</v>
      </c>
      <c r="L41" s="88">
        <f>VLOOKUP(L$1,'As Filed'!$A$6:$BQ$32,'As Filed'!$AH$5,FALSE)-VLOOKUP(L$1,'As Filed'!$A$6:$BQ$32,'As Filed'!$AI$5,FALSE)-VLOOKUP(L$1,'As Filed'!$A$6:$BQ$32,'As Filed'!$AJ$5,FALSE)+VLOOKUP(L$1,'As Filed'!$A$6:$BQ$32,'As Filed'!$AL$5,FALSE)</f>
        <v>60641000</v>
      </c>
      <c r="M41" s="88">
        <f>VLOOKUP(M$1,'As Filed'!$A$6:$BQ$32,'As Filed'!$AH$5,FALSE)-VLOOKUP(M$1,'As Filed'!$A$6:$BQ$32,'As Filed'!$AI$5,FALSE)-VLOOKUP(M$1,'As Filed'!$A$6:$BQ$32,'As Filed'!$AJ$5,FALSE)+VLOOKUP(M$1,'As Filed'!$A$6:$BQ$32,'As Filed'!$AL$5,FALSE)</f>
        <v>63911374</v>
      </c>
      <c r="N41" s="88">
        <f>VLOOKUP(N$1,'As Filed'!$A$6:$BQ$32,'As Filed'!$AH$5,FALSE)-VLOOKUP(N$1,'As Filed'!$A$6:$BQ$32,'As Filed'!$AI$5,FALSE)-VLOOKUP(N$1,'As Filed'!$A$6:$BQ$32,'As Filed'!$AJ$5,FALSE)+VLOOKUP(N$1,'As Filed'!$A$6:$BQ$32,'As Filed'!$AL$5,FALSE)</f>
        <v>77798000</v>
      </c>
    </row>
    <row r="42" spans="1:14">
      <c r="A42" s="85"/>
      <c r="B42" s="106" t="s">
        <v>156</v>
      </c>
      <c r="C42" s="98">
        <f>VLOOKUP(C$1,'As Filed'!$A$6:$BQ$32,'As Filed'!$AI$5,FALSE)</f>
        <v>367550000</v>
      </c>
      <c r="D42" s="98">
        <f>VLOOKUP(D$1,'As Filed'!$A$6:$BQ$32,'As Filed'!$AI$5,FALSE)</f>
        <v>211197000</v>
      </c>
      <c r="E42" s="98">
        <f>VLOOKUP(E$1,'As Filed'!$A$6:$BQ$32,'As Filed'!$AI$5,FALSE)</f>
        <v>128241000</v>
      </c>
      <c r="F42" s="98">
        <f>VLOOKUP(F$1,'As Filed'!$A$6:$BQ$32,'As Filed'!$AI$5,FALSE)</f>
        <v>165231000</v>
      </c>
      <c r="G42" s="98">
        <f>VLOOKUP(G$1,'As Filed'!$A$6:$BQ$32,'As Filed'!$AI$5,FALSE)</f>
        <v>214643000</v>
      </c>
      <c r="H42" s="98">
        <f>VLOOKUP(H$1,'As Filed'!$A$6:$BQ$32,'As Filed'!$AI$5,FALSE)</f>
        <v>367228000</v>
      </c>
      <c r="I42" s="98">
        <f>VLOOKUP(I$1,'As Filed'!$A$6:$BQ$32,'As Filed'!$AI$5,FALSE)</f>
        <v>298394000</v>
      </c>
      <c r="J42" s="98">
        <f>VLOOKUP(J$1,'As Filed'!$A$6:$BQ$32,'As Filed'!$AI$5,FALSE)</f>
        <v>240256000</v>
      </c>
      <c r="K42" s="98">
        <f>VLOOKUP(K$1,'As Filed'!$A$6:$BQ$32,'As Filed'!$AI$5,FALSE)</f>
        <v>425541000</v>
      </c>
      <c r="L42" s="98">
        <f>VLOOKUP(L$1,'As Filed'!$A$6:$BQ$32,'As Filed'!$AI$5,FALSE)</f>
        <v>436448000</v>
      </c>
      <c r="M42" s="98">
        <f>VLOOKUP(M$1,'As Filed'!$A$6:$BQ$32,'As Filed'!$AI$5,FALSE)</f>
        <v>290185000</v>
      </c>
      <c r="N42" s="98">
        <f>VLOOKUP(N$1,'As Filed'!$A$6:$BQ$32,'As Filed'!$AI$5,FALSE)</f>
        <v>317379000</v>
      </c>
    </row>
    <row r="43" spans="1:14" ht="15">
      <c r="A43" s="85"/>
      <c r="B43" s="106" t="s">
        <v>63</v>
      </c>
      <c r="C43" s="99">
        <f>VLOOKUP(C$1,'As Filed'!$A$6:$BQ$32,'As Filed'!$AJ$5,FALSE)</f>
        <v>1000</v>
      </c>
      <c r="D43" s="99">
        <f>VLOOKUP(D$1,'As Filed'!$A$6:$BQ$32,'As Filed'!$AJ$5,FALSE)</f>
        <v>882000</v>
      </c>
      <c r="E43" s="99">
        <f>VLOOKUP(E$1,'As Filed'!$A$6:$BQ$32,'As Filed'!$AJ$5,FALSE)</f>
        <v>1000000</v>
      </c>
      <c r="F43" s="99">
        <f>VLOOKUP(F$1,'As Filed'!$A$6:$BQ$32,'As Filed'!$AJ$5,FALSE)</f>
        <v>714000</v>
      </c>
      <c r="G43" s="99">
        <f>VLOOKUP(G$1,'As Filed'!$A$6:$BQ$32,'As Filed'!$AJ$5,FALSE)</f>
        <v>177000</v>
      </c>
      <c r="H43" s="99">
        <f>VLOOKUP(H$1,'As Filed'!$A$6:$BQ$32,'As Filed'!$AJ$5,FALSE)</f>
        <v>0</v>
      </c>
      <c r="I43" s="99">
        <f>VLOOKUP(I$1,'As Filed'!$A$6:$BQ$32,'As Filed'!$AJ$5,FALSE)</f>
        <v>34000</v>
      </c>
      <c r="J43" s="99">
        <f>VLOOKUP(J$1,'As Filed'!$A$6:$BQ$32,'As Filed'!$AJ$5,FALSE)</f>
        <v>0</v>
      </c>
      <c r="K43" s="99">
        <f>VLOOKUP(K$1,'As Filed'!$A$6:$BQ$32,'As Filed'!$AJ$5,FALSE)</f>
        <v>0</v>
      </c>
      <c r="L43" s="99">
        <f>VLOOKUP(L$1,'As Filed'!$A$6:$BQ$32,'As Filed'!$AJ$5,FALSE)</f>
        <v>0</v>
      </c>
      <c r="M43" s="99">
        <f>VLOOKUP(M$1,'As Filed'!$A$6:$BQ$32,'As Filed'!$AJ$5,FALSE)</f>
        <v>0</v>
      </c>
      <c r="N43" s="99">
        <f>VLOOKUP(N$1,'As Filed'!$A$6:$BQ$32,'As Filed'!$AJ$5,FALSE)</f>
        <v>0</v>
      </c>
    </row>
    <row r="44" spans="1:14">
      <c r="A44" s="85"/>
      <c r="B44" s="86" t="s">
        <v>126</v>
      </c>
      <c r="C44" s="88">
        <f t="shared" ref="C44:D44" si="13">SUM(C40:C43)</f>
        <v>1606573451</v>
      </c>
      <c r="D44" s="88">
        <f t="shared" si="13"/>
        <v>1769462924</v>
      </c>
      <c r="E44" s="88">
        <f t="shared" ref="E44:N44" si="14">SUM(E40:E43)</f>
        <v>2002082800</v>
      </c>
      <c r="F44" s="88">
        <f t="shared" si="14"/>
        <v>2237759212</v>
      </c>
      <c r="G44" s="88">
        <f t="shared" si="14"/>
        <v>2127327313</v>
      </c>
      <c r="H44" s="88">
        <f t="shared" si="14"/>
        <v>1729108812</v>
      </c>
      <c r="I44" s="88">
        <f t="shared" si="14"/>
        <v>1840804000</v>
      </c>
      <c r="J44" s="88">
        <f t="shared" si="14"/>
        <v>1763376000</v>
      </c>
      <c r="K44" s="88">
        <f t="shared" si="14"/>
        <v>2042490000</v>
      </c>
      <c r="L44" s="88">
        <f t="shared" si="14"/>
        <v>2180135000</v>
      </c>
      <c r="M44" s="88">
        <f t="shared" si="14"/>
        <v>1884913374</v>
      </c>
      <c r="N44" s="88">
        <f t="shared" si="14"/>
        <v>1715512000</v>
      </c>
    </row>
    <row r="45" spans="1:14">
      <c r="A45" s="85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>
      <c r="A46" s="85"/>
      <c r="B46" s="86" t="s">
        <v>60</v>
      </c>
      <c r="C46" s="88">
        <f>VLOOKUP(C$1,'As Filed'!$A$6:$BQ$32,'As Filed'!$AP$5,FALSE)-VLOOKUP(C$1,'As Filed'!$A$6:$BQ$32,'As Filed'!$AQ$5,FALSE)-VLOOKUP(C$1,'As Filed'!$A$6:$BQ$32,'As Filed'!$AR$5,FALSE)</f>
        <v>14000</v>
      </c>
      <c r="D46" s="88">
        <f>VLOOKUP(D$1,'As Filed'!$A$6:$BQ$32,'As Filed'!$AP$5,FALSE)-VLOOKUP(D$1,'As Filed'!$A$6:$BQ$32,'As Filed'!$AQ$5,FALSE)-VLOOKUP(D$1,'As Filed'!$A$6:$BQ$32,'As Filed'!$AR$5,FALSE)</f>
        <v>13001000</v>
      </c>
      <c r="E46" s="88">
        <f>VLOOKUP(E$1,'As Filed'!$A$6:$BQ$32,'As Filed'!$AP$5,FALSE)-VLOOKUP(E$1,'As Filed'!$A$6:$BQ$32,'As Filed'!$AQ$5,FALSE)-VLOOKUP(E$1,'As Filed'!$A$6:$BQ$32,'As Filed'!$AR$5,FALSE)</f>
        <v>23568000</v>
      </c>
      <c r="F46" s="88">
        <f>VLOOKUP(F$1,'As Filed'!$A$6:$BQ$32,'As Filed'!$AP$5,FALSE)-VLOOKUP(F$1,'As Filed'!$A$6:$BQ$32,'As Filed'!$AQ$5,FALSE)-VLOOKUP(F$1,'As Filed'!$A$6:$BQ$32,'As Filed'!$AR$5,FALSE)</f>
        <v>12175000</v>
      </c>
      <c r="G46" s="88">
        <f>VLOOKUP(G$1,'As Filed'!$A$6:$BQ$32,'As Filed'!$AP$5,FALSE)-VLOOKUP(G$1,'As Filed'!$A$6:$BQ$32,'As Filed'!$AQ$5,FALSE)-VLOOKUP(G$1,'As Filed'!$A$6:$BQ$32,'As Filed'!$AR$5,FALSE)</f>
        <v>4828000</v>
      </c>
      <c r="H46" s="88">
        <f>VLOOKUP(H$1,'As Filed'!$A$6:$BQ$32,'As Filed'!$AP$5,FALSE)-VLOOKUP(H$1,'As Filed'!$A$6:$BQ$32,'As Filed'!$AQ$5,FALSE)-VLOOKUP(H$1,'As Filed'!$A$6:$BQ$32,'As Filed'!$AR$5,FALSE)</f>
        <v>384000</v>
      </c>
      <c r="I46" s="88">
        <f>VLOOKUP(I$1,'As Filed'!$A$6:$BQ$32,'As Filed'!$AP$5,FALSE)-VLOOKUP(I$1,'As Filed'!$A$6:$BQ$32,'As Filed'!$AQ$5,FALSE)-VLOOKUP(I$1,'As Filed'!$A$6:$BQ$32,'As Filed'!$AR$5,FALSE)</f>
        <v>29307000</v>
      </c>
      <c r="J46" s="88">
        <f>VLOOKUP(J$1,'As Filed'!$A$6:$BQ$32,'As Filed'!$AP$5,FALSE)-VLOOKUP(J$1,'As Filed'!$A$6:$BQ$32,'As Filed'!$AQ$5,FALSE)-VLOOKUP(J$1,'As Filed'!$A$6:$BQ$32,'As Filed'!$AR$5,FALSE)</f>
        <v>2890000</v>
      </c>
      <c r="K46" s="88">
        <f>VLOOKUP(K$1,'As Filed'!$A$6:$BQ$32,'As Filed'!$AP$5,FALSE)-VLOOKUP(K$1,'As Filed'!$A$6:$BQ$32,'As Filed'!$AQ$5,FALSE)-VLOOKUP(K$1,'As Filed'!$A$6:$BQ$32,'As Filed'!$AR$5,FALSE)</f>
        <v>542000</v>
      </c>
      <c r="L46" s="88">
        <f>VLOOKUP(L$1,'As Filed'!$A$6:$BQ$32,'As Filed'!$AP$5,FALSE)-VLOOKUP(L$1,'As Filed'!$A$6:$BQ$32,'As Filed'!$AQ$5,FALSE)-VLOOKUP(L$1,'As Filed'!$A$6:$BQ$32,'As Filed'!$AR$5,FALSE)</f>
        <v>265000</v>
      </c>
      <c r="M46" s="88">
        <f>VLOOKUP(M$1,'As Filed'!$A$6:$BQ$32,'As Filed'!$AP$5,FALSE)-VLOOKUP(M$1,'As Filed'!$A$6:$BQ$32,'As Filed'!$AQ$5,FALSE)-VLOOKUP(M$1,'As Filed'!$A$6:$BQ$32,'As Filed'!$AR$5,FALSE)</f>
        <v>84000</v>
      </c>
      <c r="N46" s="88">
        <f>VLOOKUP(N$1,'As Filed'!$A$6:$BQ$32,'As Filed'!$AP$5,FALSE)-VLOOKUP(N$1,'As Filed'!$A$6:$BQ$32,'As Filed'!$AQ$5,FALSE)-VLOOKUP(N$1,'As Filed'!$A$6:$BQ$32,'As Filed'!$AR$5,FALSE)</f>
        <v>109000</v>
      </c>
    </row>
    <row r="47" spans="1:14">
      <c r="A47" s="85"/>
      <c r="B47" s="106" t="s">
        <v>156</v>
      </c>
      <c r="C47" s="88">
        <f>VLOOKUP(C$1,'As Filed'!$A$6:$BQ$32,'As Filed'!$AQ$5,FALSE)</f>
        <v>8000</v>
      </c>
      <c r="D47" s="88">
        <f>VLOOKUP(D$1,'As Filed'!$A$6:$BQ$32,'As Filed'!$AQ$5,FALSE)</f>
        <v>8230000</v>
      </c>
      <c r="E47" s="88">
        <f>VLOOKUP(E$1,'As Filed'!$A$6:$BQ$32,'As Filed'!$AQ$5,FALSE)</f>
        <v>21663000</v>
      </c>
      <c r="F47" s="88">
        <f>VLOOKUP(F$1,'As Filed'!$A$6:$BQ$32,'As Filed'!$AQ$5,FALSE)</f>
        <v>8108000</v>
      </c>
      <c r="G47" s="88">
        <f>VLOOKUP(G$1,'As Filed'!$A$6:$BQ$32,'As Filed'!$AQ$5,FALSE)</f>
        <v>3723000</v>
      </c>
      <c r="H47" s="88">
        <f>VLOOKUP(H$1,'As Filed'!$A$6:$BQ$32,'As Filed'!$AQ$5,FALSE)</f>
        <v>0</v>
      </c>
      <c r="I47" s="88">
        <f>VLOOKUP(I$1,'As Filed'!$A$6:$BQ$32,'As Filed'!$AQ$5,FALSE)</f>
        <v>2102000</v>
      </c>
      <c r="J47" s="88">
        <f>VLOOKUP(J$1,'As Filed'!$A$6:$BQ$32,'As Filed'!$AQ$5,FALSE)</f>
        <v>0</v>
      </c>
      <c r="K47" s="88">
        <f>VLOOKUP(K$1,'As Filed'!$A$6:$BQ$32,'As Filed'!$AQ$5,FALSE)</f>
        <v>0</v>
      </c>
      <c r="L47" s="88">
        <f>VLOOKUP(L$1,'As Filed'!$A$6:$BQ$32,'As Filed'!$AQ$5,FALSE)</f>
        <v>44000</v>
      </c>
      <c r="M47" s="88">
        <f>VLOOKUP(M$1,'As Filed'!$A$6:$BQ$32,'As Filed'!$AQ$5,FALSE)</f>
        <v>56000</v>
      </c>
      <c r="N47" s="88">
        <f>VLOOKUP(N$1,'As Filed'!$A$6:$BQ$32,'As Filed'!$AQ$5,FALSE)</f>
        <v>267000</v>
      </c>
    </row>
    <row r="48" spans="1:14">
      <c r="A48" s="85"/>
      <c r="B48" s="106" t="s">
        <v>63</v>
      </c>
      <c r="C48" s="88">
        <f>VLOOKUP(C$1,'As Filed'!$A$6:$BQ$32,'As Filed'!$AR$5,FALSE)</f>
        <v>32734000</v>
      </c>
      <c r="D48" s="88">
        <f>VLOOKUP(D$1,'As Filed'!$A$6:$BQ$32,'As Filed'!$AR$5,FALSE)</f>
        <v>86379000</v>
      </c>
      <c r="E48" s="88">
        <f>VLOOKUP(E$1,'As Filed'!$A$6:$BQ$32,'As Filed'!$AR$5,FALSE)</f>
        <v>75035000</v>
      </c>
      <c r="F48" s="88">
        <f>VLOOKUP(F$1,'As Filed'!$A$6:$BQ$32,'As Filed'!$AR$5,FALSE)</f>
        <v>76982000</v>
      </c>
      <c r="G48" s="88">
        <f>VLOOKUP(G$1,'As Filed'!$A$6:$BQ$32,'As Filed'!$AR$5,FALSE)</f>
        <v>43067000</v>
      </c>
      <c r="H48" s="88">
        <f>VLOOKUP(H$1,'As Filed'!$A$6:$BQ$32,'As Filed'!$AR$5,FALSE)</f>
        <v>90092000</v>
      </c>
      <c r="I48" s="88">
        <f>VLOOKUP(I$1,'As Filed'!$A$6:$BQ$32,'As Filed'!$AR$5,FALSE)</f>
        <v>158275000</v>
      </c>
      <c r="J48" s="88">
        <f>VLOOKUP(J$1,'As Filed'!$A$6:$BQ$32,'As Filed'!$AR$5,FALSE)</f>
        <v>71349000</v>
      </c>
      <c r="K48" s="88">
        <f>VLOOKUP(K$1,'As Filed'!$A$6:$BQ$32,'As Filed'!$AR$5,FALSE)</f>
        <v>120983000</v>
      </c>
      <c r="L48" s="88">
        <f>VLOOKUP(L$1,'As Filed'!$A$6:$BQ$32,'As Filed'!$AR$5,FALSE)</f>
        <v>93872000</v>
      </c>
      <c r="M48" s="88">
        <f>VLOOKUP(M$1,'As Filed'!$A$6:$BQ$32,'As Filed'!$AR$5,FALSE)</f>
        <v>13054000</v>
      </c>
      <c r="N48" s="88">
        <f>VLOOKUP(N$1,'As Filed'!$A$6:$BQ$32,'As Filed'!$AR$5,FALSE)</f>
        <v>17109000</v>
      </c>
    </row>
    <row r="49" spans="1:14" ht="15">
      <c r="A49" s="85"/>
      <c r="B49" s="86" t="s">
        <v>135</v>
      </c>
      <c r="C49" s="95">
        <f t="shared" ref="C49:N49" si="15">C58</f>
        <v>83465379</v>
      </c>
      <c r="D49" s="95">
        <f t="shared" si="15"/>
        <v>88338295</v>
      </c>
      <c r="E49" s="95">
        <f t="shared" si="15"/>
        <v>102647786</v>
      </c>
      <c r="F49" s="95">
        <f t="shared" si="15"/>
        <v>114123594</v>
      </c>
      <c r="G49" s="95">
        <f t="shared" si="15"/>
        <v>91787281</v>
      </c>
      <c r="H49" s="95">
        <f t="shared" si="15"/>
        <v>70703726</v>
      </c>
      <c r="I49" s="95">
        <f t="shared" si="15"/>
        <v>69201989</v>
      </c>
      <c r="J49" s="95">
        <f t="shared" si="15"/>
        <v>59521805</v>
      </c>
      <c r="K49" s="95">
        <f t="shared" si="15"/>
        <v>80807011</v>
      </c>
      <c r="L49" s="95">
        <f t="shared" si="15"/>
        <v>88604916</v>
      </c>
      <c r="M49" s="95">
        <f t="shared" si="15"/>
        <v>78001881</v>
      </c>
      <c r="N49" s="95">
        <f t="shared" si="15"/>
        <v>72486318</v>
      </c>
    </row>
    <row r="50" spans="1:14">
      <c r="A50" s="85"/>
      <c r="B50" s="86" t="s">
        <v>126</v>
      </c>
      <c r="C50" s="88">
        <f t="shared" ref="C50:D50" si="16">SUM(C46:C49)</f>
        <v>116221379</v>
      </c>
      <c r="D50" s="88">
        <f t="shared" si="16"/>
        <v>195948295</v>
      </c>
      <c r="E50" s="88">
        <f t="shared" ref="E50:N50" si="17">SUM(E46:E49)</f>
        <v>222913786</v>
      </c>
      <c r="F50" s="88">
        <f t="shared" si="17"/>
        <v>211388594</v>
      </c>
      <c r="G50" s="88">
        <f t="shared" si="17"/>
        <v>143405281</v>
      </c>
      <c r="H50" s="88">
        <f t="shared" si="17"/>
        <v>161179726</v>
      </c>
      <c r="I50" s="88">
        <f t="shared" si="17"/>
        <v>258885989</v>
      </c>
      <c r="J50" s="88">
        <f t="shared" si="17"/>
        <v>133760805</v>
      </c>
      <c r="K50" s="88">
        <f t="shared" si="17"/>
        <v>202332011</v>
      </c>
      <c r="L50" s="88">
        <f t="shared" si="17"/>
        <v>182785916</v>
      </c>
      <c r="M50" s="88">
        <f t="shared" si="17"/>
        <v>91195881</v>
      </c>
      <c r="N50" s="88">
        <f t="shared" si="17"/>
        <v>89971318</v>
      </c>
    </row>
    <row r="51" spans="1:14">
      <c r="A51" s="85"/>
      <c r="B51" s="86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>
      <c r="A52" s="92"/>
      <c r="B52" s="93" t="s">
        <v>136</v>
      </c>
      <c r="C52" s="100">
        <f t="shared" ref="C52:N52" si="18">C44-C50</f>
        <v>1490352072</v>
      </c>
      <c r="D52" s="100">
        <f t="shared" si="18"/>
        <v>1573514629</v>
      </c>
      <c r="E52" s="100">
        <f t="shared" si="18"/>
        <v>1779169014</v>
      </c>
      <c r="F52" s="100">
        <f t="shared" si="18"/>
        <v>2026370618</v>
      </c>
      <c r="G52" s="100">
        <f t="shared" si="18"/>
        <v>1983922032</v>
      </c>
      <c r="H52" s="100">
        <f t="shared" si="18"/>
        <v>1567929086</v>
      </c>
      <c r="I52" s="100">
        <f t="shared" si="18"/>
        <v>1581918011</v>
      </c>
      <c r="J52" s="100">
        <f t="shared" si="18"/>
        <v>1629615195</v>
      </c>
      <c r="K52" s="100">
        <f t="shared" si="18"/>
        <v>1840157989</v>
      </c>
      <c r="L52" s="100">
        <f t="shared" si="18"/>
        <v>1997349084</v>
      </c>
      <c r="M52" s="100">
        <f t="shared" si="18"/>
        <v>1793717493</v>
      </c>
      <c r="N52" s="100">
        <f t="shared" si="18"/>
        <v>1625540682</v>
      </c>
    </row>
    <row r="53" spans="1:14">
      <c r="A53" s="82" t="s">
        <v>137</v>
      </c>
      <c r="B53" s="83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1:14">
      <c r="A54" s="85"/>
      <c r="B54" s="86" t="s">
        <v>138</v>
      </c>
      <c r="C54" s="98">
        <v>23675027033</v>
      </c>
      <c r="D54" s="98">
        <v>23640633957</v>
      </c>
      <c r="E54" s="98">
        <v>23625327757</v>
      </c>
      <c r="F54" s="98">
        <v>23729886969</v>
      </c>
      <c r="G54" s="98">
        <v>23548179282</v>
      </c>
      <c r="H54" s="98">
        <v>23424340094</v>
      </c>
      <c r="I54" s="98">
        <v>23646057094</v>
      </c>
      <c r="J54" s="98">
        <v>23700249094</v>
      </c>
      <c r="K54" s="98">
        <v>23397548844</v>
      </c>
      <c r="L54" s="98">
        <v>23179699779</v>
      </c>
      <c r="M54" s="98">
        <v>23093492172</v>
      </c>
      <c r="N54" s="98">
        <v>22899544886</v>
      </c>
    </row>
    <row r="55" spans="1:14">
      <c r="A55" s="85"/>
      <c r="B55" s="86" t="s">
        <v>139</v>
      </c>
      <c r="C55" s="98">
        <f>SUM('As Filed'!$AO$9:$AO$20)</f>
        <v>1229975029</v>
      </c>
      <c r="D55" s="98">
        <f>SUM('As Filed'!$AO$10:$AO$21)</f>
        <v>1180230082</v>
      </c>
      <c r="E55" s="98">
        <f>SUM('As Filed'!$AO$11:$AO$22)</f>
        <v>1211282345</v>
      </c>
      <c r="F55" s="98">
        <f>SUM('As Filed'!$AO$12:$AO$23)</f>
        <v>1210201637</v>
      </c>
      <c r="G55" s="98">
        <f>SUM('As Filed'!$AO$13:$AO$24)</f>
        <v>1016027714</v>
      </c>
      <c r="H55" s="98">
        <f>SUM('As Filed'!$AO$14:$AO$25)</f>
        <v>957827701</v>
      </c>
      <c r="I55" s="98">
        <f>SUM('As Filed'!$AO$15:$AO$26)</f>
        <v>888934419</v>
      </c>
      <c r="J55" s="98">
        <f>SUM('As Filed'!$AO$16:$AO$27)</f>
        <v>799989203</v>
      </c>
      <c r="K55" s="98">
        <f>SUM('As Filed'!$AO$17:$AO$28)</f>
        <v>925676935</v>
      </c>
      <c r="L55" s="98">
        <f>SUM('As Filed'!$AO$18:$AO$29)</f>
        <v>942068025</v>
      </c>
      <c r="M55" s="98">
        <f>SUM('As Filed'!$AO$19:$AO$30)</f>
        <v>955659770</v>
      </c>
      <c r="N55" s="98">
        <f>SUM('As Filed'!$AO$20:$AO$31)</f>
        <v>967585024</v>
      </c>
    </row>
    <row r="56" spans="1:14">
      <c r="A56" s="85"/>
      <c r="B56" s="86" t="s">
        <v>140</v>
      </c>
      <c r="C56" s="98">
        <f>C44</f>
        <v>1606573451</v>
      </c>
      <c r="D56" s="98">
        <f t="shared" ref="D56:N56" si="19">D44</f>
        <v>1769462924</v>
      </c>
      <c r="E56" s="98">
        <f t="shared" si="19"/>
        <v>2002082800</v>
      </c>
      <c r="F56" s="98">
        <f t="shared" si="19"/>
        <v>2237759212</v>
      </c>
      <c r="G56" s="98">
        <f t="shared" si="19"/>
        <v>2127327313</v>
      </c>
      <c r="H56" s="98">
        <f t="shared" si="19"/>
        <v>1729108812</v>
      </c>
      <c r="I56" s="98">
        <f t="shared" si="19"/>
        <v>1840804000</v>
      </c>
      <c r="J56" s="98">
        <f t="shared" si="19"/>
        <v>1763376000</v>
      </c>
      <c r="K56" s="98">
        <f t="shared" si="19"/>
        <v>2042490000</v>
      </c>
      <c r="L56" s="98">
        <f t="shared" si="19"/>
        <v>2180135000</v>
      </c>
      <c r="M56" s="98">
        <f t="shared" si="19"/>
        <v>1884913374</v>
      </c>
      <c r="N56" s="98">
        <f t="shared" si="19"/>
        <v>1715512000</v>
      </c>
    </row>
    <row r="57" spans="1:14">
      <c r="A57" s="85"/>
      <c r="B57" s="86" t="s">
        <v>141</v>
      </c>
      <c r="C57" s="102">
        <f t="shared" ref="C57:N57" si="20">ROUND(C55/C54,8)</f>
        <v>5.1952419999999999E-2</v>
      </c>
      <c r="D57" s="102">
        <f>ROUND(D55/D54,8)</f>
        <v>4.9923790000000003E-2</v>
      </c>
      <c r="E57" s="102">
        <f t="shared" ref="E57:N57" si="21">ROUND(E55/E54,8)</f>
        <v>5.1270499999999997E-2</v>
      </c>
      <c r="F57" s="102">
        <f t="shared" si="21"/>
        <v>5.0999049999999997E-2</v>
      </c>
      <c r="G57" s="102">
        <f t="shared" si="21"/>
        <v>4.3146759999999999E-2</v>
      </c>
      <c r="H57" s="102">
        <f t="shared" si="21"/>
        <v>4.0890269999999999E-2</v>
      </c>
      <c r="I57" s="102">
        <f t="shared" si="21"/>
        <v>3.7593349999999998E-2</v>
      </c>
      <c r="J57" s="102">
        <f t="shared" si="21"/>
        <v>3.375446E-2</v>
      </c>
      <c r="K57" s="102">
        <f t="shared" si="21"/>
        <v>3.9562989999999999E-2</v>
      </c>
      <c r="L57" s="102">
        <f t="shared" si="21"/>
        <v>4.0641940000000001E-2</v>
      </c>
      <c r="M57" s="102">
        <f t="shared" si="21"/>
        <v>4.1382210000000003E-2</v>
      </c>
      <c r="N57" s="102">
        <f t="shared" si="21"/>
        <v>4.225346E-2</v>
      </c>
    </row>
    <row r="58" spans="1:14">
      <c r="A58" s="85"/>
      <c r="B58" s="86" t="s">
        <v>142</v>
      </c>
      <c r="C58" s="98">
        <f t="shared" ref="C58:N58" si="22">ROUND(C57*C56,0)</f>
        <v>83465379</v>
      </c>
      <c r="D58" s="98">
        <f t="shared" si="22"/>
        <v>88338295</v>
      </c>
      <c r="E58" s="98">
        <f t="shared" si="22"/>
        <v>102647786</v>
      </c>
      <c r="F58" s="98">
        <f t="shared" si="22"/>
        <v>114123594</v>
      </c>
      <c r="G58" s="98">
        <f t="shared" si="22"/>
        <v>91787281</v>
      </c>
      <c r="H58" s="98">
        <f t="shared" si="22"/>
        <v>70703726</v>
      </c>
      <c r="I58" s="98">
        <f t="shared" si="22"/>
        <v>69201989</v>
      </c>
      <c r="J58" s="98">
        <f t="shared" si="22"/>
        <v>59521805</v>
      </c>
      <c r="K58" s="98">
        <f t="shared" si="22"/>
        <v>80807011</v>
      </c>
      <c r="L58" s="98">
        <f t="shared" si="22"/>
        <v>88604916</v>
      </c>
      <c r="M58" s="98">
        <f t="shared" si="22"/>
        <v>78001881</v>
      </c>
      <c r="N58" s="98">
        <f t="shared" si="22"/>
        <v>72486318</v>
      </c>
    </row>
    <row r="59" spans="1:14">
      <c r="A59" s="92"/>
      <c r="B59" s="9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1:14">
      <c r="A60" s="82" t="s">
        <v>143</v>
      </c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4">
      <c r="A61" s="85"/>
      <c r="B61" s="86" t="s">
        <v>144</v>
      </c>
      <c r="C61" s="90">
        <v>-2.9999999999999997E-4</v>
      </c>
      <c r="D61" s="90">
        <v>-5.9000000000000003E-4</v>
      </c>
      <c r="E61" s="90">
        <f>C9</f>
        <v>2.9000000000000206E-4</v>
      </c>
      <c r="F61" s="90">
        <f t="shared" ref="F61:N61" si="23">D9</f>
        <v>1.3800000000000028E-3</v>
      </c>
      <c r="G61" s="90">
        <f t="shared" si="23"/>
        <v>1.0800000000000011E-3</v>
      </c>
      <c r="H61" s="90">
        <f t="shared" si="23"/>
        <v>3.1200000000000012E-3</v>
      </c>
      <c r="I61" s="90">
        <f t="shared" si="23"/>
        <v>2.360000000000001E-3</v>
      </c>
      <c r="J61" s="90">
        <f t="shared" si="23"/>
        <v>1.6299999999999995E-3</v>
      </c>
      <c r="K61" s="90">
        <f t="shared" si="23"/>
        <v>-2.0999999999999977E-3</v>
      </c>
      <c r="L61" s="90">
        <f t="shared" si="23"/>
        <v>-5.59999999999998E-4</v>
      </c>
      <c r="M61" s="90">
        <f t="shared" si="23"/>
        <v>-3.4999999999999962E-4</v>
      </c>
      <c r="N61" s="90">
        <f t="shared" si="23"/>
        <v>-9.9999999999999395E-5</v>
      </c>
    </row>
    <row r="62" spans="1:14">
      <c r="A62" s="85"/>
      <c r="B62" s="86" t="s">
        <v>145</v>
      </c>
      <c r="C62" s="98">
        <f>VLOOKUP(C$1,'As Filed'!$A$6:$BU$32,'As Filed'!$BA$5,FALSE)-VLOOKUP(C$1,'As Filed'!$A$6:$BU$32,'As Filed'!$BD$5,FALSE)</f>
        <v>1379963352</v>
      </c>
      <c r="D62" s="98">
        <f>VLOOKUP(D$1,'As Filed'!$A$6:$BU$32,'As Filed'!$BA$5,FALSE)-VLOOKUP(D$1,'As Filed'!$A$6:$BU$32,'As Filed'!$BD$5,FALSE)</f>
        <v>1296344179</v>
      </c>
      <c r="E62" s="98">
        <f>VLOOKUP(E$1,'As Filed'!$A$6:$BU$32,'As Filed'!$BA$5,FALSE)-VLOOKUP(E$1,'As Filed'!$A$6:$BU$32,'As Filed'!$BD$5,FALSE)</f>
        <v>1525640447</v>
      </c>
      <c r="F62" s="98">
        <f>VLOOKUP(F$1,'As Filed'!$A$6:$BU$32,'As Filed'!$BA$5,FALSE)-VLOOKUP(F$1,'As Filed'!$A$6:$BU$32,'As Filed'!$BD$5,FALSE)</f>
        <v>1597015695</v>
      </c>
      <c r="G62" s="98">
        <f>VLOOKUP(G$1,'As Filed'!$A$6:$BU$32,'As Filed'!$BA$5,FALSE)-VLOOKUP(G$1,'As Filed'!$A$6:$BU$32,'As Filed'!$BD$5,FALSE)</f>
        <v>1756874684</v>
      </c>
      <c r="H62" s="98">
        <f>VLOOKUP(H$1,'As Filed'!$A$6:$BU$32,'As Filed'!$BA$5,FALSE)-VLOOKUP(H$1,'As Filed'!$A$6:$BU$32,'As Filed'!$BD$5,FALSE)</f>
        <v>1618189554</v>
      </c>
      <c r="I62" s="98">
        <f>VLOOKUP(I$1,'As Filed'!$A$6:$BU$32,'As Filed'!$BA$5,FALSE)-VLOOKUP(I$1,'As Filed'!$A$6:$BU$32,'As Filed'!$BD$5,FALSE)</f>
        <v>1459659884</v>
      </c>
      <c r="J62" s="98">
        <f>VLOOKUP(J$1,'As Filed'!$A$6:$BU$32,'As Filed'!$BA$5,FALSE)-VLOOKUP(J$1,'As Filed'!$A$6:$BU$32,'As Filed'!$BD$5,FALSE)</f>
        <v>1256720738</v>
      </c>
      <c r="K62" s="98">
        <f>VLOOKUP(K$1,'As Filed'!$A$6:$BU$32,'As Filed'!$BA$5,FALSE)-VLOOKUP(K$1,'As Filed'!$A$6:$BU$32,'As Filed'!$BD$5,FALSE)</f>
        <v>1478224470</v>
      </c>
      <c r="L62" s="98">
        <f>VLOOKUP(L$1,'As Filed'!$A$6:$BU$32,'As Filed'!$BA$5,FALSE)-VLOOKUP(L$1,'As Filed'!$A$6:$BU$32,'As Filed'!$BD$5,FALSE)</f>
        <v>1612798139</v>
      </c>
      <c r="M62" s="98">
        <f>VLOOKUP(M$1,'As Filed'!$A$6:$BU$32,'As Filed'!$BA$5,FALSE)-VLOOKUP(M$1,'As Filed'!$A$6:$BU$32,'As Filed'!$BD$5,FALSE)</f>
        <v>1703648389</v>
      </c>
      <c r="N62" s="98">
        <f>VLOOKUP(N$1,'As Filed'!$A$6:$BU$32,'As Filed'!$BA$5,FALSE)-VLOOKUP(N$1,'As Filed'!$A$6:$BU$32,'As Filed'!$BD$5,FALSE)</f>
        <v>1471376467</v>
      </c>
    </row>
    <row r="63" spans="1:14">
      <c r="A63" s="85"/>
      <c r="B63" s="86" t="s">
        <v>146</v>
      </c>
      <c r="C63" s="87">
        <f t="shared" ref="C63:N63" si="24">ROUND(C61*C62,0)</f>
        <v>-413989</v>
      </c>
      <c r="D63" s="87">
        <f t="shared" si="24"/>
        <v>-764843</v>
      </c>
      <c r="E63" s="87">
        <f t="shared" si="24"/>
        <v>442436</v>
      </c>
      <c r="F63" s="87">
        <f t="shared" si="24"/>
        <v>2203882</v>
      </c>
      <c r="G63" s="87">
        <f t="shared" si="24"/>
        <v>1897425</v>
      </c>
      <c r="H63" s="87">
        <f t="shared" si="24"/>
        <v>5048751</v>
      </c>
      <c r="I63" s="87">
        <f t="shared" si="24"/>
        <v>3444797</v>
      </c>
      <c r="J63" s="87">
        <f t="shared" si="24"/>
        <v>2048455</v>
      </c>
      <c r="K63" s="87">
        <f t="shared" si="24"/>
        <v>-3104271</v>
      </c>
      <c r="L63" s="87">
        <f t="shared" si="24"/>
        <v>-903167</v>
      </c>
      <c r="M63" s="87">
        <f t="shared" si="24"/>
        <v>-596277</v>
      </c>
      <c r="N63" s="87">
        <f t="shared" si="24"/>
        <v>-147138</v>
      </c>
    </row>
    <row r="64" spans="1:14">
      <c r="A64" s="85"/>
      <c r="B64" s="86" t="s">
        <v>147</v>
      </c>
      <c r="C64" s="98">
        <v>1733410436</v>
      </c>
      <c r="D64" s="98">
        <v>1707207991</v>
      </c>
      <c r="E64" s="98">
        <f>C5</f>
        <v>1490352072</v>
      </c>
      <c r="F64" s="98">
        <f t="shared" ref="F64:N64" si="25">D5</f>
        <v>1573514629</v>
      </c>
      <c r="G64" s="98">
        <f t="shared" si="25"/>
        <v>1779169014</v>
      </c>
      <c r="H64" s="98">
        <f t="shared" si="25"/>
        <v>2026370618</v>
      </c>
      <c r="I64" s="98">
        <f t="shared" si="25"/>
        <v>1983922032</v>
      </c>
      <c r="J64" s="98">
        <f t="shared" si="25"/>
        <v>1567929086</v>
      </c>
      <c r="K64" s="98">
        <f t="shared" si="25"/>
        <v>1581918011</v>
      </c>
      <c r="L64" s="98">
        <f t="shared" si="25"/>
        <v>1629615195</v>
      </c>
      <c r="M64" s="98">
        <f t="shared" si="25"/>
        <v>1840157989</v>
      </c>
      <c r="N64" s="98">
        <f t="shared" si="25"/>
        <v>1997349084</v>
      </c>
    </row>
    <row r="65" spans="1:14">
      <c r="A65" s="85"/>
      <c r="B65" s="86" t="s">
        <v>148</v>
      </c>
      <c r="C65" s="98">
        <v>248678057</v>
      </c>
      <c r="D65" s="98">
        <v>246153843</v>
      </c>
      <c r="E65" s="107">
        <f>VLOOKUP(C$1,'As Filed'!$A$6:$BQ$32,'As Filed'!$AU$5,FALSE)+VLOOKUP(C$1,'As Filed'!$A$6:$BQ$32,'As Filed'!$AW$5,FALSE)+VLOOKUP(C$1,'As Filed'!$A$6:$BQ$32,'As Filed'!$AX$5,FALSE)+VLOOKUP(C$1,'As Filed'!$A$6:$BQ$32,'As Filed'!$BB$5,FALSE)+VLOOKUP(C$1,'As Filed'!$A$6:$BQ$32,'As Filed'!$BC$5,FALSE)</f>
        <v>203406862</v>
      </c>
      <c r="F65" s="107">
        <f>VLOOKUP(D$1,'As Filed'!$A$6:$BQ$32,'As Filed'!$AU$5,FALSE)+VLOOKUP(D$1,'As Filed'!$A$6:$BQ$32,'As Filed'!$AW$5,FALSE)+VLOOKUP(D$1,'As Filed'!$A$6:$BQ$32,'As Filed'!$AX$5,FALSE)+VLOOKUP(D$1,'As Filed'!$A$6:$BQ$32,'As Filed'!$BB$5,FALSE)+VLOOKUP(D$1,'As Filed'!$A$6:$BQ$32,'As Filed'!$BC$5,FALSE)</f>
        <v>219281338</v>
      </c>
      <c r="G65" s="107">
        <f>VLOOKUP(E$1,'As Filed'!$A$6:$BQ$32,'As Filed'!$AU$5,FALSE)+VLOOKUP(E$1,'As Filed'!$A$6:$BQ$32,'As Filed'!$AW$5,FALSE)+VLOOKUP(E$1,'As Filed'!$A$6:$BQ$32,'As Filed'!$AX$5,FALSE)+VLOOKUP(E$1,'As Filed'!$A$6:$BQ$32,'As Filed'!$BB$5,FALSE)+VLOOKUP(E$1,'As Filed'!$A$6:$BQ$32,'As Filed'!$BC$5,FALSE)</f>
        <v>243038425</v>
      </c>
      <c r="H65" s="107">
        <f>VLOOKUP(F$1,'As Filed'!$A$6:$BQ$32,'As Filed'!$AU$5,FALSE)+VLOOKUP(F$1,'As Filed'!$A$6:$BQ$32,'As Filed'!$AW$5,FALSE)+VLOOKUP(F$1,'As Filed'!$A$6:$BQ$32,'As Filed'!$AX$5,FALSE)+VLOOKUP(F$1,'As Filed'!$A$6:$BQ$32,'As Filed'!$BB$5,FALSE)+VLOOKUP(F$1,'As Filed'!$A$6:$BQ$32,'As Filed'!$BC$5,FALSE)</f>
        <v>278558144</v>
      </c>
      <c r="I65" s="107">
        <f>VLOOKUP(G$1,'As Filed'!$A$6:$BQ$32,'As Filed'!$AU$5,FALSE)+VLOOKUP(G$1,'As Filed'!$A$6:$BQ$32,'As Filed'!$AW$5,FALSE)+VLOOKUP(G$1,'As Filed'!$A$6:$BQ$32,'As Filed'!$AX$5,FALSE)+VLOOKUP(G$1,'As Filed'!$A$6:$BQ$32,'As Filed'!$BB$5,FALSE)+VLOOKUP(G$1,'As Filed'!$A$6:$BQ$32,'As Filed'!$BC$5,FALSE)</f>
        <v>266609165</v>
      </c>
      <c r="J65" s="107">
        <f>VLOOKUP(H$1,'As Filed'!$A$6:$BQ$32,'As Filed'!$AU$5,FALSE)+VLOOKUP(H$1,'As Filed'!$A$6:$BQ$32,'As Filed'!$AW$5,FALSE)+VLOOKUP(H$1,'As Filed'!$A$6:$BQ$32,'As Filed'!$AX$5,FALSE)+VLOOKUP(H$1,'As Filed'!$A$6:$BQ$32,'As Filed'!$BB$5,FALSE)+VLOOKUP(H$1,'As Filed'!$A$6:$BQ$32,'As Filed'!$BC$5,FALSE)</f>
        <v>211477643</v>
      </c>
      <c r="K65" s="107">
        <f>VLOOKUP(I$1,'As Filed'!$A$6:$BQ$32,'As Filed'!$AU$5,FALSE)+VLOOKUP(I$1,'As Filed'!$A$6:$BQ$32,'As Filed'!$AW$5,FALSE)+VLOOKUP(I$1,'As Filed'!$A$6:$BQ$32,'As Filed'!$AX$5,FALSE)+VLOOKUP(I$1,'As Filed'!$A$6:$BQ$32,'As Filed'!$BB$5,FALSE)+VLOOKUP(I$1,'As Filed'!$A$6:$BQ$32,'As Filed'!$BC$5,FALSE)</f>
        <v>213658418</v>
      </c>
      <c r="L65" s="107">
        <f>VLOOKUP(J$1,'As Filed'!$A$6:$BQ$32,'As Filed'!$AU$5,FALSE)+VLOOKUP(J$1,'As Filed'!$A$6:$BQ$32,'As Filed'!$AW$5,FALSE)+VLOOKUP(J$1,'As Filed'!$A$6:$BQ$32,'As Filed'!$AX$5,FALSE)+VLOOKUP(J$1,'As Filed'!$A$6:$BQ$32,'As Filed'!$BB$5,FALSE)+VLOOKUP(J$1,'As Filed'!$A$6:$BQ$32,'As Filed'!$BC$5,FALSE)</f>
        <v>225131058</v>
      </c>
      <c r="M65" s="107">
        <f>VLOOKUP(K$1,'As Filed'!$A$6:$BQ$32,'As Filed'!$AU$5,FALSE)+VLOOKUP(K$1,'As Filed'!$A$6:$BQ$32,'As Filed'!$AW$5,FALSE)+VLOOKUP(K$1,'As Filed'!$A$6:$BQ$32,'As Filed'!$AX$5,FALSE)+VLOOKUP(K$1,'As Filed'!$A$6:$BQ$32,'As Filed'!$BB$5,FALSE)+VLOOKUP(K$1,'As Filed'!$A$6:$BQ$32,'As Filed'!$BC$5,FALSE)</f>
        <v>258756068</v>
      </c>
      <c r="N65" s="107">
        <f>VLOOKUP(L$1,'As Filed'!$A$6:$BQ$32,'As Filed'!$AU$5,FALSE)+VLOOKUP(L$1,'As Filed'!$A$6:$BQ$32,'As Filed'!$AW$5,FALSE)+VLOOKUP(L$1,'As Filed'!$A$6:$BQ$32,'As Filed'!$AX$5,FALSE)+VLOOKUP(L$1,'As Filed'!$A$6:$BQ$32,'As Filed'!$BB$5,FALSE)+VLOOKUP(L$1,'As Filed'!$A$6:$BQ$32,'As Filed'!$BC$5,FALSE)</f>
        <v>282098142</v>
      </c>
    </row>
    <row r="66" spans="1:14">
      <c r="A66" s="85"/>
      <c r="B66" s="86" t="s">
        <v>149</v>
      </c>
      <c r="C66" s="88">
        <f t="shared" ref="C66:N66" si="26">C64-C65</f>
        <v>1484732379</v>
      </c>
      <c r="D66" s="88">
        <f t="shared" si="26"/>
        <v>1461054148</v>
      </c>
      <c r="E66" s="88">
        <f t="shared" si="26"/>
        <v>1286945210</v>
      </c>
      <c r="F66" s="88">
        <f t="shared" si="26"/>
        <v>1354233291</v>
      </c>
      <c r="G66" s="88">
        <f t="shared" si="26"/>
        <v>1536130589</v>
      </c>
      <c r="H66" s="88">
        <f t="shared" si="26"/>
        <v>1747812474</v>
      </c>
      <c r="I66" s="88">
        <f t="shared" si="26"/>
        <v>1717312867</v>
      </c>
      <c r="J66" s="88">
        <f t="shared" si="26"/>
        <v>1356451443</v>
      </c>
      <c r="K66" s="88">
        <f t="shared" si="26"/>
        <v>1368259593</v>
      </c>
      <c r="L66" s="88">
        <f t="shared" si="26"/>
        <v>1404484137</v>
      </c>
      <c r="M66" s="88">
        <f t="shared" si="26"/>
        <v>1581401921</v>
      </c>
      <c r="N66" s="88">
        <f t="shared" si="26"/>
        <v>1715250942</v>
      </c>
    </row>
    <row r="67" spans="1:14">
      <c r="A67" s="85"/>
      <c r="B67" s="86" t="s">
        <v>150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</row>
    <row r="68" spans="1:14">
      <c r="A68" s="85"/>
      <c r="B68" s="86" t="s">
        <v>151</v>
      </c>
      <c r="C68" s="87">
        <f t="shared" ref="C68:N68" si="27">IF(C67=0,ROUND(C66*C61,0),ROUND(C66*C67,0))</f>
        <v>-445420</v>
      </c>
      <c r="D68" s="87">
        <f t="shared" si="27"/>
        <v>-862022</v>
      </c>
      <c r="E68" s="87">
        <f t="shared" si="27"/>
        <v>373214</v>
      </c>
      <c r="F68" s="87">
        <f t="shared" si="27"/>
        <v>1868842</v>
      </c>
      <c r="G68" s="87">
        <f t="shared" si="27"/>
        <v>1659021</v>
      </c>
      <c r="H68" s="87">
        <f t="shared" si="27"/>
        <v>5453175</v>
      </c>
      <c r="I68" s="87">
        <f t="shared" si="27"/>
        <v>4052858</v>
      </c>
      <c r="J68" s="87">
        <f t="shared" si="27"/>
        <v>2211016</v>
      </c>
      <c r="K68" s="87">
        <f t="shared" si="27"/>
        <v>-2873345</v>
      </c>
      <c r="L68" s="87">
        <f t="shared" si="27"/>
        <v>-786511</v>
      </c>
      <c r="M68" s="87">
        <f t="shared" si="27"/>
        <v>-553491</v>
      </c>
      <c r="N68" s="87">
        <f t="shared" si="27"/>
        <v>-171525</v>
      </c>
    </row>
    <row r="69" spans="1:14">
      <c r="A69" s="85"/>
      <c r="B69" s="86" t="s">
        <v>152</v>
      </c>
      <c r="C69" s="97">
        <f t="shared" ref="C69:N69" si="28">C63-C68</f>
        <v>31431</v>
      </c>
      <c r="D69" s="97">
        <f t="shared" si="28"/>
        <v>97179</v>
      </c>
      <c r="E69" s="97">
        <f t="shared" si="28"/>
        <v>69222</v>
      </c>
      <c r="F69" s="97">
        <f t="shared" si="28"/>
        <v>335040</v>
      </c>
      <c r="G69" s="97">
        <f t="shared" si="28"/>
        <v>238404</v>
      </c>
      <c r="H69" s="97">
        <f t="shared" si="28"/>
        <v>-404424</v>
      </c>
      <c r="I69" s="97">
        <f t="shared" si="28"/>
        <v>-608061</v>
      </c>
      <c r="J69" s="97">
        <f t="shared" si="28"/>
        <v>-162561</v>
      </c>
      <c r="K69" s="97">
        <f t="shared" si="28"/>
        <v>-230926</v>
      </c>
      <c r="L69" s="97">
        <f t="shared" si="28"/>
        <v>-116656</v>
      </c>
      <c r="M69" s="97">
        <f t="shared" si="28"/>
        <v>-42786</v>
      </c>
      <c r="N69" s="97">
        <f t="shared" si="28"/>
        <v>24387</v>
      </c>
    </row>
    <row r="70" spans="1:14">
      <c r="A70" s="85"/>
      <c r="B70" s="86" t="s">
        <v>153</v>
      </c>
      <c r="C70" s="88">
        <f t="shared" ref="C70:N70" si="29">C52</f>
        <v>1490352072</v>
      </c>
      <c r="D70" s="88">
        <f t="shared" si="29"/>
        <v>1573514629</v>
      </c>
      <c r="E70" s="88">
        <f t="shared" si="29"/>
        <v>1779169014</v>
      </c>
      <c r="F70" s="88">
        <f t="shared" si="29"/>
        <v>2026370618</v>
      </c>
      <c r="G70" s="88">
        <f t="shared" si="29"/>
        <v>1983922032</v>
      </c>
      <c r="H70" s="88">
        <f t="shared" si="29"/>
        <v>1567929086</v>
      </c>
      <c r="I70" s="88">
        <f t="shared" si="29"/>
        <v>1581918011</v>
      </c>
      <c r="J70" s="88">
        <f t="shared" si="29"/>
        <v>1629615195</v>
      </c>
      <c r="K70" s="88">
        <f t="shared" si="29"/>
        <v>1840157989</v>
      </c>
      <c r="L70" s="88">
        <f t="shared" si="29"/>
        <v>1997349084</v>
      </c>
      <c r="M70" s="88">
        <f t="shared" si="29"/>
        <v>1793717493</v>
      </c>
      <c r="N70" s="88">
        <f t="shared" si="29"/>
        <v>1625540682</v>
      </c>
    </row>
    <row r="71" spans="1:14">
      <c r="A71" s="85"/>
      <c r="B71" s="86" t="s">
        <v>149</v>
      </c>
      <c r="C71" s="88">
        <f>C70-VLOOKUP(C$1,'As Filed'!$A$6:$BQ$32,'As Filed'!$AU$5,FALSE)-VLOOKUP(C$1,'As Filed'!$A$6:$BQ$32,'As Filed'!$AW$5,FALSE)-VLOOKUP(C$1,'As Filed'!$A$6:$BQ$32,'As Filed'!$AX$5,FALSE)-VLOOKUP(C$1,'As Filed'!$A$6:$BQ$32,'As Filed'!$BB$5,FALSE)-VLOOKUP(C$1,'As Filed'!$A$6:$BQ$32,'As Filed'!$BC$5,FALSE)</f>
        <v>1286945210</v>
      </c>
      <c r="D71" s="88">
        <f>D70-VLOOKUP(D$1,'As Filed'!$A$6:$BQ$32,'As Filed'!$AU$5,FALSE)-VLOOKUP(D$1,'As Filed'!$A$6:$BQ$32,'As Filed'!$AW$5,FALSE)-VLOOKUP(D$1,'As Filed'!$A$6:$BQ$32,'As Filed'!$AX$5,FALSE)-VLOOKUP(D$1,'As Filed'!$A$6:$BQ$32,'As Filed'!$BB$5,FALSE)-VLOOKUP(D$1,'As Filed'!$A$6:$BQ$32,'As Filed'!$BC$5,FALSE)</f>
        <v>1354233291</v>
      </c>
      <c r="E71" s="88">
        <f>E70-VLOOKUP(E$1,'As Filed'!$A$6:$BQ$32,'As Filed'!$AU$5,FALSE)-VLOOKUP(E$1,'As Filed'!$A$6:$BQ$32,'As Filed'!$AW$5,FALSE)-VLOOKUP(E$1,'As Filed'!$A$6:$BQ$32,'As Filed'!$AX$5,FALSE)-VLOOKUP(E$1,'As Filed'!$A$6:$BQ$32,'As Filed'!$BB$5,FALSE)-VLOOKUP(E$1,'As Filed'!$A$6:$BQ$32,'As Filed'!$BC$5,FALSE)</f>
        <v>1536130589</v>
      </c>
      <c r="F71" s="88">
        <f>F70-VLOOKUP(F$1,'As Filed'!$A$6:$BQ$32,'As Filed'!$AU$5,FALSE)-VLOOKUP(F$1,'As Filed'!$A$6:$BQ$32,'As Filed'!$AW$5,FALSE)-VLOOKUP(F$1,'As Filed'!$A$6:$BQ$32,'As Filed'!$AX$5,FALSE)-VLOOKUP(F$1,'As Filed'!$A$6:$BQ$32,'As Filed'!$BB$5,FALSE)-VLOOKUP(F$1,'As Filed'!$A$6:$BQ$32,'As Filed'!$BC$5,FALSE)</f>
        <v>1747812474</v>
      </c>
      <c r="G71" s="88">
        <f>G70-VLOOKUP(G$1,'As Filed'!$A$6:$BQ$32,'As Filed'!$AU$5,FALSE)-VLOOKUP(G$1,'As Filed'!$A$6:$BQ$32,'As Filed'!$AW$5,FALSE)-VLOOKUP(G$1,'As Filed'!$A$6:$BQ$32,'As Filed'!$AX$5,FALSE)-VLOOKUP(G$1,'As Filed'!$A$6:$BQ$32,'As Filed'!$BB$5,FALSE)-VLOOKUP(G$1,'As Filed'!$A$6:$BQ$32,'As Filed'!$BC$5,FALSE)</f>
        <v>1717312867</v>
      </c>
      <c r="H71" s="88">
        <f>H70-VLOOKUP(H$1,'As Filed'!$A$6:$BQ$32,'As Filed'!$AU$5,FALSE)-VLOOKUP(H$1,'As Filed'!$A$6:$BQ$32,'As Filed'!$AW$5,FALSE)-VLOOKUP(H$1,'As Filed'!$A$6:$BQ$32,'As Filed'!$AX$5,FALSE)-VLOOKUP(H$1,'As Filed'!$A$6:$BQ$32,'As Filed'!$BB$5,FALSE)-VLOOKUP(H$1,'As Filed'!$A$6:$BQ$32,'As Filed'!$BC$5,FALSE)</f>
        <v>1356451443</v>
      </c>
      <c r="I71" s="88">
        <f>I70-VLOOKUP(I$1,'As Filed'!$A$6:$BQ$32,'As Filed'!$AU$5,FALSE)-VLOOKUP(I$1,'As Filed'!$A$6:$BQ$32,'As Filed'!$AW$5,FALSE)-VLOOKUP(I$1,'As Filed'!$A$6:$BQ$32,'As Filed'!$AX$5,FALSE)-VLOOKUP(I$1,'As Filed'!$A$6:$BQ$32,'As Filed'!$BB$5,FALSE)-VLOOKUP(I$1,'As Filed'!$A$6:$BQ$32,'As Filed'!$BC$5,FALSE)</f>
        <v>1368259593</v>
      </c>
      <c r="J71" s="88">
        <f>J70-VLOOKUP(J$1,'As Filed'!$A$6:$BQ$32,'As Filed'!$AU$5,FALSE)-VLOOKUP(J$1,'As Filed'!$A$6:$BQ$32,'As Filed'!$AW$5,FALSE)-VLOOKUP(J$1,'As Filed'!$A$6:$BQ$32,'As Filed'!$AX$5,FALSE)-VLOOKUP(J$1,'As Filed'!$A$6:$BQ$32,'As Filed'!$BB$5,FALSE)-VLOOKUP(J$1,'As Filed'!$A$6:$BQ$32,'As Filed'!$BC$5,FALSE)</f>
        <v>1404484137</v>
      </c>
      <c r="K71" s="88">
        <f>K70-VLOOKUP(K$1,'As Filed'!$A$6:$BQ$32,'As Filed'!$AU$5,FALSE)-VLOOKUP(K$1,'As Filed'!$A$6:$BQ$32,'As Filed'!$AW$5,FALSE)-VLOOKUP(K$1,'As Filed'!$A$6:$BQ$32,'As Filed'!$AX$5,FALSE)-VLOOKUP(K$1,'As Filed'!$A$6:$BQ$32,'As Filed'!$BB$5,FALSE)-VLOOKUP(K$1,'As Filed'!$A$6:$BQ$32,'As Filed'!$BC$5,FALSE)</f>
        <v>1581401921</v>
      </c>
      <c r="L71" s="88">
        <f>L70-VLOOKUP(L$1,'As Filed'!$A$6:$BQ$32,'As Filed'!$AU$5,FALSE)-VLOOKUP(L$1,'As Filed'!$A$6:$BQ$32,'As Filed'!$AW$5,FALSE)-VLOOKUP(L$1,'As Filed'!$A$6:$BQ$32,'As Filed'!$AX$5,FALSE)-VLOOKUP(L$1,'As Filed'!$A$6:$BQ$32,'As Filed'!$BB$5,FALSE)-VLOOKUP(L$1,'As Filed'!$A$6:$BQ$32,'As Filed'!$BC$5,FALSE)</f>
        <v>1715250942</v>
      </c>
      <c r="M71" s="88">
        <f>M70-VLOOKUP(M$1,'As Filed'!$A$6:$BQ$32,'As Filed'!$AU$5,FALSE)-VLOOKUP(M$1,'As Filed'!$A$6:$BQ$32,'As Filed'!$AW$5,FALSE)-VLOOKUP(M$1,'As Filed'!$A$6:$BQ$32,'As Filed'!$AX$5,FALSE)-VLOOKUP(M$1,'As Filed'!$A$6:$BQ$32,'As Filed'!$BB$5,FALSE)-VLOOKUP(M$1,'As Filed'!$A$6:$BQ$32,'As Filed'!$BC$5,FALSE)</f>
        <v>1544546376</v>
      </c>
      <c r="N71" s="88">
        <f>N70-VLOOKUP(N$1,'As Filed'!$A$6:$BQ$32,'As Filed'!$AU$5,FALSE)-VLOOKUP(N$1,'As Filed'!$A$6:$BQ$32,'As Filed'!$AW$5,FALSE)-VLOOKUP(N$1,'As Filed'!$A$6:$BQ$32,'As Filed'!$AX$5,FALSE)-VLOOKUP(N$1,'As Filed'!$A$6:$BQ$32,'As Filed'!$BB$5,FALSE)-VLOOKUP(N$1,'As Filed'!$A$6:$BQ$32,'As Filed'!$BC$5,FALSE)</f>
        <v>1407528999</v>
      </c>
    </row>
    <row r="72" spans="1:14">
      <c r="A72" s="85"/>
      <c r="B72" s="86" t="s">
        <v>154</v>
      </c>
      <c r="C72" s="89">
        <f t="shared" ref="C72:N72" si="30">ROUND(C70/C71,8)</f>
        <v>1.15805402</v>
      </c>
      <c r="D72" s="89">
        <f t="shared" si="30"/>
        <v>1.1619228699999999</v>
      </c>
      <c r="E72" s="89">
        <f t="shared" si="30"/>
        <v>1.1582146900000001</v>
      </c>
      <c r="F72" s="89">
        <f t="shared" si="30"/>
        <v>1.1593753</v>
      </c>
      <c r="G72" s="89">
        <f t="shared" si="30"/>
        <v>1.15524787</v>
      </c>
      <c r="H72" s="89">
        <f t="shared" si="30"/>
        <v>1.15590506</v>
      </c>
      <c r="I72" s="89">
        <f t="shared" si="30"/>
        <v>1.1561534200000001</v>
      </c>
      <c r="J72" s="89">
        <f t="shared" si="30"/>
        <v>1.1602944799999999</v>
      </c>
      <c r="K72" s="89">
        <f t="shared" si="30"/>
        <v>1.16362448</v>
      </c>
      <c r="L72" s="89">
        <f t="shared" si="30"/>
        <v>1.16446465</v>
      </c>
      <c r="M72" s="89">
        <f t="shared" si="30"/>
        <v>1.16132317</v>
      </c>
      <c r="N72" s="89">
        <f t="shared" si="30"/>
        <v>1.15488966</v>
      </c>
    </row>
    <row r="73" spans="1:14">
      <c r="A73" s="92"/>
      <c r="B73" s="93" t="s">
        <v>155</v>
      </c>
      <c r="C73" s="104">
        <f t="shared" ref="C73:N73" si="31">ROUND(C69*C72,0)</f>
        <v>36399</v>
      </c>
      <c r="D73" s="104">
        <f t="shared" si="31"/>
        <v>112915</v>
      </c>
      <c r="E73" s="104">
        <f t="shared" si="31"/>
        <v>80174</v>
      </c>
      <c r="F73" s="104">
        <f t="shared" si="31"/>
        <v>388437</v>
      </c>
      <c r="G73" s="104">
        <f t="shared" si="31"/>
        <v>275416</v>
      </c>
      <c r="H73" s="104">
        <f t="shared" si="31"/>
        <v>-467476</v>
      </c>
      <c r="I73" s="104">
        <f t="shared" si="31"/>
        <v>-703012</v>
      </c>
      <c r="J73" s="104">
        <f t="shared" si="31"/>
        <v>-188619</v>
      </c>
      <c r="K73" s="104">
        <f t="shared" si="31"/>
        <v>-268711</v>
      </c>
      <c r="L73" s="104">
        <f t="shared" si="31"/>
        <v>-135842</v>
      </c>
      <c r="M73" s="104">
        <f t="shared" si="31"/>
        <v>-49688</v>
      </c>
      <c r="N73" s="104">
        <f t="shared" si="31"/>
        <v>28164</v>
      </c>
    </row>
    <row r="76" spans="1:14">
      <c r="A76" s="105"/>
    </row>
    <row r="94" spans="6:6">
      <c r="F94" s="80">
        <f>VLOOKUP(F$1,'As Filed'!$A$6:$BQ$32,'As Filed'!$O$5,FALSE)</f>
        <v>6672928.0300000003</v>
      </c>
    </row>
    <row r="95" spans="6:6">
      <c r="F95" s="80">
        <f>VLOOKUP(F$1,'As Filed'!$A$6:$BQ$32,'As Filed'!$P$5,FALSE)</f>
        <v>3775334.39</v>
      </c>
    </row>
    <row r="96" spans="6:6">
      <c r="F96" s="80">
        <f>VLOOKUP(F$1,'As Filed'!$A$6:$BQ$32,'As Filed'!$Q$5,FALSE)</f>
        <v>281308.2</v>
      </c>
    </row>
    <row r="97" spans="6:6">
      <c r="F97" s="108">
        <f>VLOOKUP(F$1,'As Filed'!$A$6:$BQ$32,'As Filed'!$R$5,FALSE)--VLOOKUP(F$1,'As Filed'!$A$6:$BQ$32,'As Filed'!$U$5,FALSE)</f>
        <v>172252.63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9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5" sqref="K15"/>
    </sheetView>
  </sheetViews>
  <sheetFormatPr defaultRowHeight="12.75"/>
  <cols>
    <col min="1" max="1" width="9.140625" style="80"/>
    <col min="2" max="14" width="18.7109375" style="80" customWidth="1"/>
    <col min="15" max="16384" width="9.140625" style="80"/>
  </cols>
  <sheetData>
    <row r="1" spans="1:14">
      <c r="C1" s="81">
        <v>40634</v>
      </c>
      <c r="D1" s="81">
        <f>EOMONTH(C1,0)+1</f>
        <v>40664</v>
      </c>
      <c r="E1" s="81">
        <f t="shared" ref="E1:N1" si="0">EOMONTH(D1,0)+1</f>
        <v>40695</v>
      </c>
      <c r="F1" s="81">
        <f t="shared" si="0"/>
        <v>40725</v>
      </c>
      <c r="G1" s="81">
        <f t="shared" si="0"/>
        <v>40756</v>
      </c>
      <c r="H1" s="81">
        <f t="shared" si="0"/>
        <v>40787</v>
      </c>
      <c r="I1" s="81">
        <f t="shared" si="0"/>
        <v>40817</v>
      </c>
      <c r="J1" s="81">
        <f t="shared" si="0"/>
        <v>40848</v>
      </c>
      <c r="K1" s="81">
        <f t="shared" si="0"/>
        <v>40878</v>
      </c>
      <c r="L1" s="81">
        <f t="shared" si="0"/>
        <v>40909</v>
      </c>
      <c r="M1" s="81">
        <f t="shared" si="0"/>
        <v>40940</v>
      </c>
      <c r="N1" s="81">
        <f t="shared" si="0"/>
        <v>40969</v>
      </c>
    </row>
    <row r="3" spans="1:14">
      <c r="A3" s="82" t="s">
        <v>108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>
      <c r="A4" s="85" t="s">
        <v>109</v>
      </c>
      <c r="B4" s="86" t="s">
        <v>110</v>
      </c>
      <c r="C4" s="87">
        <f t="shared" ref="C4:N4" si="1">C$37</f>
        <v>41524558.5</v>
      </c>
      <c r="D4" s="87">
        <f t="shared" si="1"/>
        <v>45542995.770000003</v>
      </c>
      <c r="E4" s="87">
        <f t="shared" si="1"/>
        <v>50838237.779999994</v>
      </c>
      <c r="F4" s="87">
        <f t="shared" si="1"/>
        <v>60281345.489999995</v>
      </c>
      <c r="G4" s="87">
        <f t="shared" si="1"/>
        <v>57546106.700000003</v>
      </c>
      <c r="H4" s="87">
        <f t="shared" si="1"/>
        <v>44360924.870000005</v>
      </c>
      <c r="I4" s="87">
        <f t="shared" si="1"/>
        <v>38898172.700000003</v>
      </c>
      <c r="J4" s="87">
        <f t="shared" si="1"/>
        <v>42556430.130000003</v>
      </c>
      <c r="K4" s="87">
        <f t="shared" si="1"/>
        <v>48445120.309999995</v>
      </c>
      <c r="L4" s="87">
        <f t="shared" si="1"/>
        <v>53067701.949999996</v>
      </c>
      <c r="M4" s="87">
        <f t="shared" si="1"/>
        <v>48807852.660000004</v>
      </c>
      <c r="N4" s="87">
        <f t="shared" si="1"/>
        <v>44213592.089999996</v>
      </c>
    </row>
    <row r="5" spans="1:14">
      <c r="A5" s="85" t="s">
        <v>111</v>
      </c>
      <c r="B5" s="86" t="s">
        <v>112</v>
      </c>
      <c r="C5" s="88">
        <f t="shared" ref="C5:N5" si="2">C$52</f>
        <v>1477781808</v>
      </c>
      <c r="D5" s="88">
        <f t="shared" si="2"/>
        <v>1559756683</v>
      </c>
      <c r="E5" s="88">
        <f t="shared" si="2"/>
        <v>1765193074</v>
      </c>
      <c r="F5" s="88">
        <f t="shared" si="2"/>
        <v>2010781895</v>
      </c>
      <c r="G5" s="88">
        <f t="shared" si="2"/>
        <v>1969433550</v>
      </c>
      <c r="H5" s="88">
        <f t="shared" si="2"/>
        <v>1556578005</v>
      </c>
      <c r="I5" s="88">
        <f t="shared" si="2"/>
        <v>1572629075</v>
      </c>
      <c r="J5" s="88">
        <f t="shared" si="2"/>
        <v>1621439620</v>
      </c>
      <c r="K5" s="88">
        <f t="shared" si="2"/>
        <v>1834212933</v>
      </c>
      <c r="L5" s="88">
        <f t="shared" si="2"/>
        <v>1991504469</v>
      </c>
      <c r="M5" s="88">
        <f t="shared" si="2"/>
        <v>1788356290</v>
      </c>
      <c r="N5" s="88">
        <f t="shared" si="2"/>
        <v>1620768969</v>
      </c>
    </row>
    <row r="6" spans="1:14">
      <c r="A6" s="85"/>
      <c r="B6" s="86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>
      <c r="A7" s="85"/>
      <c r="B7" s="86"/>
      <c r="C7" s="90">
        <f t="shared" ref="C7:N7" si="3">IF(C5=0,0,ROUND(C4/C5,5))</f>
        <v>2.81E-2</v>
      </c>
      <c r="D7" s="90">
        <f t="shared" si="3"/>
        <v>2.92E-2</v>
      </c>
      <c r="E7" s="90">
        <f t="shared" si="3"/>
        <v>2.8799999999999999E-2</v>
      </c>
      <c r="F7" s="90">
        <f t="shared" si="3"/>
        <v>2.998E-2</v>
      </c>
      <c r="G7" s="90">
        <f t="shared" si="3"/>
        <v>2.9219999999999999E-2</v>
      </c>
      <c r="H7" s="90">
        <f t="shared" si="3"/>
        <v>2.8500000000000001E-2</v>
      </c>
      <c r="I7" s="90">
        <f t="shared" si="3"/>
        <v>2.4729999999999999E-2</v>
      </c>
      <c r="J7" s="90">
        <f t="shared" si="3"/>
        <v>2.6249999999999999E-2</v>
      </c>
      <c r="K7" s="90">
        <f t="shared" si="3"/>
        <v>2.6409999999999999E-2</v>
      </c>
      <c r="L7" s="90">
        <f t="shared" si="3"/>
        <v>2.665E-2</v>
      </c>
      <c r="M7" s="90">
        <f t="shared" si="3"/>
        <v>2.7289999999999998E-2</v>
      </c>
      <c r="N7" s="90">
        <f t="shared" si="3"/>
        <v>2.7279999999999999E-2</v>
      </c>
    </row>
    <row r="8" spans="1:14">
      <c r="A8" s="85" t="s">
        <v>113</v>
      </c>
      <c r="B8" s="86"/>
      <c r="C8" s="90">
        <v>2.7539999999999999E-2</v>
      </c>
      <c r="D8" s="90">
        <f>C8</f>
        <v>2.7539999999999999E-2</v>
      </c>
      <c r="E8" s="90">
        <v>2.7539999999999999E-2</v>
      </c>
      <c r="F8" s="90">
        <v>2.6679999999999999E-2</v>
      </c>
      <c r="G8" s="90">
        <v>2.6679999999999999E-2</v>
      </c>
      <c r="H8" s="90">
        <v>2.6679999999999999E-2</v>
      </c>
      <c r="I8" s="90">
        <v>2.6679999999999999E-2</v>
      </c>
      <c r="J8" s="90">
        <v>2.6679999999999999E-2</v>
      </c>
      <c r="K8" s="90">
        <v>2.6679999999999999E-2</v>
      </c>
      <c r="L8" s="90">
        <v>2.6679999999999999E-2</v>
      </c>
      <c r="M8" s="90">
        <v>2.6679999999999999E-2</v>
      </c>
      <c r="N8" s="90">
        <v>2.6679999999999999E-2</v>
      </c>
    </row>
    <row r="9" spans="1:14">
      <c r="A9" s="85" t="s">
        <v>114</v>
      </c>
      <c r="B9" s="86"/>
      <c r="C9" s="91">
        <f t="shared" ref="C9:N9" si="4">C7-C8</f>
        <v>5.6000000000000147E-4</v>
      </c>
      <c r="D9" s="91">
        <f t="shared" si="4"/>
        <v>1.6600000000000018E-3</v>
      </c>
      <c r="E9" s="91">
        <f t="shared" si="4"/>
        <v>1.2600000000000007E-3</v>
      </c>
      <c r="F9" s="91">
        <f t="shared" si="4"/>
        <v>3.3000000000000008E-3</v>
      </c>
      <c r="G9" s="91">
        <f t="shared" si="4"/>
        <v>2.5400000000000006E-3</v>
      </c>
      <c r="H9" s="91">
        <f t="shared" si="4"/>
        <v>1.8200000000000022E-3</v>
      </c>
      <c r="I9" s="91">
        <f t="shared" si="4"/>
        <v>-1.9500000000000003E-3</v>
      </c>
      <c r="J9" s="91">
        <f t="shared" si="4"/>
        <v>-4.2999999999999983E-4</v>
      </c>
      <c r="K9" s="91">
        <f t="shared" si="4"/>
        <v>-2.6999999999999941E-4</v>
      </c>
      <c r="L9" s="91">
        <f t="shared" si="4"/>
        <v>-2.9999999999998778E-5</v>
      </c>
      <c r="M9" s="91">
        <f t="shared" si="4"/>
        <v>6.0999999999999943E-4</v>
      </c>
      <c r="N9" s="91">
        <f t="shared" si="4"/>
        <v>5.9999999999999984E-4</v>
      </c>
    </row>
    <row r="10" spans="1:14">
      <c r="A10" s="92"/>
      <c r="B10" s="93"/>
      <c r="C10" s="94"/>
      <c r="D10" s="94"/>
      <c r="E10" s="94"/>
      <c r="F10" s="94"/>
      <c r="G10" s="94"/>
      <c r="H10" s="94"/>
      <c r="I10" s="103"/>
      <c r="J10" s="103"/>
      <c r="K10" s="103"/>
      <c r="L10" s="103"/>
      <c r="M10" s="103"/>
      <c r="N10" s="103"/>
    </row>
    <row r="11" spans="1:14">
      <c r="A11" s="82" t="s">
        <v>115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>
      <c r="A12" s="85" t="s">
        <v>116</v>
      </c>
      <c r="B12" s="86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>
      <c r="A13" s="85"/>
      <c r="B13" s="86" t="s">
        <v>117</v>
      </c>
      <c r="C13" s="88">
        <v>28250751</v>
      </c>
      <c r="D13" s="88">
        <v>38317949</v>
      </c>
      <c r="E13" s="88">
        <v>46044320</v>
      </c>
      <c r="F13" s="88">
        <v>50370042</v>
      </c>
      <c r="G13" s="88">
        <v>47183859</v>
      </c>
      <c r="H13" s="88">
        <v>33361757</v>
      </c>
      <c r="I13" s="88">
        <v>34500884</v>
      </c>
      <c r="J13" s="88">
        <v>35798119</v>
      </c>
      <c r="K13" s="88">
        <v>39652132</v>
      </c>
      <c r="L13" s="88">
        <v>43306850</v>
      </c>
      <c r="M13" s="88">
        <v>40149822</v>
      </c>
      <c r="N13" s="88">
        <v>33752502</v>
      </c>
    </row>
    <row r="14" spans="1:14">
      <c r="A14" s="85"/>
      <c r="B14" s="86" t="s">
        <v>118</v>
      </c>
      <c r="C14" s="88">
        <v>349994</v>
      </c>
      <c r="D14" s="88">
        <v>1110930</v>
      </c>
      <c r="E14" s="88">
        <v>470216</v>
      </c>
      <c r="F14" s="88">
        <v>483845</v>
      </c>
      <c r="G14" s="88">
        <v>666487</v>
      </c>
      <c r="H14" s="88">
        <v>907441</v>
      </c>
      <c r="I14" s="88">
        <v>423687</v>
      </c>
      <c r="J14" s="88">
        <v>1036708</v>
      </c>
      <c r="K14" s="88">
        <v>570984</v>
      </c>
      <c r="L14" s="88">
        <v>632447</v>
      </c>
      <c r="M14" s="88">
        <v>418780</v>
      </c>
      <c r="N14" s="88">
        <v>528094</v>
      </c>
    </row>
    <row r="15" spans="1:14">
      <c r="A15" s="85"/>
      <c r="B15" s="86" t="s">
        <v>119</v>
      </c>
      <c r="C15" s="88">
        <f>VLOOKUP(C$1,'As Proposed'!$A$6:$BQ$32,'As Proposed'!$J$5,FALSE)</f>
        <v>2920782.61</v>
      </c>
      <c r="D15" s="88">
        <f>VLOOKUP(D$1,'As Proposed'!$A$6:$BQ$32,'As Proposed'!$J$5,FALSE)</f>
        <v>3021111.59</v>
      </c>
      <c r="E15" s="88">
        <f>VLOOKUP(E$1,'As Proposed'!$A$6:$BQ$32,'As Proposed'!$J$5,FALSE)</f>
        <v>4009164.36</v>
      </c>
      <c r="F15" s="88">
        <f>VLOOKUP(F$1,'As Proposed'!$A$6:$BQ$32,'As Proposed'!$J$5,FALSE)</f>
        <v>6544354.79</v>
      </c>
      <c r="G15" s="88">
        <f>VLOOKUP(G$1,'As Proposed'!$A$6:$BQ$32,'As Proposed'!$J$5,FALSE)</f>
        <v>4840688.32</v>
      </c>
      <c r="H15" s="88">
        <f>VLOOKUP(H$1,'As Proposed'!$A$6:$BQ$32,'As Proposed'!$J$5,FALSE)</f>
        <v>2367224.4900000002</v>
      </c>
      <c r="I15" s="88">
        <f>VLOOKUP(I$1,'As Proposed'!$A$6:$BQ$32,'As Proposed'!$J$5,FALSE)</f>
        <v>822534.95</v>
      </c>
      <c r="J15" s="88">
        <f>VLOOKUP(J$1,'As Proposed'!$A$6:$BQ$32,'As Proposed'!$J$5,FALSE)</f>
        <v>1444103.49</v>
      </c>
      <c r="K15" s="88">
        <f>VLOOKUP(K$1,'As Proposed'!$A$6:$BQ$32,'As Proposed'!$J$5,FALSE)</f>
        <v>859400.23</v>
      </c>
      <c r="L15" s="88">
        <f>VLOOKUP(L$1,'As Proposed'!$A$6:$BQ$32,'As Proposed'!$J$5,FALSE)</f>
        <v>1483806.61</v>
      </c>
      <c r="M15" s="88">
        <f>VLOOKUP(M$1,'As Proposed'!$A$6:$BQ$32,'As Proposed'!$J$5,FALSE)</f>
        <v>1372797.06</v>
      </c>
      <c r="N15" s="88">
        <f>VLOOKUP(N$1,'As Proposed'!$A$6:$BQ$32,'As Proposed'!$J$5,FALSE)</f>
        <v>2008792.83</v>
      </c>
    </row>
    <row r="16" spans="1:14">
      <c r="A16" s="85"/>
      <c r="B16" s="86" t="s">
        <v>120</v>
      </c>
      <c r="C16" s="88">
        <f>VLOOKUP(C$1,'As Proposed'!$A$6:$BQ$32,'As Proposed'!$K$5,FALSE)</f>
        <v>519851</v>
      </c>
      <c r="D16" s="88">
        <f>VLOOKUP(D$1,'As Proposed'!$A$6:$BQ$32,'As Proposed'!$K$5,FALSE)</f>
        <v>1682233</v>
      </c>
      <c r="E16" s="88">
        <f>VLOOKUP(E$1,'As Proposed'!$A$6:$BQ$32,'As Proposed'!$K$5,FALSE)</f>
        <v>670349</v>
      </c>
      <c r="F16" s="88">
        <f>VLOOKUP(F$1,'As Proposed'!$A$6:$BQ$32,'As Proposed'!$K$5,FALSE)</f>
        <v>932682</v>
      </c>
      <c r="G16" s="88">
        <f>VLOOKUP(G$1,'As Proposed'!$A$6:$BQ$32,'As Proposed'!$K$5,FALSE)</f>
        <v>1997774</v>
      </c>
      <c r="H16" s="88">
        <f>VLOOKUP(H$1,'As Proposed'!$A$6:$BQ$32,'As Proposed'!$K$5,FALSE)</f>
        <v>933198</v>
      </c>
      <c r="I16" s="88">
        <f>VLOOKUP(I$1,'As Proposed'!$A$6:$BQ$32,'As Proposed'!$K$5,FALSE)</f>
        <v>3500261.26</v>
      </c>
      <c r="J16" s="88">
        <f>VLOOKUP(J$1,'As Proposed'!$A$6:$BQ$32,'As Proposed'!$K$5,FALSE)</f>
        <v>1181520</v>
      </c>
      <c r="K16" s="88">
        <f>VLOOKUP(K$1,'As Proposed'!$A$6:$BQ$32,'As Proposed'!$K$5,FALSE)</f>
        <v>185719</v>
      </c>
      <c r="L16" s="88">
        <f>VLOOKUP(L$1,'As Proposed'!$A$6:$BQ$32,'As Proposed'!$K$5,FALSE)</f>
        <v>1243427</v>
      </c>
      <c r="M16" s="88">
        <f>VLOOKUP(M$1,'As Proposed'!$A$6:$BQ$32,'As Proposed'!$K$5,FALSE)</f>
        <v>423959</v>
      </c>
      <c r="N16" s="88">
        <f>VLOOKUP(N$1,'As Proposed'!$A$6:$BQ$32,'As Proposed'!$K$5,FALSE)</f>
        <v>2217827</v>
      </c>
    </row>
    <row r="17" spans="1:14" ht="15">
      <c r="A17" s="85"/>
      <c r="B17" s="86" t="s">
        <v>121</v>
      </c>
      <c r="C17" s="95">
        <f>VLOOKUP(C$1,'As Proposed'!$A$6:$BQ$32,'As Proposed'!$L$5,FALSE)</f>
        <v>368867</v>
      </c>
      <c r="D17" s="95">
        <f>VLOOKUP(D$1,'As Proposed'!$A$6:$BQ$32,'As Proposed'!$L$5,FALSE)</f>
        <v>1620023</v>
      </c>
      <c r="E17" s="95">
        <f>VLOOKUP(E$1,'As Proposed'!$A$6:$BQ$32,'As Proposed'!$L$5,FALSE)</f>
        <v>556017</v>
      </c>
      <c r="F17" s="95">
        <f>VLOOKUP(F$1,'As Proposed'!$A$6:$BQ$32,'As Proposed'!$L$5,FALSE)</f>
        <v>648159</v>
      </c>
      <c r="G17" s="95">
        <f>VLOOKUP(G$1,'As Proposed'!$A$6:$BQ$32,'As Proposed'!$L$5,FALSE)</f>
        <v>2157168</v>
      </c>
      <c r="H17" s="95">
        <f>VLOOKUP(H$1,'As Proposed'!$A$6:$BQ$32,'As Proposed'!$L$5,FALSE)</f>
        <v>797234</v>
      </c>
      <c r="I17" s="95">
        <f>VLOOKUP(I$1,'As Proposed'!$A$6:$BQ$32,'As Proposed'!$L$5,FALSE)</f>
        <v>2520519.7000000002</v>
      </c>
      <c r="J17" s="95">
        <f>VLOOKUP(J$1,'As Proposed'!$A$6:$BQ$32,'As Proposed'!$L$5,FALSE)</f>
        <v>723967</v>
      </c>
      <c r="K17" s="95">
        <f>VLOOKUP(K$1,'As Proposed'!$A$6:$BQ$32,'As Proposed'!$L$5,FALSE)</f>
        <v>127403</v>
      </c>
      <c r="L17" s="95">
        <f>VLOOKUP(L$1,'As Proposed'!$A$6:$BQ$32,'As Proposed'!$L$5,FALSE)</f>
        <v>1496970</v>
      </c>
      <c r="M17" s="95">
        <f>VLOOKUP(M$1,'As Proposed'!$A$6:$BQ$32,'As Proposed'!$L$5,FALSE)</f>
        <v>410960</v>
      </c>
      <c r="N17" s="95">
        <f>VLOOKUP(N$1,'As Proposed'!$A$6:$BQ$32,'As Proposed'!$L$5,FALSE)</f>
        <v>2021134</v>
      </c>
    </row>
    <row r="18" spans="1:14">
      <c r="A18" s="85"/>
      <c r="B18" s="86" t="s">
        <v>122</v>
      </c>
      <c r="C18" s="88">
        <f>IF(C17+C22&gt;C16,SUM(C13:C16)-C17, SUM(C13:C15))</f>
        <v>31672511.609999999</v>
      </c>
      <c r="D18" s="88">
        <f t="shared" ref="D18:N18" si="5">IF(D17+D22&gt;D16,SUM(D13:D16)-D17, SUM(D13:D15))</f>
        <v>42512200.590000004</v>
      </c>
      <c r="E18" s="88">
        <f t="shared" si="5"/>
        <v>50638032.359999999</v>
      </c>
      <c r="F18" s="88">
        <f t="shared" si="5"/>
        <v>57682764.789999999</v>
      </c>
      <c r="G18" s="88">
        <f t="shared" si="5"/>
        <v>52531640.32</v>
      </c>
      <c r="H18" s="88">
        <f t="shared" si="5"/>
        <v>36636422.490000002</v>
      </c>
      <c r="I18" s="88">
        <f t="shared" si="5"/>
        <v>35747105.950000003</v>
      </c>
      <c r="J18" s="88">
        <f t="shared" si="5"/>
        <v>38278930.490000002</v>
      </c>
      <c r="K18" s="88">
        <f t="shared" si="5"/>
        <v>41082516.229999997</v>
      </c>
      <c r="L18" s="88">
        <f t="shared" si="5"/>
        <v>45169560.609999999</v>
      </c>
      <c r="M18" s="88">
        <f t="shared" si="5"/>
        <v>41941399.060000002</v>
      </c>
      <c r="N18" s="88">
        <f t="shared" si="5"/>
        <v>36289388.829999998</v>
      </c>
    </row>
    <row r="19" spans="1:14">
      <c r="A19" s="85"/>
      <c r="B19" s="86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>
      <c r="A20" s="85" t="s">
        <v>70</v>
      </c>
      <c r="B20" s="8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>
      <c r="A21" s="85"/>
      <c r="B21" s="86" t="s">
        <v>17</v>
      </c>
      <c r="C21" s="88">
        <f>VLOOKUP(C$1,'As Proposed'!$A$6:$BQ$32,'As Proposed'!$O$5,FALSE)-VLOOKUP(C$1,'As Proposed'!$A$6:$BQ$32,'As Proposed'!$P$5,FALSE)-VLOOKUP(C$1,'As Proposed'!$A$6:$BQ$32,'As Proposed'!$Q$5,FALSE)-VLOOKUP(C$1,'As Proposed'!$A$6:$BQ$32,'As Proposed'!$R$5,FALSE)-VLOOKUP(C$1,'As Proposed'!$A$6:$BQ$32,'As Proposed'!$U$5,FALSE)</f>
        <v>2822351.6699999995</v>
      </c>
      <c r="D21" s="88">
        <f>VLOOKUP(D$1,'As Proposed'!$A$6:$BQ$32,'As Proposed'!$O$5,FALSE)-VLOOKUP(D$1,'As Proposed'!$A$6:$BQ$32,'As Proposed'!$P$5,FALSE)-VLOOKUP(D$1,'As Proposed'!$A$6:$BQ$32,'As Proposed'!$Q$5,FALSE)-VLOOKUP(D$1,'As Proposed'!$A$6:$BQ$32,'As Proposed'!$R$5,FALSE)-VLOOKUP(D$1,'As Proposed'!$A$6:$BQ$32,'As Proposed'!$U$5,FALSE)</f>
        <v>1690050.2999999996</v>
      </c>
      <c r="E21" s="88">
        <f>VLOOKUP(E$1,'As Proposed'!$A$6:$BQ$32,'As Proposed'!$O$5,FALSE)-VLOOKUP(E$1,'As Proposed'!$A$6:$BQ$32,'As Proposed'!$P$5,FALSE)-VLOOKUP(E$1,'As Proposed'!$A$6:$BQ$32,'As Proposed'!$Q$5,FALSE)-VLOOKUP(E$1,'As Proposed'!$A$6:$BQ$32,'As Proposed'!$R$5,FALSE)-VLOOKUP(E$1,'As Proposed'!$A$6:$BQ$32,'As Proposed'!$U$5,FALSE)</f>
        <v>1337602.5999999999</v>
      </c>
      <c r="F21" s="88">
        <f>VLOOKUP(F$1,'As Proposed'!$A$6:$BQ$32,'As Proposed'!$O$5,FALSE)-VLOOKUP(F$1,'As Proposed'!$A$6:$BQ$32,'As Proposed'!$P$5,FALSE)-VLOOKUP(F$1,'As Proposed'!$A$6:$BQ$32,'As Proposed'!$Q$5,FALSE)-VLOOKUP(F$1,'As Proposed'!$A$6:$BQ$32,'As Proposed'!$R$5,FALSE)-VLOOKUP(F$1,'As Proposed'!$A$6:$BQ$32,'As Proposed'!$U$5,FALSE)</f>
        <v>2444032.8099999996</v>
      </c>
      <c r="G21" s="88">
        <f>VLOOKUP(G$1,'As Proposed'!$A$6:$BQ$32,'As Proposed'!$O$5,FALSE)-VLOOKUP(G$1,'As Proposed'!$A$6:$BQ$32,'As Proposed'!$P$5,FALSE)-VLOOKUP(G$1,'As Proposed'!$A$6:$BQ$32,'As Proposed'!$Q$5,FALSE)-VLOOKUP(G$1,'As Proposed'!$A$6:$BQ$32,'As Proposed'!$R$5,FALSE)-VLOOKUP(G$1,'As Proposed'!$A$6:$BQ$32,'As Proposed'!$U$5,FALSE)</f>
        <v>2016587.2100000007</v>
      </c>
      <c r="H21" s="88">
        <f>VLOOKUP(H$1,'As Proposed'!$A$6:$BQ$32,'As Proposed'!$O$5,FALSE)-VLOOKUP(H$1,'As Proposed'!$A$6:$BQ$32,'As Proposed'!$P$5,FALSE)-VLOOKUP(H$1,'As Proposed'!$A$6:$BQ$32,'As Proposed'!$Q$5,FALSE)-VLOOKUP(H$1,'As Proposed'!$A$6:$BQ$32,'As Proposed'!$R$5,FALSE)-VLOOKUP(H$1,'As Proposed'!$A$6:$BQ$32,'As Proposed'!$U$5,FALSE)</f>
        <v>1344988.9700000002</v>
      </c>
      <c r="I21" s="88">
        <f>VLOOKUP(I$1,'As Proposed'!$A$6:$BQ$32,'As Proposed'!$O$5,FALSE)-VLOOKUP(I$1,'As Proposed'!$A$6:$BQ$32,'As Proposed'!$P$5,FALSE)-VLOOKUP(I$1,'As Proposed'!$A$6:$BQ$32,'As Proposed'!$Q$5,FALSE)-VLOOKUP(I$1,'As Proposed'!$A$6:$BQ$32,'As Proposed'!$R$5,FALSE)-VLOOKUP(I$1,'As Proposed'!$A$6:$BQ$32,'As Proposed'!$U$5,FALSE)</f>
        <v>638194.81000000006</v>
      </c>
      <c r="J21" s="88">
        <f>VLOOKUP(J$1,'As Proposed'!$A$6:$BQ$32,'As Proposed'!$O$5,FALSE)-VLOOKUP(J$1,'As Proposed'!$A$6:$BQ$32,'As Proposed'!$P$5,FALSE)-VLOOKUP(J$1,'As Proposed'!$A$6:$BQ$32,'As Proposed'!$Q$5,FALSE)-VLOOKUP(J$1,'As Proposed'!$A$6:$BQ$32,'As Proposed'!$R$5,FALSE)-VLOOKUP(J$1,'As Proposed'!$A$6:$BQ$32,'As Proposed'!$U$5,FALSE)</f>
        <v>628174.24000000022</v>
      </c>
      <c r="K21" s="88">
        <f>VLOOKUP(K$1,'As Proposed'!$A$6:$BQ$32,'As Proposed'!$O$5,FALSE)-VLOOKUP(K$1,'As Proposed'!$A$6:$BQ$32,'As Proposed'!$P$5,FALSE)-VLOOKUP(K$1,'As Proposed'!$A$6:$BQ$32,'As Proposed'!$Q$5,FALSE)-VLOOKUP(K$1,'As Proposed'!$A$6:$BQ$32,'As Proposed'!$R$5,FALSE)-VLOOKUP(K$1,'As Proposed'!$A$6:$BQ$32,'As Proposed'!$U$5,FALSE)</f>
        <v>743539.17000000121</v>
      </c>
      <c r="L21" s="88">
        <f>VLOOKUP(L$1,'As Proposed'!$A$6:$BQ$32,'As Proposed'!$O$5,FALSE)-VLOOKUP(L$1,'As Proposed'!$A$6:$BQ$32,'As Proposed'!$P$5,FALSE)-VLOOKUP(L$1,'As Proposed'!$A$6:$BQ$32,'As Proposed'!$Q$5,FALSE)-VLOOKUP(L$1,'As Proposed'!$A$6:$BQ$32,'As Proposed'!$R$5,FALSE)-VLOOKUP(L$1,'As Proposed'!$A$6:$BQ$32,'As Proposed'!$U$5,FALSE)</f>
        <v>622060.67999999993</v>
      </c>
      <c r="M21" s="88">
        <f>VLOOKUP(M$1,'As Proposed'!$A$6:$BQ$32,'As Proposed'!$O$5,FALSE)-VLOOKUP(M$1,'As Proposed'!$A$6:$BQ$32,'As Proposed'!$P$5,FALSE)-VLOOKUP(M$1,'As Proposed'!$A$6:$BQ$32,'As Proposed'!$Q$5,FALSE)-VLOOKUP(M$1,'As Proposed'!$A$6:$BQ$32,'As Proposed'!$R$5,FALSE)-VLOOKUP(M$1,'As Proposed'!$A$6:$BQ$32,'As Proposed'!$U$5,FALSE)</f>
        <v>772640.94999999972</v>
      </c>
      <c r="N21" s="88">
        <f>VLOOKUP(N$1,'As Proposed'!$A$6:$BQ$32,'As Proposed'!$O$5,FALSE)-VLOOKUP(N$1,'As Proposed'!$A$6:$BQ$32,'As Proposed'!$P$5,FALSE)-VLOOKUP(N$1,'As Proposed'!$A$6:$BQ$32,'As Proposed'!$Q$5,FALSE)-VLOOKUP(N$1,'As Proposed'!$A$6:$BQ$32,'As Proposed'!$R$5,FALSE)-VLOOKUP(N$1,'As Proposed'!$A$6:$BQ$32,'As Proposed'!$U$5,FALSE)</f>
        <v>1061781.17</v>
      </c>
    </row>
    <row r="22" spans="1:14">
      <c r="A22" s="85"/>
      <c r="B22" s="86" t="s">
        <v>123</v>
      </c>
      <c r="C22" s="88">
        <f>VLOOKUP(C$1,'As Proposed'!$A$6:$BQ$32,'As Proposed'!$M$5,FALSE)</f>
        <v>196422</v>
      </c>
      <c r="D22" s="88">
        <f>VLOOKUP(D$1,'As Proposed'!$A$6:$BQ$32,'As Proposed'!$M$5,FALSE)</f>
        <v>448257</v>
      </c>
      <c r="E22" s="88">
        <f>VLOOKUP(E$1,'As Proposed'!$A$6:$BQ$32,'As Proposed'!$M$5,FALSE)</f>
        <v>352704</v>
      </c>
      <c r="F22" s="88">
        <f>VLOOKUP(F$1,'As Proposed'!$A$6:$BQ$32,'As Proposed'!$M$5,FALSE)</f>
        <v>471521</v>
      </c>
      <c r="G22" s="88">
        <f>VLOOKUP(G$1,'As Proposed'!$A$6:$BQ$32,'As Proposed'!$M$5,FALSE)</f>
        <v>74581</v>
      </c>
      <c r="H22" s="88">
        <f>VLOOKUP(H$1,'As Proposed'!$A$6:$BQ$32,'As Proposed'!$M$5,FALSE)</f>
        <v>6304</v>
      </c>
      <c r="I22" s="88">
        <f>VLOOKUP(I$1,'As Proposed'!$A$6:$BQ$32,'As Proposed'!$M$5,FALSE)</f>
        <v>4728.67</v>
      </c>
      <c r="J22" s="88">
        <f>VLOOKUP(J$1,'As Proposed'!$A$6:$BQ$32,'As Proposed'!$M$5,FALSE)</f>
        <v>35547</v>
      </c>
      <c r="K22" s="88">
        <f>VLOOKUP(K$1,'As Proposed'!$A$6:$BQ$32,'As Proposed'!$M$5,FALSE)</f>
        <v>1910</v>
      </c>
      <c r="L22" s="88">
        <f>VLOOKUP(L$1,'As Proposed'!$A$6:$BQ$32,'As Proposed'!$M$5,FALSE)</f>
        <v>2714</v>
      </c>
      <c r="M22" s="88">
        <f>VLOOKUP(M$1,'As Proposed'!$A$6:$BQ$32,'As Proposed'!$M$5,FALSE)</f>
        <v>445</v>
      </c>
      <c r="N22" s="88">
        <f>VLOOKUP(N$1,'As Proposed'!$A$6:$BQ$32,'As Proposed'!$M$5,FALSE)</f>
        <v>85929</v>
      </c>
    </row>
    <row r="23" spans="1:14">
      <c r="A23" s="85"/>
      <c r="B23" s="86" t="s">
        <v>124</v>
      </c>
      <c r="C23" s="88">
        <f>VLOOKUP(C$1,'As Proposed'!$A$6:$BQ$32,'As Proposed'!$T$5,FALSE)</f>
        <v>0</v>
      </c>
      <c r="D23" s="88">
        <f>VLOOKUP(D$1,'As Proposed'!$A$6:$BQ$32,'As Proposed'!$T$5,FALSE)</f>
        <v>0</v>
      </c>
      <c r="E23" s="88">
        <f>VLOOKUP(E$1,'As Proposed'!$A$6:$BQ$32,'As Proposed'!$T$5,FALSE)</f>
        <v>0</v>
      </c>
      <c r="F23" s="88">
        <f>VLOOKUP(F$1,'As Proposed'!$A$6:$BQ$32,'As Proposed'!$T$5,FALSE)</f>
        <v>13399.41</v>
      </c>
      <c r="G23" s="88">
        <f>VLOOKUP(G$1,'As Proposed'!$A$6:$BQ$32,'As Proposed'!$T$5,FALSE)</f>
        <v>2039.18</v>
      </c>
      <c r="H23" s="88">
        <f>VLOOKUP(H$1,'As Proposed'!$A$6:$BQ$32,'As Proposed'!$T$5,FALSE)</f>
        <v>11.88</v>
      </c>
      <c r="I23" s="88">
        <f>VLOOKUP(I$1,'As Proposed'!$A$6:$BQ$32,'As Proposed'!$T$5,FALSE)</f>
        <v>0</v>
      </c>
      <c r="J23" s="88">
        <f>VLOOKUP(J$1,'As Proposed'!$A$6:$BQ$32,'As Proposed'!$T$5,FALSE)</f>
        <v>0</v>
      </c>
      <c r="K23" s="88">
        <f>VLOOKUP(K$1,'As Proposed'!$A$6:$BQ$32,'As Proposed'!$T$5,FALSE)</f>
        <v>0</v>
      </c>
      <c r="L23" s="88">
        <f>VLOOKUP(L$1,'As Proposed'!$A$6:$BQ$32,'As Proposed'!$T$5,FALSE)</f>
        <v>0</v>
      </c>
      <c r="M23" s="88">
        <f>VLOOKUP(M$1,'As Proposed'!$A$6:$BQ$32,'As Proposed'!$T$5,FALSE)</f>
        <v>0</v>
      </c>
      <c r="N23" s="88">
        <f>VLOOKUP(N$1,'As Proposed'!$A$6:$BQ$32,'As Proposed'!$T$5,FALSE)</f>
        <v>0</v>
      </c>
    </row>
    <row r="24" spans="1:14">
      <c r="A24" s="85"/>
      <c r="B24" s="106" t="s">
        <v>156</v>
      </c>
      <c r="C24" s="88">
        <f>VLOOKUP(C$1,'As Proposed'!$A$6:$BQ$32,'As Proposed'!$P$5,FALSE)+VLOOKUP(C$1,'As Proposed'!$A$6:$BQ$32,'As Proposed'!$Q$5,FALSE)</f>
        <v>8118393</v>
      </c>
      <c r="D24" s="88">
        <f>VLOOKUP(D$1,'As Proposed'!$A$6:$BQ$32,'As Proposed'!$P$5,FALSE)+VLOOKUP(D$1,'As Proposed'!$A$6:$BQ$32,'As Proposed'!$Q$5,FALSE)</f>
        <v>4953043.5199999996</v>
      </c>
      <c r="E24" s="88">
        <f>VLOOKUP(E$1,'As Proposed'!$A$6:$BQ$32,'As Proposed'!$P$5,FALSE)+VLOOKUP(E$1,'As Proposed'!$A$6:$BQ$32,'As Proposed'!$Q$5,FALSE)</f>
        <v>3009742.2</v>
      </c>
      <c r="F24" s="88">
        <f>VLOOKUP(F$1,'As Proposed'!$A$6:$BQ$32,'As Proposed'!$P$5,FALSE)+VLOOKUP(F$1,'As Proposed'!$A$6:$BQ$32,'As Proposed'!$Q$5,FALSE)</f>
        <v>4056642.5900000003</v>
      </c>
      <c r="G24" s="88">
        <f>VLOOKUP(G$1,'As Proposed'!$A$6:$BQ$32,'As Proposed'!$P$5,FALSE)+VLOOKUP(G$1,'As Proposed'!$A$6:$BQ$32,'As Proposed'!$Q$5,FALSE)</f>
        <v>5039517.84</v>
      </c>
      <c r="H24" s="88">
        <f>VLOOKUP(H$1,'As Proposed'!$A$6:$BQ$32,'As Proposed'!$P$5,FALSE)+VLOOKUP(H$1,'As Proposed'!$A$6:$BQ$32,'As Proposed'!$Q$5,FALSE)</f>
        <v>8278922.96</v>
      </c>
      <c r="I24" s="88">
        <f>VLOOKUP(I$1,'As Proposed'!$A$6:$BQ$32,'As Proposed'!$P$5,FALSE)+VLOOKUP(I$1,'As Proposed'!$A$6:$BQ$32,'As Proposed'!$Q$5,FALSE)</f>
        <v>6625524.1599999992</v>
      </c>
      <c r="J24" s="88">
        <f>VLOOKUP(J$1,'As Proposed'!$A$6:$BQ$32,'As Proposed'!$P$5,FALSE)+VLOOKUP(J$1,'As Proposed'!$A$6:$BQ$32,'As Proposed'!$Q$5,FALSE)</f>
        <v>5409752.5800000001</v>
      </c>
      <c r="K24" s="88">
        <f>VLOOKUP(K$1,'As Proposed'!$A$6:$BQ$32,'As Proposed'!$P$5,FALSE)+VLOOKUP(K$1,'As Proposed'!$A$6:$BQ$32,'As Proposed'!$Q$5,FALSE)</f>
        <v>9545512.7299999986</v>
      </c>
      <c r="L24" s="88">
        <f>VLOOKUP(L$1,'As Proposed'!$A$6:$BQ$32,'As Proposed'!$P$5,FALSE)+VLOOKUP(L$1,'As Proposed'!$A$6:$BQ$32,'As Proposed'!$Q$5,FALSE)</f>
        <v>9670814.4299999997</v>
      </c>
      <c r="M24" s="88">
        <f>VLOOKUP(M$1,'As Proposed'!$A$6:$BQ$32,'As Proposed'!$P$5,FALSE)+VLOOKUP(M$1,'As Proposed'!$A$6:$BQ$32,'As Proposed'!$Q$5,FALSE)</f>
        <v>6444956.79</v>
      </c>
      <c r="N24" s="88">
        <f>VLOOKUP(N$1,'As Proposed'!$A$6:$BQ$32,'As Proposed'!$P$5,FALSE)+VLOOKUP(N$1,'As Proposed'!$A$6:$BQ$32,'As Proposed'!$Q$5,FALSE)</f>
        <v>7405050.1500000004</v>
      </c>
    </row>
    <row r="25" spans="1:14" ht="15">
      <c r="A25" s="85"/>
      <c r="B25" s="86" t="s">
        <v>125</v>
      </c>
      <c r="C25" s="95">
        <f>VLOOKUP(C$1,'As Proposed'!$A$6:$BQ$32,'As Proposed'!$R$5,FALSE)</f>
        <v>40.86</v>
      </c>
      <c r="D25" s="95">
        <f>VLOOKUP(D$1,'As Proposed'!$A$6:$BQ$32,'As Proposed'!$R$5,FALSE)</f>
        <v>27813.82</v>
      </c>
      <c r="E25" s="95">
        <f>VLOOKUP(E$1,'As Proposed'!$A$6:$BQ$32,'As Proposed'!$R$5,FALSE)</f>
        <v>45629.96</v>
      </c>
      <c r="F25" s="95">
        <f>VLOOKUP(F$1,'As Proposed'!$A$6:$BQ$32,'As Proposed'!$R$5,FALSE)</f>
        <v>33493.449999999997</v>
      </c>
      <c r="G25" s="95">
        <f>VLOOKUP(G$1,'As Proposed'!$A$6:$BQ$32,'As Proposed'!$R$5,FALSE)</f>
        <v>7254.9</v>
      </c>
      <c r="H25" s="95">
        <f>VLOOKUP(H$1,'As Proposed'!$A$6:$BQ$32,'As Proposed'!$R$5,FALSE)</f>
        <v>0</v>
      </c>
      <c r="I25" s="95">
        <f>VLOOKUP(I$1,'As Proposed'!$A$6:$BQ$32,'As Proposed'!$R$5,FALSE)</f>
        <v>768.59</v>
      </c>
      <c r="J25" s="95">
        <f>VLOOKUP(J$1,'As Proposed'!$A$6:$BQ$32,'As Proposed'!$R$5,FALSE)</f>
        <v>0</v>
      </c>
      <c r="K25" s="95">
        <f>VLOOKUP(K$1,'As Proposed'!$A$6:$BQ$32,'As Proposed'!$R$5,FALSE)</f>
        <v>0</v>
      </c>
      <c r="L25" s="95">
        <f>VLOOKUP(L$1,'As Proposed'!$A$6:$BQ$32,'As Proposed'!$R$5,FALSE)</f>
        <v>0</v>
      </c>
      <c r="M25" s="95">
        <f>VLOOKUP(M$1,'As Proposed'!$A$6:$BQ$32,'As Proposed'!$R$5,FALSE)</f>
        <v>0</v>
      </c>
      <c r="N25" s="95">
        <f>VLOOKUP(N$1,'As Proposed'!$A$6:$BQ$32,'As Proposed'!$R$5,FALSE)</f>
        <v>0</v>
      </c>
    </row>
    <row r="26" spans="1:14">
      <c r="A26" s="85"/>
      <c r="B26" s="86" t="s">
        <v>126</v>
      </c>
      <c r="C26" s="88">
        <f t="shared" ref="C26:E26" si="6">IF(C17+C22&gt;C16,SUM(C21,-C22,-C23,C24,C25),SUM(C21,-C23,C24,C25))</f>
        <v>10744363.529999999</v>
      </c>
      <c r="D26" s="88">
        <f t="shared" si="6"/>
        <v>6222650.6399999997</v>
      </c>
      <c r="E26" s="88">
        <f t="shared" si="6"/>
        <v>4040270.76</v>
      </c>
      <c r="F26" s="88">
        <f>IF(F17+F22&gt;F16,SUM(F21,-F22,-F23,F24,F25),SUM(F21,-F23,F24,F25))</f>
        <v>6049248.4400000004</v>
      </c>
      <c r="G26" s="88">
        <f t="shared" ref="G26:N26" si="7">IF(G17+G22&gt;G16,SUM(G21,-G22,-G23,G24,G25),SUM(G21,-G23,G24,G25))</f>
        <v>6986739.7700000014</v>
      </c>
      <c r="H26" s="88">
        <f t="shared" si="7"/>
        <v>9623900.0500000007</v>
      </c>
      <c r="I26" s="88">
        <f t="shared" si="7"/>
        <v>7264487.5599999987</v>
      </c>
      <c r="J26" s="88">
        <f t="shared" si="7"/>
        <v>6037926.8200000003</v>
      </c>
      <c r="K26" s="88">
        <f t="shared" si="7"/>
        <v>10289051.9</v>
      </c>
      <c r="L26" s="88">
        <f t="shared" si="7"/>
        <v>10290161.109999999</v>
      </c>
      <c r="M26" s="88">
        <f t="shared" si="7"/>
        <v>7217597.7400000002</v>
      </c>
      <c r="N26" s="88">
        <f t="shared" si="7"/>
        <v>8466831.3200000003</v>
      </c>
    </row>
    <row r="27" spans="1:14">
      <c r="A27" s="85"/>
      <c r="B27" s="86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>
      <c r="A28" s="85" t="s">
        <v>60</v>
      </c>
      <c r="B28" s="86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4">
      <c r="A29" s="85"/>
      <c r="B29" s="86" t="s">
        <v>127</v>
      </c>
      <c r="C29" s="88">
        <f>VLOOKUP(C$1,'As Proposed'!$A$6:$BQ$32,'As Proposed'!$V$5,FALSE)-VLOOKUP(C$1,'As Proposed'!$A$6:$BQ$32,'As Proposed'!$W$5,FALSE)-VLOOKUP(C$1,'As Proposed'!$A$6:$BQ$32,'As Proposed'!$X$5,FALSE)-VLOOKUP(C$1,'As Proposed'!$A$6:$BQ$32,'As Proposed'!$Y$5,FALSE)</f>
        <v>525.18999999994412</v>
      </c>
      <c r="D29" s="88">
        <f>VLOOKUP(D$1,'As Proposed'!$A$6:$BQ$32,'As Proposed'!$V$5,FALSE)-VLOOKUP(D$1,'As Proposed'!$A$6:$BQ$32,'As Proposed'!$W$5,FALSE)-VLOOKUP(D$1,'As Proposed'!$A$6:$BQ$32,'As Proposed'!$X$5,FALSE)-VLOOKUP(D$1,'As Proposed'!$A$6:$BQ$32,'As Proposed'!$Y$5,FALSE)</f>
        <v>426532.58999999985</v>
      </c>
      <c r="E29" s="88">
        <f>VLOOKUP(E$1,'As Proposed'!$A$6:$BQ$32,'As Proposed'!$V$5,FALSE)-VLOOKUP(E$1,'As Proposed'!$A$6:$BQ$32,'As Proposed'!$W$5,FALSE)-VLOOKUP(E$1,'As Proposed'!$A$6:$BQ$32,'As Proposed'!$X$5,FALSE)-VLOOKUP(E$1,'As Proposed'!$A$6:$BQ$32,'As Proposed'!$Y$5,FALSE)</f>
        <v>790251.05000000028</v>
      </c>
      <c r="F29" s="88">
        <f>VLOOKUP(F$1,'As Proposed'!$A$6:$BQ$32,'As Proposed'!$V$5,FALSE)-VLOOKUP(F$1,'As Proposed'!$A$6:$BQ$32,'As Proposed'!$W$5,FALSE)-VLOOKUP(F$1,'As Proposed'!$A$6:$BQ$32,'As Proposed'!$X$5,FALSE)-VLOOKUP(F$1,'As Proposed'!$A$6:$BQ$32,'As Proposed'!$Y$5,FALSE)</f>
        <v>441990.52</v>
      </c>
      <c r="G29" s="88">
        <f>VLOOKUP(G$1,'As Proposed'!$A$6:$BQ$32,'As Proposed'!$V$5,FALSE)-VLOOKUP(G$1,'As Proposed'!$A$6:$BQ$32,'As Proposed'!$W$5,FALSE)-VLOOKUP(G$1,'As Proposed'!$A$6:$BQ$32,'As Proposed'!$X$5,FALSE)-VLOOKUP(G$1,'As Proposed'!$A$6:$BQ$32,'As Proposed'!$Y$5,FALSE)</f>
        <v>164278.7799999998</v>
      </c>
      <c r="H29" s="88">
        <f>VLOOKUP(H$1,'As Proposed'!$A$6:$BQ$32,'As Proposed'!$V$5,FALSE)-VLOOKUP(H$1,'As Proposed'!$A$6:$BQ$32,'As Proposed'!$W$5,FALSE)-VLOOKUP(H$1,'As Proposed'!$A$6:$BQ$32,'As Proposed'!$X$5,FALSE)-VLOOKUP(H$1,'As Proposed'!$A$6:$BQ$32,'As Proposed'!$Y$5,FALSE)</f>
        <v>11432.419999999925</v>
      </c>
      <c r="I29" s="88">
        <f>VLOOKUP(I$1,'As Proposed'!$A$6:$BQ$32,'As Proposed'!$V$5,FALSE)-VLOOKUP(I$1,'As Proposed'!$A$6:$BQ$32,'As Proposed'!$W$5,FALSE)-VLOOKUP(I$1,'As Proposed'!$A$6:$BQ$32,'As Proposed'!$X$5,FALSE)-VLOOKUP(I$1,'As Proposed'!$A$6:$BQ$32,'As Proposed'!$Y$5,FALSE)</f>
        <v>801530.81</v>
      </c>
      <c r="J29" s="88">
        <f>VLOOKUP(J$1,'As Proposed'!$A$6:$BQ$32,'As Proposed'!$V$5,FALSE)-VLOOKUP(J$1,'As Proposed'!$A$6:$BQ$32,'As Proposed'!$W$5,FALSE)-VLOOKUP(J$1,'As Proposed'!$A$6:$BQ$32,'As Proposed'!$X$5,FALSE)-VLOOKUP(J$1,'As Proposed'!$A$6:$BQ$32,'As Proposed'!$Y$5,FALSE)</f>
        <v>82554.909999999916</v>
      </c>
      <c r="K29" s="88">
        <f>VLOOKUP(K$1,'As Proposed'!$A$6:$BQ$32,'As Proposed'!$V$5,FALSE)-VLOOKUP(K$1,'As Proposed'!$A$6:$BQ$32,'As Proposed'!$W$5,FALSE)-VLOOKUP(K$1,'As Proposed'!$A$6:$BQ$32,'As Proposed'!$X$5,FALSE)-VLOOKUP(K$1,'As Proposed'!$A$6:$BQ$32,'As Proposed'!$Y$5,FALSE)</f>
        <v>17848.629999999888</v>
      </c>
      <c r="L29" s="88">
        <f>VLOOKUP(L$1,'As Proposed'!$A$6:$BQ$32,'As Proposed'!$V$5,FALSE)-VLOOKUP(L$1,'As Proposed'!$A$6:$BQ$32,'As Proposed'!$W$5,FALSE)-VLOOKUP(L$1,'As Proposed'!$A$6:$BQ$32,'As Proposed'!$X$5,FALSE)-VLOOKUP(L$1,'As Proposed'!$A$6:$BQ$32,'As Proposed'!$Y$5,FALSE)</f>
        <v>7525.0800000000745</v>
      </c>
      <c r="M29" s="88">
        <f>VLOOKUP(M$1,'As Proposed'!$A$6:$BQ$32,'As Proposed'!$V$5,FALSE)-VLOOKUP(M$1,'As Proposed'!$A$6:$BQ$32,'As Proposed'!$W$5,FALSE)-VLOOKUP(M$1,'As Proposed'!$A$6:$BQ$32,'As Proposed'!$X$5,FALSE)-VLOOKUP(M$1,'As Proposed'!$A$6:$BQ$32,'As Proposed'!$Y$5,FALSE)</f>
        <v>2826.3800000000629</v>
      </c>
      <c r="N29" s="88">
        <f>VLOOKUP(N$1,'As Proposed'!$A$6:$BQ$32,'As Proposed'!$V$5,FALSE)-VLOOKUP(N$1,'As Proposed'!$A$6:$BQ$32,'As Proposed'!$W$5,FALSE)-VLOOKUP(N$1,'As Proposed'!$A$6:$BQ$32,'As Proposed'!$X$5,FALSE)-VLOOKUP(N$1,'As Proposed'!$A$6:$BQ$32,'As Proposed'!$Y$5,FALSE)</f>
        <v>3768.4400000000605</v>
      </c>
    </row>
    <row r="30" spans="1:14">
      <c r="A30" s="85"/>
      <c r="B30" s="106" t="s">
        <v>156</v>
      </c>
      <c r="C30" s="88">
        <f>VLOOKUP(C$1,'As Proposed'!$A$6:$BQ$32,'As Proposed'!$W$5,FALSE)+VLOOKUP(C$1,'As Proposed'!$A$6:$BQ$32,'As Proposed'!$X$5,FALSE)</f>
        <v>323.56</v>
      </c>
      <c r="D30" s="88">
        <f>VLOOKUP(D$1,'As Proposed'!$A$6:$BQ$32,'As Proposed'!$W$5,FALSE)+VLOOKUP(D$1,'As Proposed'!$A$6:$BQ$32,'As Proposed'!$X$5,FALSE)</f>
        <v>230565.47</v>
      </c>
      <c r="E30" s="88">
        <f>VLOOKUP(E$1,'As Proposed'!$A$6:$BQ$32,'As Proposed'!$W$5,FALSE)+VLOOKUP(E$1,'As Proposed'!$A$6:$BQ$32,'As Proposed'!$X$5,FALSE)</f>
        <v>850816.03999999992</v>
      </c>
      <c r="F30" s="88">
        <f>VLOOKUP(F$1,'As Proposed'!$A$6:$BQ$32,'As Proposed'!$W$5,FALSE)+VLOOKUP(F$1,'As Proposed'!$A$6:$BQ$32,'As Proposed'!$X$5,FALSE)</f>
        <v>326076.52</v>
      </c>
      <c r="G30" s="88">
        <f>VLOOKUP(G$1,'As Proposed'!$A$6:$BQ$32,'As Proposed'!$W$5,FALSE)+VLOOKUP(G$1,'As Proposed'!$A$6:$BQ$32,'As Proposed'!$X$5,FALSE)</f>
        <v>166228.28</v>
      </c>
      <c r="H30" s="88">
        <f>VLOOKUP(H$1,'As Proposed'!$A$6:$BQ$32,'As Proposed'!$W$5,FALSE)+VLOOKUP(H$1,'As Proposed'!$A$6:$BQ$32,'As Proposed'!$X$5,FALSE)</f>
        <v>0</v>
      </c>
      <c r="I30" s="88">
        <f>VLOOKUP(I$1,'As Proposed'!$A$6:$BQ$32,'As Proposed'!$W$5,FALSE)+VLOOKUP(I$1,'As Proposed'!$A$6:$BQ$32,'As Proposed'!$X$5,FALSE)</f>
        <v>55056.31</v>
      </c>
      <c r="J30" s="88">
        <f>VLOOKUP(J$1,'As Proposed'!$A$6:$BQ$32,'As Proposed'!$W$5,FALSE)+VLOOKUP(J$1,'As Proposed'!$A$6:$BQ$32,'As Proposed'!$X$5,FALSE)</f>
        <v>0</v>
      </c>
      <c r="K30" s="88">
        <f>VLOOKUP(K$1,'As Proposed'!$A$6:$BQ$32,'As Proposed'!$W$5,FALSE)+VLOOKUP(K$1,'As Proposed'!$A$6:$BQ$32,'As Proposed'!$X$5,FALSE)</f>
        <v>0</v>
      </c>
      <c r="L30" s="88">
        <f>VLOOKUP(L$1,'As Proposed'!$A$6:$BQ$32,'As Proposed'!$W$5,FALSE)+VLOOKUP(L$1,'As Proposed'!$A$6:$BQ$32,'As Proposed'!$X$5,FALSE)</f>
        <v>1278.1300000000001</v>
      </c>
      <c r="M30" s="88">
        <f>VLOOKUP(M$1,'As Proposed'!$A$6:$BQ$32,'As Proposed'!$W$5,FALSE)+VLOOKUP(M$1,'As Proposed'!$A$6:$BQ$32,'As Proposed'!$X$5,FALSE)</f>
        <v>1559.41</v>
      </c>
      <c r="N30" s="88">
        <f>VLOOKUP(N$1,'As Proposed'!$A$6:$BQ$32,'As Proposed'!$W$5,FALSE)+VLOOKUP(N$1,'As Proposed'!$A$6:$BQ$32,'As Proposed'!$X$5,FALSE)</f>
        <v>9084.39</v>
      </c>
    </row>
    <row r="31" spans="1:14">
      <c r="A31" s="85"/>
      <c r="B31" s="106" t="s">
        <v>63</v>
      </c>
      <c r="C31" s="88">
        <f>VLOOKUP(C$1,'As Proposed'!$A$6:$BQ$32,'As Proposed'!$Y$5,FALSE)</f>
        <v>910534.89</v>
      </c>
      <c r="D31" s="88">
        <f>VLOOKUP(D$1,'As Proposed'!$A$6:$BQ$32,'As Proposed'!$Y$5,FALSE)</f>
        <v>2448554.4</v>
      </c>
      <c r="E31" s="88">
        <f>VLOOKUP(E$1,'As Proposed'!$A$6:$BQ$32,'As Proposed'!$Y$5,FALSE)</f>
        <v>2027919.25</v>
      </c>
      <c r="F31" s="88">
        <f>VLOOKUP(F$1,'As Proposed'!$A$6:$BQ$32,'As Proposed'!$Y$5,FALSE)</f>
        <v>2183841.7000000002</v>
      </c>
      <c r="G31" s="88">
        <f>VLOOKUP(G$1,'As Proposed'!$A$6:$BQ$32,'As Proposed'!$Y$5,FALSE)</f>
        <v>1298071.33</v>
      </c>
      <c r="H31" s="88">
        <f>VLOOKUP(H$1,'As Proposed'!$A$6:$BQ$32,'As Proposed'!$Y$5,FALSE)</f>
        <v>2323327.25</v>
      </c>
      <c r="I31" s="88">
        <f>VLOOKUP(I$1,'As Proposed'!$A$6:$BQ$32,'As Proposed'!$Y$5,FALSE)</f>
        <v>3963562.69</v>
      </c>
      <c r="J31" s="88">
        <f>VLOOKUP(J$1,'As Proposed'!$A$6:$BQ$32,'As Proposed'!$Y$5,FALSE)</f>
        <v>1863831.27</v>
      </c>
      <c r="K31" s="88">
        <f>VLOOKUP(K$1,'As Proposed'!$A$6:$BQ$32,'As Proposed'!$Y$5,FALSE)</f>
        <v>3179160.19</v>
      </c>
      <c r="L31" s="88">
        <f>VLOOKUP(L$1,'As Proposed'!$A$6:$BQ$32,'As Proposed'!$Y$5,FALSE)</f>
        <v>2491593.56</v>
      </c>
      <c r="M31" s="88">
        <f>VLOOKUP(M$1,'As Proposed'!$A$6:$BQ$32,'As Proposed'!$Y$5,FALSE)</f>
        <v>386945.35</v>
      </c>
      <c r="N31" s="88">
        <f>VLOOKUP(N$1,'As Proposed'!$A$6:$BQ$32,'As Proposed'!$Y$5,FALSE)</f>
        <v>521486.23</v>
      </c>
    </row>
    <row r="32" spans="1:14" ht="15">
      <c r="A32" s="85"/>
      <c r="B32" s="86" t="s">
        <v>128</v>
      </c>
      <c r="C32" s="95">
        <f>ROUND(C29*0.01,0)</f>
        <v>5</v>
      </c>
      <c r="D32" s="95">
        <f t="shared" ref="D32:N32" si="8">ROUND(D29*0.01,0)</f>
        <v>4265</v>
      </c>
      <c r="E32" s="95">
        <f t="shared" si="8"/>
        <v>7903</v>
      </c>
      <c r="F32" s="95">
        <f t="shared" si="8"/>
        <v>4420</v>
      </c>
      <c r="G32" s="95">
        <f t="shared" si="8"/>
        <v>1643</v>
      </c>
      <c r="H32" s="95">
        <f t="shared" si="8"/>
        <v>114</v>
      </c>
      <c r="I32" s="95">
        <f t="shared" si="8"/>
        <v>8015</v>
      </c>
      <c r="J32" s="95">
        <f t="shared" si="8"/>
        <v>826</v>
      </c>
      <c r="K32" s="95">
        <f t="shared" si="8"/>
        <v>178</v>
      </c>
      <c r="L32" s="95">
        <f t="shared" si="8"/>
        <v>75</v>
      </c>
      <c r="M32" s="95">
        <f t="shared" si="8"/>
        <v>28</v>
      </c>
      <c r="N32" s="95">
        <f t="shared" si="8"/>
        <v>38</v>
      </c>
    </row>
    <row r="33" spans="1:14">
      <c r="A33" s="85"/>
      <c r="B33" s="86" t="s">
        <v>126</v>
      </c>
      <c r="C33" s="88">
        <f t="shared" ref="C33:D33" si="9">SUM(C29:C32)</f>
        <v>911388.64</v>
      </c>
      <c r="D33" s="88">
        <f t="shared" si="9"/>
        <v>3109917.46</v>
      </c>
      <c r="E33" s="88">
        <f t="shared" ref="E33:N33" si="10">SUM(E29:E32)</f>
        <v>3676889.3400000003</v>
      </c>
      <c r="F33" s="88">
        <f t="shared" si="10"/>
        <v>2956328.74</v>
      </c>
      <c r="G33" s="88">
        <f t="shared" si="10"/>
        <v>1630221.39</v>
      </c>
      <c r="H33" s="88">
        <f t="shared" si="10"/>
        <v>2334873.67</v>
      </c>
      <c r="I33" s="88">
        <f t="shared" si="10"/>
        <v>4828164.8100000005</v>
      </c>
      <c r="J33" s="88">
        <f t="shared" si="10"/>
        <v>1947212.18</v>
      </c>
      <c r="K33" s="88">
        <f t="shared" si="10"/>
        <v>3197186.82</v>
      </c>
      <c r="L33" s="88">
        <f t="shared" si="10"/>
        <v>2500471.77</v>
      </c>
      <c r="M33" s="88">
        <f t="shared" si="10"/>
        <v>391359.14</v>
      </c>
      <c r="N33" s="88">
        <f t="shared" si="10"/>
        <v>534377.06000000006</v>
      </c>
    </row>
    <row r="34" spans="1:14">
      <c r="A34" s="85"/>
      <c r="B34" s="86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>
      <c r="A35" s="96" t="s">
        <v>129</v>
      </c>
      <c r="B35" s="86"/>
      <c r="C35" s="97">
        <f t="shared" ref="C35:N35" si="11">C$73</f>
        <v>-19072</v>
      </c>
      <c r="D35" s="97">
        <f t="shared" si="11"/>
        <v>81938</v>
      </c>
      <c r="E35" s="97">
        <f t="shared" si="11"/>
        <v>163176</v>
      </c>
      <c r="F35" s="97">
        <f t="shared" si="11"/>
        <v>494339</v>
      </c>
      <c r="G35" s="97">
        <f t="shared" si="11"/>
        <v>342052</v>
      </c>
      <c r="H35" s="97">
        <f t="shared" si="11"/>
        <v>-435476</v>
      </c>
      <c r="I35" s="97">
        <f t="shared" si="11"/>
        <v>-714744</v>
      </c>
      <c r="J35" s="97">
        <f t="shared" si="11"/>
        <v>-186785</v>
      </c>
      <c r="K35" s="97">
        <f t="shared" si="11"/>
        <v>-270739</v>
      </c>
      <c r="L35" s="97">
        <f t="shared" si="11"/>
        <v>-108452</v>
      </c>
      <c r="M35" s="97">
        <f t="shared" si="11"/>
        <v>-40215</v>
      </c>
      <c r="N35" s="97">
        <f t="shared" si="11"/>
        <v>8251</v>
      </c>
    </row>
    <row r="36" spans="1:14">
      <c r="A36" s="85" t="s">
        <v>130</v>
      </c>
      <c r="B36" s="86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>
      <c r="A37" s="85"/>
      <c r="B37" s="86" t="s">
        <v>131</v>
      </c>
      <c r="C37" s="87">
        <f t="shared" ref="C37:N37" si="12">C18+C26-C33-C35</f>
        <v>41524558.5</v>
      </c>
      <c r="D37" s="87">
        <f t="shared" si="12"/>
        <v>45542995.770000003</v>
      </c>
      <c r="E37" s="87">
        <f t="shared" si="12"/>
        <v>50838237.779999994</v>
      </c>
      <c r="F37" s="87">
        <f t="shared" si="12"/>
        <v>60281345.489999995</v>
      </c>
      <c r="G37" s="87">
        <f t="shared" si="12"/>
        <v>57546106.700000003</v>
      </c>
      <c r="H37" s="87">
        <f t="shared" si="12"/>
        <v>44360924.870000005</v>
      </c>
      <c r="I37" s="87">
        <f t="shared" si="12"/>
        <v>38898172.700000003</v>
      </c>
      <c r="J37" s="87">
        <f t="shared" si="12"/>
        <v>42556430.130000003</v>
      </c>
      <c r="K37" s="87">
        <f t="shared" si="12"/>
        <v>48445120.309999995</v>
      </c>
      <c r="L37" s="87">
        <f t="shared" si="12"/>
        <v>53067701.949999996</v>
      </c>
      <c r="M37" s="87">
        <f t="shared" si="12"/>
        <v>48807852.660000004</v>
      </c>
      <c r="N37" s="87">
        <f t="shared" si="12"/>
        <v>44213592.089999996</v>
      </c>
    </row>
    <row r="38" spans="1:14">
      <c r="A38" s="92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</row>
    <row r="39" spans="1:14">
      <c r="A39" s="82" t="s">
        <v>132</v>
      </c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>
      <c r="A40" s="85"/>
      <c r="B40" s="86" t="s">
        <v>133</v>
      </c>
      <c r="C40" s="88">
        <f>VLOOKUP(C$1,'As Proposed'!$A$6:$BQ$32,'As Proposed'!$AD$5,FALSE)-VLOOKUP(C$1,'As Proposed'!$A$6:$BQ$32,'As Proposed'!$AF$5,FALSE)-VLOOKUP(C$1,'As Proposed'!$A$6:$BQ$32,'As Proposed'!$AG$5,FALSE)</f>
        <v>1145800000</v>
      </c>
      <c r="D40" s="88">
        <f>VLOOKUP(D$1,'As Proposed'!$A$6:$BQ$32,'As Proposed'!$AD$5,FALSE)-VLOOKUP(D$1,'As Proposed'!$A$6:$BQ$32,'As Proposed'!$AF$5,FALSE)-VLOOKUP(D$1,'As Proposed'!$A$6:$BQ$32,'As Proposed'!$AG$5,FALSE)</f>
        <v>1502522000</v>
      </c>
      <c r="E40" s="88">
        <f>VLOOKUP(E$1,'As Proposed'!$A$6:$BQ$32,'As Proposed'!$AD$5,FALSE)-VLOOKUP(E$1,'As Proposed'!$A$6:$BQ$32,'As Proposed'!$AF$5,FALSE)-VLOOKUP(E$1,'As Proposed'!$A$6:$BQ$32,'As Proposed'!$AG$5,FALSE)</f>
        <v>1819593000</v>
      </c>
      <c r="F40" s="88">
        <f>VLOOKUP(F$1,'As Proposed'!$A$6:$BQ$32,'As Proposed'!$AD$5,FALSE)-VLOOKUP(F$1,'As Proposed'!$A$6:$BQ$32,'As Proposed'!$AF$5,FALSE)-VLOOKUP(F$1,'As Proposed'!$A$6:$BQ$32,'As Proposed'!$AG$5,FALSE)</f>
        <v>2000480000</v>
      </c>
      <c r="G40" s="88">
        <f>VLOOKUP(G$1,'As Proposed'!$A$6:$BQ$32,'As Proposed'!$AD$5,FALSE)-VLOOKUP(G$1,'As Proposed'!$A$6:$BQ$32,'As Proposed'!$AF$5,FALSE)-VLOOKUP(G$1,'As Proposed'!$A$6:$BQ$32,'As Proposed'!$AG$5,FALSE)</f>
        <v>1842203000</v>
      </c>
      <c r="H40" s="88">
        <f>VLOOKUP(H$1,'As Proposed'!$A$6:$BQ$32,'As Proposed'!$AD$5,FALSE)-VLOOKUP(H$1,'As Proposed'!$A$6:$BQ$32,'As Proposed'!$AF$5,FALSE)-VLOOKUP(H$1,'As Proposed'!$A$6:$BQ$32,'As Proposed'!$AG$5,FALSE)</f>
        <v>1316353000</v>
      </c>
      <c r="I40" s="88">
        <f>VLOOKUP(I$1,'As Proposed'!$A$6:$BQ$32,'As Proposed'!$AD$5,FALSE)-VLOOKUP(I$1,'As Proposed'!$A$6:$BQ$32,'As Proposed'!$AF$5,FALSE)-VLOOKUP(I$1,'As Proposed'!$A$6:$BQ$32,'As Proposed'!$AG$5,FALSE)</f>
        <v>1482794000</v>
      </c>
      <c r="J40" s="88">
        <f>VLOOKUP(J$1,'As Proposed'!$A$6:$BQ$32,'As Proposed'!$AD$5,FALSE)-VLOOKUP(J$1,'As Proposed'!$A$6:$BQ$32,'As Proposed'!$AF$5,FALSE)-VLOOKUP(J$1,'As Proposed'!$A$6:$BQ$32,'As Proposed'!$AG$5,FALSE)</f>
        <v>1460319000</v>
      </c>
      <c r="K40" s="88">
        <f>VLOOKUP(K$1,'As Proposed'!$A$6:$BQ$32,'As Proposed'!$AD$5,FALSE)-VLOOKUP(K$1,'As Proposed'!$A$6:$BQ$32,'As Proposed'!$AF$5,FALSE)-VLOOKUP(K$1,'As Proposed'!$A$6:$BQ$32,'As Proposed'!$AG$5,FALSE)</f>
        <v>1552744000</v>
      </c>
      <c r="L40" s="88">
        <f>VLOOKUP(L$1,'As Proposed'!$A$6:$BQ$32,'As Proposed'!$AD$5,FALSE)-VLOOKUP(L$1,'As Proposed'!$A$6:$BQ$32,'As Proposed'!$AF$5,FALSE)-VLOOKUP(L$1,'As Proposed'!$A$6:$BQ$32,'As Proposed'!$AG$5,FALSE)</f>
        <v>1683046000</v>
      </c>
      <c r="M40" s="88">
        <f>VLOOKUP(M$1,'As Proposed'!$A$6:$BQ$32,'As Proposed'!$AD$5,FALSE)-VLOOKUP(M$1,'As Proposed'!$A$6:$BQ$32,'As Proposed'!$AF$5,FALSE)-VLOOKUP(M$1,'As Proposed'!$A$6:$BQ$32,'As Proposed'!$AG$5,FALSE)</f>
        <v>1530817000</v>
      </c>
      <c r="N40" s="88">
        <f>VLOOKUP(N$1,'As Proposed'!$A$6:$BQ$32,'As Proposed'!$AD$5,FALSE)-VLOOKUP(N$1,'As Proposed'!$A$6:$BQ$32,'As Proposed'!$AF$5,FALSE)-VLOOKUP(N$1,'As Proposed'!$A$6:$BQ$32,'As Proposed'!$AG$5,FALSE)</f>
        <v>1320335000</v>
      </c>
    </row>
    <row r="41" spans="1:14">
      <c r="A41" s="85"/>
      <c r="B41" s="86" t="s">
        <v>134</v>
      </c>
      <c r="C41" s="88">
        <f>VLOOKUP(C$1,'As Proposed'!$A$6:$BQ$32,'As Proposed'!$AH$5,FALSE)-VLOOKUP(C$1,'As Proposed'!$A$6:$BQ$32,'As Proposed'!$AI$5,FALSE)-VLOOKUP(C$1,'As Proposed'!$A$6:$BQ$32,'As Proposed'!$AJ$5,FALSE)+VLOOKUP(C$1,'As Proposed'!$A$6:$BQ$32,'As Proposed'!$AL$5,FALSE)</f>
        <v>93222451</v>
      </c>
      <c r="D41" s="88">
        <f>VLOOKUP(D$1,'As Proposed'!$A$6:$BQ$32,'As Proposed'!$AH$5,FALSE)-VLOOKUP(D$1,'As Proposed'!$A$6:$BQ$32,'As Proposed'!$AI$5,FALSE)-VLOOKUP(D$1,'As Proposed'!$A$6:$BQ$32,'As Proposed'!$AJ$5,FALSE)+VLOOKUP(D$1,'As Proposed'!$A$6:$BQ$32,'As Proposed'!$AL$5,FALSE)</f>
        <v>54861924</v>
      </c>
      <c r="E41" s="88">
        <f>VLOOKUP(E$1,'As Proposed'!$A$6:$BQ$32,'As Proposed'!$AH$5,FALSE)-VLOOKUP(E$1,'As Proposed'!$A$6:$BQ$32,'As Proposed'!$AI$5,FALSE)-VLOOKUP(E$1,'As Proposed'!$A$6:$BQ$32,'As Proposed'!$AJ$5,FALSE)+VLOOKUP(E$1,'As Proposed'!$A$6:$BQ$32,'As Proposed'!$AL$5,FALSE)</f>
        <v>53248800</v>
      </c>
      <c r="F41" s="88">
        <f>VLOOKUP(F$1,'As Proposed'!$A$6:$BQ$32,'As Proposed'!$AH$5,FALSE)-VLOOKUP(F$1,'As Proposed'!$A$6:$BQ$32,'As Proposed'!$AI$5,FALSE)-VLOOKUP(F$1,'As Proposed'!$A$6:$BQ$32,'As Proposed'!$AJ$5,FALSE)+VLOOKUP(F$1,'As Proposed'!$A$6:$BQ$32,'As Proposed'!$AL$5,FALSE)</f>
        <v>71334212</v>
      </c>
      <c r="G41" s="88">
        <f>VLOOKUP(G$1,'As Proposed'!$A$6:$BQ$32,'As Proposed'!$AH$5,FALSE)-VLOOKUP(G$1,'As Proposed'!$A$6:$BQ$32,'As Proposed'!$AI$5,FALSE)-VLOOKUP(G$1,'As Proposed'!$A$6:$BQ$32,'As Proposed'!$AJ$5,FALSE)+VLOOKUP(G$1,'As Proposed'!$A$6:$BQ$32,'As Proposed'!$AL$5,FALSE)</f>
        <v>70304313</v>
      </c>
      <c r="H41" s="88">
        <f>VLOOKUP(H$1,'As Proposed'!$A$6:$BQ$32,'As Proposed'!$AH$5,FALSE)-VLOOKUP(H$1,'As Proposed'!$A$6:$BQ$32,'As Proposed'!$AI$5,FALSE)-VLOOKUP(H$1,'As Proposed'!$A$6:$BQ$32,'As Proposed'!$AJ$5,FALSE)+VLOOKUP(H$1,'As Proposed'!$A$6:$BQ$32,'As Proposed'!$AL$5,FALSE)</f>
        <v>45527812</v>
      </c>
      <c r="I41" s="88">
        <f>VLOOKUP(I$1,'As Proposed'!$A$6:$BQ$32,'As Proposed'!$AH$5,FALSE)-VLOOKUP(I$1,'As Proposed'!$A$6:$BQ$32,'As Proposed'!$AI$5,FALSE)-VLOOKUP(I$1,'As Proposed'!$A$6:$BQ$32,'As Proposed'!$AJ$5,FALSE)+VLOOKUP(I$1,'As Proposed'!$A$6:$BQ$32,'As Proposed'!$AL$5,FALSE)</f>
        <v>59582000</v>
      </c>
      <c r="J41" s="88">
        <f>VLOOKUP(J$1,'As Proposed'!$A$6:$BQ$32,'As Proposed'!$AH$5,FALSE)-VLOOKUP(J$1,'As Proposed'!$A$6:$BQ$32,'As Proposed'!$AI$5,FALSE)-VLOOKUP(J$1,'As Proposed'!$A$6:$BQ$32,'As Proposed'!$AJ$5,FALSE)+VLOOKUP(J$1,'As Proposed'!$A$6:$BQ$32,'As Proposed'!$AL$5,FALSE)</f>
        <v>62801000</v>
      </c>
      <c r="K41" s="88">
        <f>VLOOKUP(K$1,'As Proposed'!$A$6:$BQ$32,'As Proposed'!$AH$5,FALSE)-VLOOKUP(K$1,'As Proposed'!$A$6:$BQ$32,'As Proposed'!$AI$5,FALSE)-VLOOKUP(K$1,'As Proposed'!$A$6:$BQ$32,'As Proposed'!$AJ$5,FALSE)+VLOOKUP(K$1,'As Proposed'!$A$6:$BQ$32,'As Proposed'!$AL$5,FALSE)</f>
        <v>64205000</v>
      </c>
      <c r="L41" s="88">
        <f>VLOOKUP(L$1,'As Proposed'!$A$6:$BQ$32,'As Proposed'!$AH$5,FALSE)-VLOOKUP(L$1,'As Proposed'!$A$6:$BQ$32,'As Proposed'!$AI$5,FALSE)-VLOOKUP(L$1,'As Proposed'!$A$6:$BQ$32,'As Proposed'!$AJ$5,FALSE)+VLOOKUP(L$1,'As Proposed'!$A$6:$BQ$32,'As Proposed'!$AL$5,FALSE)</f>
        <v>60641000</v>
      </c>
      <c r="M41" s="88">
        <f>VLOOKUP(M$1,'As Proposed'!$A$6:$BQ$32,'As Proposed'!$AH$5,FALSE)-VLOOKUP(M$1,'As Proposed'!$A$6:$BQ$32,'As Proposed'!$AI$5,FALSE)-VLOOKUP(M$1,'As Proposed'!$A$6:$BQ$32,'As Proposed'!$AJ$5,FALSE)+VLOOKUP(M$1,'As Proposed'!$A$6:$BQ$32,'As Proposed'!$AL$5,FALSE)</f>
        <v>63911374</v>
      </c>
      <c r="N41" s="88">
        <f>VLOOKUP(N$1,'As Proposed'!$A$6:$BQ$32,'As Proposed'!$AH$5,FALSE)-VLOOKUP(N$1,'As Proposed'!$A$6:$BQ$32,'As Proposed'!$AI$5,FALSE)-VLOOKUP(N$1,'As Proposed'!$A$6:$BQ$32,'As Proposed'!$AJ$5,FALSE)+VLOOKUP(N$1,'As Proposed'!$A$6:$BQ$32,'As Proposed'!$AL$5,FALSE)</f>
        <v>77798000</v>
      </c>
    </row>
    <row r="42" spans="1:14">
      <c r="A42" s="85"/>
      <c r="B42" s="106" t="s">
        <v>156</v>
      </c>
      <c r="C42" s="98">
        <f>VLOOKUP(C$1,'As Proposed'!$A$6:$BQ$32,'As Proposed'!$AI$5,FALSE)</f>
        <v>367550000</v>
      </c>
      <c r="D42" s="98">
        <f>VLOOKUP(D$1,'As Proposed'!$A$6:$BQ$32,'As Proposed'!$AI$5,FALSE)</f>
        <v>211197000</v>
      </c>
      <c r="E42" s="98">
        <f>VLOOKUP(E$1,'As Proposed'!$A$6:$BQ$32,'As Proposed'!$AI$5,FALSE)</f>
        <v>128241000</v>
      </c>
      <c r="F42" s="98">
        <f>VLOOKUP(F$1,'As Proposed'!$A$6:$BQ$32,'As Proposed'!$AI$5,FALSE)</f>
        <v>165231000</v>
      </c>
      <c r="G42" s="98">
        <f>VLOOKUP(G$1,'As Proposed'!$A$6:$BQ$32,'As Proposed'!$AI$5,FALSE)</f>
        <v>214643000</v>
      </c>
      <c r="H42" s="98">
        <f>VLOOKUP(H$1,'As Proposed'!$A$6:$BQ$32,'As Proposed'!$AI$5,FALSE)</f>
        <v>367228000</v>
      </c>
      <c r="I42" s="98">
        <f>VLOOKUP(I$1,'As Proposed'!$A$6:$BQ$32,'As Proposed'!$AI$5,FALSE)</f>
        <v>298394000</v>
      </c>
      <c r="J42" s="98">
        <f>VLOOKUP(J$1,'As Proposed'!$A$6:$BQ$32,'As Proposed'!$AI$5,FALSE)</f>
        <v>240256000</v>
      </c>
      <c r="K42" s="98">
        <f>VLOOKUP(K$1,'As Proposed'!$A$6:$BQ$32,'As Proposed'!$AI$5,FALSE)</f>
        <v>425541000</v>
      </c>
      <c r="L42" s="98">
        <f>VLOOKUP(L$1,'As Proposed'!$A$6:$BQ$32,'As Proposed'!$AI$5,FALSE)</f>
        <v>436448000</v>
      </c>
      <c r="M42" s="98">
        <f>VLOOKUP(M$1,'As Proposed'!$A$6:$BQ$32,'As Proposed'!$AI$5,FALSE)</f>
        <v>290185000</v>
      </c>
      <c r="N42" s="98">
        <f>VLOOKUP(N$1,'As Proposed'!$A$6:$BQ$32,'As Proposed'!$AI$5,FALSE)</f>
        <v>317379000</v>
      </c>
    </row>
    <row r="43" spans="1:14" ht="15">
      <c r="A43" s="85"/>
      <c r="B43" s="106" t="s">
        <v>63</v>
      </c>
      <c r="C43" s="99">
        <f>VLOOKUP(C$1,'As Proposed'!$A$6:$BQ$32,'As Proposed'!$AJ$5,FALSE)</f>
        <v>1000</v>
      </c>
      <c r="D43" s="99">
        <f>VLOOKUP(D$1,'As Proposed'!$A$6:$BQ$32,'As Proposed'!$AJ$5,FALSE)</f>
        <v>882000</v>
      </c>
      <c r="E43" s="99">
        <f>VLOOKUP(E$1,'As Proposed'!$A$6:$BQ$32,'As Proposed'!$AJ$5,FALSE)</f>
        <v>1000000</v>
      </c>
      <c r="F43" s="99">
        <f>VLOOKUP(F$1,'As Proposed'!$A$6:$BQ$32,'As Proposed'!$AJ$5,FALSE)</f>
        <v>714000</v>
      </c>
      <c r="G43" s="99">
        <f>VLOOKUP(G$1,'As Proposed'!$A$6:$BQ$32,'As Proposed'!$AJ$5,FALSE)</f>
        <v>177000</v>
      </c>
      <c r="H43" s="99">
        <f>VLOOKUP(H$1,'As Proposed'!$A$6:$BQ$32,'As Proposed'!$AJ$5,FALSE)</f>
        <v>0</v>
      </c>
      <c r="I43" s="99">
        <f>VLOOKUP(I$1,'As Proposed'!$A$6:$BQ$32,'As Proposed'!$AJ$5,FALSE)</f>
        <v>34000</v>
      </c>
      <c r="J43" s="99">
        <f>VLOOKUP(J$1,'As Proposed'!$A$6:$BQ$32,'As Proposed'!$AJ$5,FALSE)</f>
        <v>0</v>
      </c>
      <c r="K43" s="99">
        <f>VLOOKUP(K$1,'As Proposed'!$A$6:$BQ$32,'As Proposed'!$AJ$5,FALSE)</f>
        <v>0</v>
      </c>
      <c r="L43" s="99">
        <f>VLOOKUP(L$1,'As Proposed'!$A$6:$BQ$32,'As Proposed'!$AJ$5,FALSE)</f>
        <v>0</v>
      </c>
      <c r="M43" s="99">
        <f>VLOOKUP(M$1,'As Proposed'!$A$6:$BQ$32,'As Proposed'!$AJ$5,FALSE)</f>
        <v>0</v>
      </c>
      <c r="N43" s="99">
        <f>VLOOKUP(N$1,'As Proposed'!$A$6:$BQ$32,'As Proposed'!$AJ$5,FALSE)</f>
        <v>0</v>
      </c>
    </row>
    <row r="44" spans="1:14">
      <c r="A44" s="85"/>
      <c r="B44" s="86" t="s">
        <v>126</v>
      </c>
      <c r="C44" s="88">
        <f t="shared" ref="C44:D44" si="13">SUM(C40:C43)</f>
        <v>1606573451</v>
      </c>
      <c r="D44" s="88">
        <f t="shared" si="13"/>
        <v>1769462924</v>
      </c>
      <c r="E44" s="88">
        <f t="shared" ref="E44:N44" si="14">SUM(E40:E43)</f>
        <v>2002082800</v>
      </c>
      <c r="F44" s="88">
        <f t="shared" si="14"/>
        <v>2237759212</v>
      </c>
      <c r="G44" s="88">
        <f t="shared" si="14"/>
        <v>2127327313</v>
      </c>
      <c r="H44" s="88">
        <f t="shared" si="14"/>
        <v>1729108812</v>
      </c>
      <c r="I44" s="88">
        <f t="shared" si="14"/>
        <v>1840804000</v>
      </c>
      <c r="J44" s="88">
        <f t="shared" si="14"/>
        <v>1763376000</v>
      </c>
      <c r="K44" s="88">
        <f t="shared" si="14"/>
        <v>2042490000</v>
      </c>
      <c r="L44" s="88">
        <f t="shared" si="14"/>
        <v>2180135000</v>
      </c>
      <c r="M44" s="88">
        <f t="shared" si="14"/>
        <v>1884913374</v>
      </c>
      <c r="N44" s="88">
        <f t="shared" si="14"/>
        <v>1715512000</v>
      </c>
    </row>
    <row r="45" spans="1:14">
      <c r="A45" s="85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>
      <c r="A46" s="85"/>
      <c r="B46" s="86" t="s">
        <v>60</v>
      </c>
      <c r="C46" s="88">
        <f>VLOOKUP(C$1,'As Proposed'!$A$6:$BQ$32,'As Proposed'!$AP$5,FALSE)-VLOOKUP(C$1,'As Proposed'!$A$6:$BQ$32,'As Proposed'!$AQ$5,FALSE)-VLOOKUP(C$1,'As Proposed'!$A$6:$BQ$32,'As Proposed'!$AR$5,FALSE)</f>
        <v>14000</v>
      </c>
      <c r="D46" s="88">
        <f>VLOOKUP(D$1,'As Proposed'!$A$6:$BQ$32,'As Proposed'!$AP$5,FALSE)-VLOOKUP(D$1,'As Proposed'!$A$6:$BQ$32,'As Proposed'!$AQ$5,FALSE)-VLOOKUP(D$1,'As Proposed'!$A$6:$BQ$32,'As Proposed'!$AR$5,FALSE)</f>
        <v>13001000</v>
      </c>
      <c r="E46" s="88">
        <f>VLOOKUP(E$1,'As Proposed'!$A$6:$BQ$32,'As Proposed'!$AP$5,FALSE)-VLOOKUP(E$1,'As Proposed'!$A$6:$BQ$32,'As Proposed'!$AQ$5,FALSE)-VLOOKUP(E$1,'As Proposed'!$A$6:$BQ$32,'As Proposed'!$AR$5,FALSE)</f>
        <v>23568000</v>
      </c>
      <c r="F46" s="88">
        <f>VLOOKUP(F$1,'As Proposed'!$A$6:$BQ$32,'As Proposed'!$AP$5,FALSE)-VLOOKUP(F$1,'As Proposed'!$A$6:$BQ$32,'As Proposed'!$AQ$5,FALSE)-VLOOKUP(F$1,'As Proposed'!$A$6:$BQ$32,'As Proposed'!$AR$5,FALSE)</f>
        <v>12175000</v>
      </c>
      <c r="G46" s="88">
        <f>VLOOKUP(G$1,'As Proposed'!$A$6:$BQ$32,'As Proposed'!$AP$5,FALSE)-VLOOKUP(G$1,'As Proposed'!$A$6:$BQ$32,'As Proposed'!$AQ$5,FALSE)-VLOOKUP(G$1,'As Proposed'!$A$6:$BQ$32,'As Proposed'!$AR$5,FALSE)</f>
        <v>4828000</v>
      </c>
      <c r="H46" s="88">
        <f>VLOOKUP(H$1,'As Proposed'!$A$6:$BQ$32,'As Proposed'!$AP$5,FALSE)-VLOOKUP(H$1,'As Proposed'!$A$6:$BQ$32,'As Proposed'!$AQ$5,FALSE)-VLOOKUP(H$1,'As Proposed'!$A$6:$BQ$32,'As Proposed'!$AR$5,FALSE)</f>
        <v>384000</v>
      </c>
      <c r="I46" s="88">
        <f>VLOOKUP(I$1,'As Proposed'!$A$6:$BQ$32,'As Proposed'!$AP$5,FALSE)-VLOOKUP(I$1,'As Proposed'!$A$6:$BQ$32,'As Proposed'!$AQ$5,FALSE)-VLOOKUP(I$1,'As Proposed'!$A$6:$BQ$32,'As Proposed'!$AR$5,FALSE)</f>
        <v>29307000</v>
      </c>
      <c r="J46" s="88">
        <f>VLOOKUP(J$1,'As Proposed'!$A$6:$BQ$32,'As Proposed'!$AP$5,FALSE)-VLOOKUP(J$1,'As Proposed'!$A$6:$BQ$32,'As Proposed'!$AQ$5,FALSE)-VLOOKUP(J$1,'As Proposed'!$A$6:$BQ$32,'As Proposed'!$AR$5,FALSE)</f>
        <v>2890000</v>
      </c>
      <c r="K46" s="88">
        <f>VLOOKUP(K$1,'As Proposed'!$A$6:$BQ$32,'As Proposed'!$AP$5,FALSE)-VLOOKUP(K$1,'As Proposed'!$A$6:$BQ$32,'As Proposed'!$AQ$5,FALSE)-VLOOKUP(K$1,'As Proposed'!$A$6:$BQ$32,'As Proposed'!$AR$5,FALSE)</f>
        <v>542000</v>
      </c>
      <c r="L46" s="88">
        <f>VLOOKUP(L$1,'As Proposed'!$A$6:$BQ$32,'As Proposed'!$AP$5,FALSE)-VLOOKUP(L$1,'As Proposed'!$A$6:$BQ$32,'As Proposed'!$AQ$5,FALSE)-VLOOKUP(L$1,'As Proposed'!$A$6:$BQ$32,'As Proposed'!$AR$5,FALSE)</f>
        <v>265000</v>
      </c>
      <c r="M46" s="88">
        <f>VLOOKUP(M$1,'As Proposed'!$A$6:$BQ$32,'As Proposed'!$AP$5,FALSE)-VLOOKUP(M$1,'As Proposed'!$A$6:$BQ$32,'As Proposed'!$AQ$5,FALSE)-VLOOKUP(M$1,'As Proposed'!$A$6:$BQ$32,'As Proposed'!$AR$5,FALSE)</f>
        <v>84000</v>
      </c>
      <c r="N46" s="88">
        <f>VLOOKUP(N$1,'As Proposed'!$A$6:$BQ$32,'As Proposed'!$AP$5,FALSE)-VLOOKUP(N$1,'As Proposed'!$A$6:$BQ$32,'As Proposed'!$AQ$5,FALSE)-VLOOKUP(N$1,'As Proposed'!$A$6:$BQ$32,'As Proposed'!$AR$5,FALSE)</f>
        <v>109000</v>
      </c>
    </row>
    <row r="47" spans="1:14">
      <c r="A47" s="85"/>
      <c r="B47" s="106" t="s">
        <v>156</v>
      </c>
      <c r="C47" s="88">
        <f>VLOOKUP(C$1,'As Proposed'!$A$6:$BQ$32,'As Proposed'!$AQ$5,FALSE)</f>
        <v>8000</v>
      </c>
      <c r="D47" s="88">
        <f>VLOOKUP(D$1,'As Proposed'!$A$6:$BQ$32,'As Proposed'!$AQ$5,FALSE)</f>
        <v>8230000</v>
      </c>
      <c r="E47" s="88">
        <f>VLOOKUP(E$1,'As Proposed'!$A$6:$BQ$32,'As Proposed'!$AQ$5,FALSE)</f>
        <v>21663000</v>
      </c>
      <c r="F47" s="88">
        <f>VLOOKUP(F$1,'As Proposed'!$A$6:$BQ$32,'As Proposed'!$AQ$5,FALSE)</f>
        <v>8108000</v>
      </c>
      <c r="G47" s="88">
        <f>VLOOKUP(G$1,'As Proposed'!$A$6:$BQ$32,'As Proposed'!$AQ$5,FALSE)</f>
        <v>3723000</v>
      </c>
      <c r="H47" s="88">
        <f>VLOOKUP(H$1,'As Proposed'!$A$6:$BQ$32,'As Proposed'!$AQ$5,FALSE)</f>
        <v>0</v>
      </c>
      <c r="I47" s="88">
        <f>VLOOKUP(I$1,'As Proposed'!$A$6:$BQ$32,'As Proposed'!$AQ$5,FALSE)</f>
        <v>2102000</v>
      </c>
      <c r="J47" s="88">
        <f>VLOOKUP(J$1,'As Proposed'!$A$6:$BQ$32,'As Proposed'!$AQ$5,FALSE)</f>
        <v>0</v>
      </c>
      <c r="K47" s="88">
        <f>VLOOKUP(K$1,'As Proposed'!$A$6:$BQ$32,'As Proposed'!$AQ$5,FALSE)</f>
        <v>0</v>
      </c>
      <c r="L47" s="88">
        <f>VLOOKUP(L$1,'As Proposed'!$A$6:$BQ$32,'As Proposed'!$AQ$5,FALSE)</f>
        <v>44000</v>
      </c>
      <c r="M47" s="88">
        <f>VLOOKUP(M$1,'As Proposed'!$A$6:$BQ$32,'As Proposed'!$AQ$5,FALSE)</f>
        <v>56000</v>
      </c>
      <c r="N47" s="88">
        <f>VLOOKUP(N$1,'As Proposed'!$A$6:$BQ$32,'As Proposed'!$AQ$5,FALSE)</f>
        <v>267000</v>
      </c>
    </row>
    <row r="48" spans="1:14">
      <c r="A48" s="85"/>
      <c r="B48" s="106" t="s">
        <v>63</v>
      </c>
      <c r="C48" s="88">
        <f>VLOOKUP(C$1,'As Proposed'!$A$6:$BQ$32,'As Proposed'!$AR$5,FALSE)</f>
        <v>32734000</v>
      </c>
      <c r="D48" s="88">
        <f>VLOOKUP(D$1,'As Proposed'!$A$6:$BQ$32,'As Proposed'!$AR$5,FALSE)</f>
        <v>86379000</v>
      </c>
      <c r="E48" s="88">
        <f>VLOOKUP(E$1,'As Proposed'!$A$6:$BQ$32,'As Proposed'!$AR$5,FALSE)</f>
        <v>75035000</v>
      </c>
      <c r="F48" s="88">
        <f>VLOOKUP(F$1,'As Proposed'!$A$6:$BQ$32,'As Proposed'!$AR$5,FALSE)</f>
        <v>76982000</v>
      </c>
      <c r="G48" s="88">
        <f>VLOOKUP(G$1,'As Proposed'!$A$6:$BQ$32,'As Proposed'!$AR$5,FALSE)</f>
        <v>43067000</v>
      </c>
      <c r="H48" s="88">
        <f>VLOOKUP(H$1,'As Proposed'!$A$6:$BQ$32,'As Proposed'!$AR$5,FALSE)</f>
        <v>90092000</v>
      </c>
      <c r="I48" s="88">
        <f>VLOOKUP(I$1,'As Proposed'!$A$6:$BQ$32,'As Proposed'!$AR$5,FALSE)</f>
        <v>158275000</v>
      </c>
      <c r="J48" s="88">
        <f>VLOOKUP(J$1,'As Proposed'!$A$6:$BQ$32,'As Proposed'!$AR$5,FALSE)</f>
        <v>71349000</v>
      </c>
      <c r="K48" s="88">
        <f>VLOOKUP(K$1,'As Proposed'!$A$6:$BQ$32,'As Proposed'!$AR$5,FALSE)</f>
        <v>120983000</v>
      </c>
      <c r="L48" s="88">
        <f>VLOOKUP(L$1,'As Proposed'!$A$6:$BQ$32,'As Proposed'!$AR$5,FALSE)</f>
        <v>93872000</v>
      </c>
      <c r="M48" s="88">
        <f>VLOOKUP(M$1,'As Proposed'!$A$6:$BQ$32,'As Proposed'!$AR$5,FALSE)</f>
        <v>13054000</v>
      </c>
      <c r="N48" s="88">
        <f>VLOOKUP(N$1,'As Proposed'!$A$6:$BQ$32,'As Proposed'!$AR$5,FALSE)</f>
        <v>17109000</v>
      </c>
    </row>
    <row r="49" spans="1:14" ht="15">
      <c r="A49" s="85"/>
      <c r="B49" s="86" t="s">
        <v>135</v>
      </c>
      <c r="C49" s="95">
        <f t="shared" ref="C49:N49" si="15">C58</f>
        <v>96035643</v>
      </c>
      <c r="D49" s="95">
        <f t="shared" si="15"/>
        <v>102096241</v>
      </c>
      <c r="E49" s="95">
        <f t="shared" si="15"/>
        <v>116623726</v>
      </c>
      <c r="F49" s="95">
        <f t="shared" si="15"/>
        <v>129712317</v>
      </c>
      <c r="G49" s="95">
        <f t="shared" si="15"/>
        <v>106275763</v>
      </c>
      <c r="H49" s="95">
        <f t="shared" si="15"/>
        <v>82054807</v>
      </c>
      <c r="I49" s="95">
        <f t="shared" si="15"/>
        <v>78490925</v>
      </c>
      <c r="J49" s="95">
        <f t="shared" si="15"/>
        <v>67697380</v>
      </c>
      <c r="K49" s="95">
        <f t="shared" si="15"/>
        <v>86752067</v>
      </c>
      <c r="L49" s="95">
        <f t="shared" si="15"/>
        <v>94449531</v>
      </c>
      <c r="M49" s="95">
        <f t="shared" si="15"/>
        <v>83363084</v>
      </c>
      <c r="N49" s="95">
        <f t="shared" si="15"/>
        <v>77258031</v>
      </c>
    </row>
    <row r="50" spans="1:14">
      <c r="A50" s="85"/>
      <c r="B50" s="86" t="s">
        <v>126</v>
      </c>
      <c r="C50" s="88">
        <f t="shared" ref="C50:D50" si="16">SUM(C46:C49)</f>
        <v>128791643</v>
      </c>
      <c r="D50" s="88">
        <f t="shared" si="16"/>
        <v>209706241</v>
      </c>
      <c r="E50" s="88">
        <f t="shared" ref="E50:N50" si="17">SUM(E46:E49)</f>
        <v>236889726</v>
      </c>
      <c r="F50" s="88">
        <f t="shared" si="17"/>
        <v>226977317</v>
      </c>
      <c r="G50" s="88">
        <f t="shared" si="17"/>
        <v>157893763</v>
      </c>
      <c r="H50" s="88">
        <f t="shared" si="17"/>
        <v>172530807</v>
      </c>
      <c r="I50" s="88">
        <f t="shared" si="17"/>
        <v>268174925</v>
      </c>
      <c r="J50" s="88">
        <f t="shared" si="17"/>
        <v>141936380</v>
      </c>
      <c r="K50" s="88">
        <f t="shared" si="17"/>
        <v>208277067</v>
      </c>
      <c r="L50" s="88">
        <f t="shared" si="17"/>
        <v>188630531</v>
      </c>
      <c r="M50" s="88">
        <f t="shared" si="17"/>
        <v>96557084</v>
      </c>
      <c r="N50" s="88">
        <f t="shared" si="17"/>
        <v>94743031</v>
      </c>
    </row>
    <row r="51" spans="1:14">
      <c r="A51" s="85"/>
      <c r="B51" s="86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>
      <c r="A52" s="92"/>
      <c r="B52" s="93" t="s">
        <v>136</v>
      </c>
      <c r="C52" s="100">
        <f t="shared" ref="C52:N52" si="18">C44-C50</f>
        <v>1477781808</v>
      </c>
      <c r="D52" s="100">
        <f t="shared" si="18"/>
        <v>1559756683</v>
      </c>
      <c r="E52" s="100">
        <f t="shared" si="18"/>
        <v>1765193074</v>
      </c>
      <c r="F52" s="100">
        <f t="shared" si="18"/>
        <v>2010781895</v>
      </c>
      <c r="G52" s="100">
        <f t="shared" si="18"/>
        <v>1969433550</v>
      </c>
      <c r="H52" s="100">
        <f t="shared" si="18"/>
        <v>1556578005</v>
      </c>
      <c r="I52" s="100">
        <f t="shared" si="18"/>
        <v>1572629075</v>
      </c>
      <c r="J52" s="100">
        <f t="shared" si="18"/>
        <v>1621439620</v>
      </c>
      <c r="K52" s="100">
        <f t="shared" si="18"/>
        <v>1834212933</v>
      </c>
      <c r="L52" s="100">
        <f t="shared" si="18"/>
        <v>1991504469</v>
      </c>
      <c r="M52" s="100">
        <f t="shared" si="18"/>
        <v>1788356290</v>
      </c>
      <c r="N52" s="100">
        <f t="shared" si="18"/>
        <v>1620768969</v>
      </c>
    </row>
    <row r="53" spans="1:14">
      <c r="A53" s="82" t="s">
        <v>137</v>
      </c>
      <c r="B53" s="83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1:14">
      <c r="A54" s="85"/>
      <c r="B54" s="86" t="s">
        <v>138</v>
      </c>
      <c r="C54" s="98">
        <v>23675027033</v>
      </c>
      <c r="D54" s="98">
        <v>23640633957</v>
      </c>
      <c r="E54" s="98">
        <v>23625327757</v>
      </c>
      <c r="F54" s="98">
        <v>23729886969</v>
      </c>
      <c r="G54" s="98">
        <v>23548179282</v>
      </c>
      <c r="H54" s="98">
        <v>23424340094</v>
      </c>
      <c r="I54" s="98">
        <v>23646057094</v>
      </c>
      <c r="J54" s="98">
        <v>23700249094</v>
      </c>
      <c r="K54" s="98">
        <v>23397548844</v>
      </c>
      <c r="L54" s="98">
        <v>23179699779</v>
      </c>
      <c r="M54" s="98">
        <v>23093492172</v>
      </c>
      <c r="N54" s="98">
        <v>22899544886</v>
      </c>
    </row>
    <row r="55" spans="1:14">
      <c r="A55" s="85"/>
      <c r="B55" s="86" t="s">
        <v>139</v>
      </c>
      <c r="C55" s="98">
        <f>SUM('As Proposed'!$AO$9:$AO$20)</f>
        <v>1415214727</v>
      </c>
      <c r="D55" s="98">
        <f>SUM('As Proposed'!$AO$10:$AO$21)</f>
        <v>1364041006</v>
      </c>
      <c r="E55" s="98">
        <f>SUM('As Proposed'!$AO$11:$AO$22)</f>
        <v>1376203788</v>
      </c>
      <c r="F55" s="98">
        <f>SUM('As Proposed'!$AO$12:$AO$23)</f>
        <v>1375509379</v>
      </c>
      <c r="G55" s="98">
        <f>SUM('As Proposed'!$AO$13:$AO$24)</f>
        <v>1176406120</v>
      </c>
      <c r="H55" s="98">
        <f>SUM('As Proposed'!$AO$14:$AO$25)</f>
        <v>1111601347</v>
      </c>
      <c r="I55" s="98">
        <f>SUM('As Proposed'!$AO$15:$AO$26)</f>
        <v>1008255561</v>
      </c>
      <c r="J55" s="98">
        <f>SUM('As Proposed'!$AO$16:$AO$27)</f>
        <v>909871015</v>
      </c>
      <c r="K55" s="98">
        <f>SUM('As Proposed'!$AO$17:$AO$28)</f>
        <v>993779892</v>
      </c>
      <c r="L55" s="98">
        <f>SUM('As Proposed'!$AO$18:$AO$29)</f>
        <v>1004209225</v>
      </c>
      <c r="M55" s="98">
        <f>SUM('As Proposed'!$AO$19:$AO$30)</f>
        <v>1021343849</v>
      </c>
      <c r="N55" s="98">
        <f>SUM('As Proposed'!$AO$20:$AO$31)</f>
        <v>1031280322</v>
      </c>
    </row>
    <row r="56" spans="1:14">
      <c r="A56" s="85"/>
      <c r="B56" s="86" t="s">
        <v>140</v>
      </c>
      <c r="C56" s="98">
        <f>C44</f>
        <v>1606573451</v>
      </c>
      <c r="D56" s="98">
        <f t="shared" ref="D56:N56" si="19">D44</f>
        <v>1769462924</v>
      </c>
      <c r="E56" s="98">
        <f t="shared" si="19"/>
        <v>2002082800</v>
      </c>
      <c r="F56" s="98">
        <f t="shared" si="19"/>
        <v>2237759212</v>
      </c>
      <c r="G56" s="98">
        <f t="shared" si="19"/>
        <v>2127327313</v>
      </c>
      <c r="H56" s="98">
        <f t="shared" si="19"/>
        <v>1729108812</v>
      </c>
      <c r="I56" s="98">
        <f t="shared" si="19"/>
        <v>1840804000</v>
      </c>
      <c r="J56" s="98">
        <f t="shared" si="19"/>
        <v>1763376000</v>
      </c>
      <c r="K56" s="98">
        <f t="shared" si="19"/>
        <v>2042490000</v>
      </c>
      <c r="L56" s="98">
        <f t="shared" si="19"/>
        <v>2180135000</v>
      </c>
      <c r="M56" s="98">
        <f t="shared" si="19"/>
        <v>1884913374</v>
      </c>
      <c r="N56" s="98">
        <f t="shared" si="19"/>
        <v>1715512000</v>
      </c>
    </row>
    <row r="57" spans="1:14">
      <c r="A57" s="85"/>
      <c r="B57" s="86" t="s">
        <v>141</v>
      </c>
      <c r="C57" s="102">
        <f t="shared" ref="C57:N57" si="20">ROUND(C55/C54,8)</f>
        <v>5.977669E-2</v>
      </c>
      <c r="D57" s="102">
        <f>ROUND(D55/D54,8)</f>
        <v>5.7699E-2</v>
      </c>
      <c r="E57" s="102">
        <f t="shared" ref="E57:N57" si="21">ROUND(E55/E54,8)</f>
        <v>5.8251200000000003E-2</v>
      </c>
      <c r="F57" s="102">
        <f t="shared" si="21"/>
        <v>5.7965269999999999E-2</v>
      </c>
      <c r="G57" s="102">
        <f t="shared" si="21"/>
        <v>4.9957410000000001E-2</v>
      </c>
      <c r="H57" s="102">
        <f t="shared" si="21"/>
        <v>4.7454969999999999E-2</v>
      </c>
      <c r="I57" s="102">
        <f t="shared" si="21"/>
        <v>4.263948E-2</v>
      </c>
      <c r="J57" s="102">
        <f t="shared" si="21"/>
        <v>3.8390779999999999E-2</v>
      </c>
      <c r="K57" s="102">
        <f t="shared" si="21"/>
        <v>4.247368E-2</v>
      </c>
      <c r="L57" s="102">
        <f t="shared" si="21"/>
        <v>4.332279E-2</v>
      </c>
      <c r="M57" s="102">
        <f t="shared" si="21"/>
        <v>4.4226479999999999E-2</v>
      </c>
      <c r="N57" s="102">
        <f t="shared" si="21"/>
        <v>4.5034970000000001E-2</v>
      </c>
    </row>
    <row r="58" spans="1:14">
      <c r="A58" s="85"/>
      <c r="B58" s="86" t="s">
        <v>142</v>
      </c>
      <c r="C58" s="98">
        <f t="shared" ref="C58:N58" si="22">ROUND(C57*C56,0)</f>
        <v>96035643</v>
      </c>
      <c r="D58" s="98">
        <f t="shared" si="22"/>
        <v>102096241</v>
      </c>
      <c r="E58" s="98">
        <f t="shared" si="22"/>
        <v>116623726</v>
      </c>
      <c r="F58" s="98">
        <f t="shared" si="22"/>
        <v>129712317</v>
      </c>
      <c r="G58" s="98">
        <f t="shared" si="22"/>
        <v>106275763</v>
      </c>
      <c r="H58" s="98">
        <f t="shared" si="22"/>
        <v>82054807</v>
      </c>
      <c r="I58" s="98">
        <f t="shared" si="22"/>
        <v>78490925</v>
      </c>
      <c r="J58" s="98">
        <f t="shared" si="22"/>
        <v>67697380</v>
      </c>
      <c r="K58" s="98">
        <f t="shared" si="22"/>
        <v>86752067</v>
      </c>
      <c r="L58" s="98">
        <f t="shared" si="22"/>
        <v>94449531</v>
      </c>
      <c r="M58" s="98">
        <f t="shared" si="22"/>
        <v>83363084</v>
      </c>
      <c r="N58" s="98">
        <f t="shared" si="22"/>
        <v>77258031</v>
      </c>
    </row>
    <row r="59" spans="1:14">
      <c r="A59" s="92"/>
      <c r="B59" s="9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1:14">
      <c r="A60" s="82" t="s">
        <v>143</v>
      </c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4">
      <c r="A61" s="85"/>
      <c r="B61" s="86" t="s">
        <v>144</v>
      </c>
      <c r="C61" s="90">
        <v>-2.9999999999999997E-4</v>
      </c>
      <c r="D61" s="90">
        <v>-5.9000000000000003E-4</v>
      </c>
      <c r="E61" s="90">
        <f>C9</f>
        <v>5.6000000000000147E-4</v>
      </c>
      <c r="F61" s="90">
        <f t="shared" ref="F61:N61" si="23">D9</f>
        <v>1.6600000000000018E-3</v>
      </c>
      <c r="G61" s="90">
        <f t="shared" si="23"/>
        <v>1.2600000000000007E-3</v>
      </c>
      <c r="H61" s="90">
        <f t="shared" si="23"/>
        <v>3.3000000000000008E-3</v>
      </c>
      <c r="I61" s="90">
        <f t="shared" si="23"/>
        <v>2.5400000000000006E-3</v>
      </c>
      <c r="J61" s="90">
        <f t="shared" si="23"/>
        <v>1.8200000000000022E-3</v>
      </c>
      <c r="K61" s="90">
        <f t="shared" si="23"/>
        <v>-1.9500000000000003E-3</v>
      </c>
      <c r="L61" s="90">
        <f t="shared" si="23"/>
        <v>-4.2999999999999983E-4</v>
      </c>
      <c r="M61" s="90">
        <f t="shared" si="23"/>
        <v>-2.6999999999999941E-4</v>
      </c>
      <c r="N61" s="90">
        <f t="shared" si="23"/>
        <v>-2.9999999999998778E-5</v>
      </c>
    </row>
    <row r="62" spans="1:14">
      <c r="A62" s="85"/>
      <c r="B62" s="86" t="s">
        <v>145</v>
      </c>
      <c r="C62" s="98">
        <f>VLOOKUP(C$1,'As Proposed'!$A$6:$BU$32,'As Proposed'!$BA$5,FALSE)-VLOOKUP(C$1,'As Proposed'!$A$6:$BU$32,'As Proposed'!$BD$5,FALSE)</f>
        <v>1379963352</v>
      </c>
      <c r="D62" s="98">
        <f>VLOOKUP(D$1,'As Proposed'!$A$6:$BU$32,'As Proposed'!$BA$5,FALSE)-VLOOKUP(D$1,'As Proposed'!$A$6:$BU$32,'As Proposed'!$BD$5,FALSE)</f>
        <v>1296344179</v>
      </c>
      <c r="E62" s="98">
        <f>VLOOKUP(E$1,'As Proposed'!$A$6:$BU$32,'As Proposed'!$BA$5,FALSE)-VLOOKUP(E$1,'As Proposed'!$A$6:$BU$32,'As Proposed'!$BD$5,FALSE)</f>
        <v>1525640447</v>
      </c>
      <c r="F62" s="98">
        <f>VLOOKUP(F$1,'As Proposed'!$A$6:$BU$32,'As Proposed'!$BA$5,FALSE)-VLOOKUP(F$1,'As Proposed'!$A$6:$BU$32,'As Proposed'!$BD$5,FALSE)</f>
        <v>1597015695</v>
      </c>
      <c r="G62" s="98">
        <f>VLOOKUP(G$1,'As Proposed'!$A$6:$BU$32,'As Proposed'!$BA$5,FALSE)-VLOOKUP(G$1,'As Proposed'!$A$6:$BU$32,'As Proposed'!$BD$5,FALSE)</f>
        <v>1756874684</v>
      </c>
      <c r="H62" s="98">
        <f>VLOOKUP(H$1,'As Proposed'!$A$6:$BU$32,'As Proposed'!$BA$5,FALSE)-VLOOKUP(H$1,'As Proposed'!$A$6:$BU$32,'As Proposed'!$BD$5,FALSE)</f>
        <v>1618189554</v>
      </c>
      <c r="I62" s="98">
        <f>VLOOKUP(I$1,'As Proposed'!$A$6:$BU$32,'As Proposed'!$BA$5,FALSE)-VLOOKUP(I$1,'As Proposed'!$A$6:$BU$32,'As Proposed'!$BD$5,FALSE)</f>
        <v>1459659884</v>
      </c>
      <c r="J62" s="98">
        <f>VLOOKUP(J$1,'As Proposed'!$A$6:$BU$32,'As Proposed'!$BA$5,FALSE)-VLOOKUP(J$1,'As Proposed'!$A$6:$BU$32,'As Proposed'!$BD$5,FALSE)</f>
        <v>1256720738</v>
      </c>
      <c r="K62" s="98">
        <f>VLOOKUP(K$1,'As Proposed'!$A$6:$BU$32,'As Proposed'!$BA$5,FALSE)-VLOOKUP(K$1,'As Proposed'!$A$6:$BU$32,'As Proposed'!$BD$5,FALSE)</f>
        <v>1478224470</v>
      </c>
      <c r="L62" s="98">
        <f>VLOOKUP(L$1,'As Proposed'!$A$6:$BU$32,'As Proposed'!$BA$5,FALSE)-VLOOKUP(L$1,'As Proposed'!$A$6:$BU$32,'As Proposed'!$BD$5,FALSE)</f>
        <v>1612798139</v>
      </c>
      <c r="M62" s="98">
        <f>VLOOKUP(M$1,'As Proposed'!$A$6:$BU$32,'As Proposed'!$BA$5,FALSE)-VLOOKUP(M$1,'As Proposed'!$A$6:$BU$32,'As Proposed'!$BD$5,FALSE)</f>
        <v>1703648389</v>
      </c>
      <c r="N62" s="98">
        <f>VLOOKUP(N$1,'As Proposed'!$A$6:$BU$32,'As Proposed'!$BA$5,FALSE)-VLOOKUP(N$1,'As Proposed'!$A$6:$BU$32,'As Proposed'!$BD$5,FALSE)</f>
        <v>1471376467</v>
      </c>
    </row>
    <row r="63" spans="1:14">
      <c r="A63" s="85"/>
      <c r="B63" s="86" t="s">
        <v>146</v>
      </c>
      <c r="C63" s="87">
        <f t="shared" ref="C63:N63" si="24">ROUND(C61*C62,0)</f>
        <v>-413989</v>
      </c>
      <c r="D63" s="87">
        <f t="shared" si="24"/>
        <v>-764843</v>
      </c>
      <c r="E63" s="87">
        <f t="shared" si="24"/>
        <v>854359</v>
      </c>
      <c r="F63" s="87">
        <f t="shared" si="24"/>
        <v>2651046</v>
      </c>
      <c r="G63" s="87">
        <f t="shared" si="24"/>
        <v>2213662</v>
      </c>
      <c r="H63" s="87">
        <f t="shared" si="24"/>
        <v>5340026</v>
      </c>
      <c r="I63" s="87">
        <f t="shared" si="24"/>
        <v>3707536</v>
      </c>
      <c r="J63" s="87">
        <f t="shared" si="24"/>
        <v>2287232</v>
      </c>
      <c r="K63" s="87">
        <f t="shared" si="24"/>
        <v>-2882538</v>
      </c>
      <c r="L63" s="87">
        <f t="shared" si="24"/>
        <v>-693503</v>
      </c>
      <c r="M63" s="87">
        <f t="shared" si="24"/>
        <v>-459985</v>
      </c>
      <c r="N63" s="87">
        <f t="shared" si="24"/>
        <v>-44141</v>
      </c>
    </row>
    <row r="64" spans="1:14">
      <c r="A64" s="85"/>
      <c r="B64" s="86" t="s">
        <v>147</v>
      </c>
      <c r="C64" s="98">
        <f>VLOOKUP(C$1,'As Proposed'!$A$6:$BU$32,'As Proposed'!$BH$5,FALSE)</f>
        <v>1573817451</v>
      </c>
      <c r="D64" s="98">
        <f>VLOOKUP(D$1,'As Proposed'!$A$6:$BU$32,'As Proposed'!$BH$5,FALSE)</f>
        <v>1661852924</v>
      </c>
      <c r="E64" s="98">
        <f>C5</f>
        <v>1477781808</v>
      </c>
      <c r="F64" s="98">
        <f t="shared" ref="F64:N64" si="25">D5</f>
        <v>1559756683</v>
      </c>
      <c r="G64" s="98">
        <f t="shared" si="25"/>
        <v>1765193074</v>
      </c>
      <c r="H64" s="98">
        <f t="shared" si="25"/>
        <v>2010781895</v>
      </c>
      <c r="I64" s="98">
        <f t="shared" si="25"/>
        <v>1969433550</v>
      </c>
      <c r="J64" s="98">
        <f t="shared" si="25"/>
        <v>1556578005</v>
      </c>
      <c r="K64" s="98">
        <f t="shared" si="25"/>
        <v>1572629075</v>
      </c>
      <c r="L64" s="98">
        <f t="shared" si="25"/>
        <v>1621439620</v>
      </c>
      <c r="M64" s="98">
        <f t="shared" si="25"/>
        <v>1834212933</v>
      </c>
      <c r="N64" s="98">
        <f t="shared" si="25"/>
        <v>1991504469</v>
      </c>
    </row>
    <row r="65" spans="1:14">
      <c r="A65" s="85"/>
      <c r="B65" s="86" t="s">
        <v>148</v>
      </c>
      <c r="C65" s="98">
        <v>248678057</v>
      </c>
      <c r="D65" s="98">
        <v>246153843</v>
      </c>
      <c r="E65" s="107">
        <f>VLOOKUP(C$1,'As Proposed'!$A$6:$BQ$32,'As Proposed'!$AU$5,FALSE)+VLOOKUP(C$1,'As Proposed'!$A$6:$BQ$32,'As Proposed'!$AW$5,FALSE)+VLOOKUP(C$1,'As Proposed'!$A$6:$BQ$32,'As Proposed'!$AX$5,FALSE)+VLOOKUP(C$1,'As Proposed'!$A$6:$BQ$32,'As Proposed'!$BB$5,FALSE)+VLOOKUP(C$1,'As Proposed'!$A$6:$BQ$32,'As Proposed'!$BC$5,FALSE)</f>
        <v>203406862</v>
      </c>
      <c r="F65" s="107">
        <f>VLOOKUP(D$1,'As Proposed'!$A$6:$BQ$32,'As Proposed'!$AU$5,FALSE)+VLOOKUP(D$1,'As Proposed'!$A$6:$BQ$32,'As Proposed'!$AW$5,FALSE)+VLOOKUP(D$1,'As Proposed'!$A$6:$BQ$32,'As Proposed'!$AX$5,FALSE)+VLOOKUP(D$1,'As Proposed'!$A$6:$BQ$32,'As Proposed'!$BB$5,FALSE)+VLOOKUP(D$1,'As Proposed'!$A$6:$BQ$32,'As Proposed'!$BC$5,FALSE)</f>
        <v>219281338</v>
      </c>
      <c r="G65" s="107">
        <f>VLOOKUP(E$1,'As Proposed'!$A$6:$BQ$32,'As Proposed'!$AU$5,FALSE)+VLOOKUP(E$1,'As Proposed'!$A$6:$BQ$32,'As Proposed'!$AW$5,FALSE)+VLOOKUP(E$1,'As Proposed'!$A$6:$BQ$32,'As Proposed'!$AX$5,FALSE)+VLOOKUP(E$1,'As Proposed'!$A$6:$BQ$32,'As Proposed'!$BB$5,FALSE)+VLOOKUP(E$1,'As Proposed'!$A$6:$BQ$32,'As Proposed'!$BC$5,FALSE)</f>
        <v>243038425</v>
      </c>
      <c r="H65" s="107">
        <f>VLOOKUP(F$1,'As Proposed'!$A$6:$BQ$32,'As Proposed'!$AU$5,FALSE)+VLOOKUP(F$1,'As Proposed'!$A$6:$BQ$32,'As Proposed'!$AW$5,FALSE)+VLOOKUP(F$1,'As Proposed'!$A$6:$BQ$32,'As Proposed'!$AX$5,FALSE)+VLOOKUP(F$1,'As Proposed'!$A$6:$BQ$32,'As Proposed'!$BB$5,FALSE)+VLOOKUP(F$1,'As Proposed'!$A$6:$BQ$32,'As Proposed'!$BC$5,FALSE)</f>
        <v>278558144</v>
      </c>
      <c r="I65" s="107">
        <f>VLOOKUP(G$1,'As Proposed'!$A$6:$BQ$32,'As Proposed'!$AU$5,FALSE)+VLOOKUP(G$1,'As Proposed'!$A$6:$BQ$32,'As Proposed'!$AW$5,FALSE)+VLOOKUP(G$1,'As Proposed'!$A$6:$BQ$32,'As Proposed'!$AX$5,FALSE)+VLOOKUP(G$1,'As Proposed'!$A$6:$BQ$32,'As Proposed'!$BB$5,FALSE)+VLOOKUP(G$1,'As Proposed'!$A$6:$BQ$32,'As Proposed'!$BC$5,FALSE)</f>
        <v>266609165</v>
      </c>
      <c r="J65" s="107">
        <f>VLOOKUP(H$1,'As Proposed'!$A$6:$BQ$32,'As Proposed'!$AU$5,FALSE)+VLOOKUP(H$1,'As Proposed'!$A$6:$BQ$32,'As Proposed'!$AW$5,FALSE)+VLOOKUP(H$1,'As Proposed'!$A$6:$BQ$32,'As Proposed'!$AX$5,FALSE)+VLOOKUP(H$1,'As Proposed'!$A$6:$BQ$32,'As Proposed'!$BB$5,FALSE)+VLOOKUP(H$1,'As Proposed'!$A$6:$BQ$32,'As Proposed'!$BC$5,FALSE)</f>
        <v>211477643</v>
      </c>
      <c r="K65" s="107">
        <f>VLOOKUP(I$1,'As Proposed'!$A$6:$BQ$32,'As Proposed'!$AU$5,FALSE)+VLOOKUP(I$1,'As Proposed'!$A$6:$BQ$32,'As Proposed'!$AW$5,FALSE)+VLOOKUP(I$1,'As Proposed'!$A$6:$BQ$32,'As Proposed'!$AX$5,FALSE)+VLOOKUP(I$1,'As Proposed'!$A$6:$BQ$32,'As Proposed'!$BB$5,FALSE)+VLOOKUP(I$1,'As Proposed'!$A$6:$BQ$32,'As Proposed'!$BC$5,FALSE)</f>
        <v>213658418</v>
      </c>
      <c r="L65" s="107">
        <f>VLOOKUP(J$1,'As Proposed'!$A$6:$BQ$32,'As Proposed'!$AU$5,FALSE)+VLOOKUP(J$1,'As Proposed'!$A$6:$BQ$32,'As Proposed'!$AW$5,FALSE)+VLOOKUP(J$1,'As Proposed'!$A$6:$BQ$32,'As Proposed'!$AX$5,FALSE)+VLOOKUP(J$1,'As Proposed'!$A$6:$BQ$32,'As Proposed'!$BB$5,FALSE)+VLOOKUP(J$1,'As Proposed'!$A$6:$BQ$32,'As Proposed'!$BC$5,FALSE)</f>
        <v>225131058</v>
      </c>
      <c r="M65" s="107">
        <f>VLOOKUP(K$1,'As Proposed'!$A$6:$BQ$32,'As Proposed'!$AU$5,FALSE)+VLOOKUP(K$1,'As Proposed'!$A$6:$BQ$32,'As Proposed'!$AW$5,FALSE)+VLOOKUP(K$1,'As Proposed'!$A$6:$BQ$32,'As Proposed'!$AX$5,FALSE)+VLOOKUP(K$1,'As Proposed'!$A$6:$BQ$32,'As Proposed'!$BB$5,FALSE)+VLOOKUP(K$1,'As Proposed'!$A$6:$BQ$32,'As Proposed'!$BC$5,FALSE)</f>
        <v>258756068</v>
      </c>
      <c r="N65" s="107">
        <f>VLOOKUP(L$1,'As Proposed'!$A$6:$BQ$32,'As Proposed'!$AU$5,FALSE)+VLOOKUP(L$1,'As Proposed'!$A$6:$BQ$32,'As Proposed'!$AW$5,FALSE)+VLOOKUP(L$1,'As Proposed'!$A$6:$BQ$32,'As Proposed'!$AX$5,FALSE)+VLOOKUP(L$1,'As Proposed'!$A$6:$BQ$32,'As Proposed'!$BB$5,FALSE)+VLOOKUP(L$1,'As Proposed'!$A$6:$BQ$32,'As Proposed'!$BC$5,FALSE)</f>
        <v>282098142</v>
      </c>
    </row>
    <row r="66" spans="1:14">
      <c r="A66" s="85"/>
      <c r="B66" s="86" t="s">
        <v>149</v>
      </c>
      <c r="C66" s="88">
        <f t="shared" ref="C66:N66" si="26">C64-C65</f>
        <v>1325139394</v>
      </c>
      <c r="D66" s="88">
        <f t="shared" si="26"/>
        <v>1415699081</v>
      </c>
      <c r="E66" s="88">
        <f t="shared" si="26"/>
        <v>1274374946</v>
      </c>
      <c r="F66" s="88">
        <f t="shared" si="26"/>
        <v>1340475345</v>
      </c>
      <c r="G66" s="88">
        <f t="shared" si="26"/>
        <v>1522154649</v>
      </c>
      <c r="H66" s="88">
        <f t="shared" si="26"/>
        <v>1732223751</v>
      </c>
      <c r="I66" s="88">
        <f t="shared" si="26"/>
        <v>1702824385</v>
      </c>
      <c r="J66" s="88">
        <f t="shared" si="26"/>
        <v>1345100362</v>
      </c>
      <c r="K66" s="88">
        <f t="shared" si="26"/>
        <v>1358970657</v>
      </c>
      <c r="L66" s="88">
        <f t="shared" si="26"/>
        <v>1396308562</v>
      </c>
      <c r="M66" s="88">
        <f t="shared" si="26"/>
        <v>1575456865</v>
      </c>
      <c r="N66" s="88">
        <f t="shared" si="26"/>
        <v>1709406327</v>
      </c>
    </row>
    <row r="67" spans="1:14">
      <c r="A67" s="85"/>
      <c r="B67" s="86" t="s">
        <v>150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</row>
    <row r="68" spans="1:14">
      <c r="A68" s="85"/>
      <c r="B68" s="86" t="s">
        <v>151</v>
      </c>
      <c r="C68" s="87">
        <f t="shared" ref="C68:N68" si="27">IF(C67=0,ROUND(C66*C61,0),ROUND(C66*C67,0))</f>
        <v>-397542</v>
      </c>
      <c r="D68" s="87">
        <f t="shared" si="27"/>
        <v>-835262</v>
      </c>
      <c r="E68" s="87">
        <f t="shared" si="27"/>
        <v>713650</v>
      </c>
      <c r="F68" s="87">
        <f t="shared" si="27"/>
        <v>2225189</v>
      </c>
      <c r="G68" s="87">
        <f t="shared" si="27"/>
        <v>1917915</v>
      </c>
      <c r="H68" s="87">
        <f t="shared" si="27"/>
        <v>5716338</v>
      </c>
      <c r="I68" s="87">
        <f t="shared" si="27"/>
        <v>4325174</v>
      </c>
      <c r="J68" s="87">
        <f t="shared" si="27"/>
        <v>2448083</v>
      </c>
      <c r="K68" s="87">
        <f t="shared" si="27"/>
        <v>-2649993</v>
      </c>
      <c r="L68" s="87">
        <f t="shared" si="27"/>
        <v>-600413</v>
      </c>
      <c r="M68" s="87">
        <f t="shared" si="27"/>
        <v>-425373</v>
      </c>
      <c r="N68" s="87">
        <f>IF(N67=0,ROUND(N66*N61,0),ROUND(N66*N67,0))</f>
        <v>-51282</v>
      </c>
    </row>
    <row r="69" spans="1:14">
      <c r="A69" s="85"/>
      <c r="B69" s="86" t="s">
        <v>152</v>
      </c>
      <c r="C69" s="97">
        <f t="shared" ref="C69:N69" si="28">C63-C68</f>
        <v>-16447</v>
      </c>
      <c r="D69" s="97">
        <f t="shared" si="28"/>
        <v>70419</v>
      </c>
      <c r="E69" s="97">
        <f t="shared" si="28"/>
        <v>140709</v>
      </c>
      <c r="F69" s="97">
        <f t="shared" si="28"/>
        <v>425857</v>
      </c>
      <c r="G69" s="97">
        <f t="shared" si="28"/>
        <v>295747</v>
      </c>
      <c r="H69" s="97">
        <f t="shared" si="28"/>
        <v>-376312</v>
      </c>
      <c r="I69" s="97">
        <f t="shared" si="28"/>
        <v>-617638</v>
      </c>
      <c r="J69" s="97">
        <f t="shared" si="28"/>
        <v>-160851</v>
      </c>
      <c r="K69" s="97">
        <f t="shared" si="28"/>
        <v>-232545</v>
      </c>
      <c r="L69" s="97">
        <f t="shared" si="28"/>
        <v>-93090</v>
      </c>
      <c r="M69" s="97">
        <f t="shared" si="28"/>
        <v>-34612</v>
      </c>
      <c r="N69" s="97">
        <f t="shared" si="28"/>
        <v>7141</v>
      </c>
    </row>
    <row r="70" spans="1:14">
      <c r="A70" s="85"/>
      <c r="B70" s="86" t="s">
        <v>153</v>
      </c>
      <c r="C70" s="88">
        <f t="shared" ref="C70:N70" si="29">C52</f>
        <v>1477781808</v>
      </c>
      <c r="D70" s="88">
        <f t="shared" si="29"/>
        <v>1559756683</v>
      </c>
      <c r="E70" s="88">
        <f t="shared" si="29"/>
        <v>1765193074</v>
      </c>
      <c r="F70" s="88">
        <f t="shared" si="29"/>
        <v>2010781895</v>
      </c>
      <c r="G70" s="88">
        <f t="shared" si="29"/>
        <v>1969433550</v>
      </c>
      <c r="H70" s="88">
        <f t="shared" si="29"/>
        <v>1556578005</v>
      </c>
      <c r="I70" s="88">
        <f t="shared" si="29"/>
        <v>1572629075</v>
      </c>
      <c r="J70" s="88">
        <f t="shared" si="29"/>
        <v>1621439620</v>
      </c>
      <c r="K70" s="88">
        <f t="shared" si="29"/>
        <v>1834212933</v>
      </c>
      <c r="L70" s="88">
        <f t="shared" si="29"/>
        <v>1991504469</v>
      </c>
      <c r="M70" s="88">
        <f t="shared" si="29"/>
        <v>1788356290</v>
      </c>
      <c r="N70" s="88">
        <f t="shared" si="29"/>
        <v>1620768969</v>
      </c>
    </row>
    <row r="71" spans="1:14">
      <c r="A71" s="85"/>
      <c r="B71" s="86" t="s">
        <v>149</v>
      </c>
      <c r="C71" s="88">
        <f>C70-VLOOKUP(C$1,'As Proposed'!$A$6:$BQ$32,'As Proposed'!$AU$5,FALSE)-VLOOKUP(C$1,'As Proposed'!$A$6:$BQ$32,'As Proposed'!$AW$5,FALSE)-VLOOKUP(C$1,'As Proposed'!$A$6:$BQ$32,'As Proposed'!$AX$5,FALSE)-VLOOKUP(C$1,'As Proposed'!$A$6:$BQ$32,'As Proposed'!$BB$5,FALSE)-VLOOKUP(C$1,'As Proposed'!$A$6:$BQ$32,'As Proposed'!$BC$5,FALSE)</f>
        <v>1274374946</v>
      </c>
      <c r="D71" s="88">
        <f>D70-VLOOKUP(D$1,'As Proposed'!$A$6:$BQ$32,'As Proposed'!$AU$5,FALSE)-VLOOKUP(D$1,'As Proposed'!$A$6:$BQ$32,'As Proposed'!$AW$5,FALSE)-VLOOKUP(D$1,'As Proposed'!$A$6:$BQ$32,'As Proposed'!$AX$5,FALSE)-VLOOKUP(D$1,'As Proposed'!$A$6:$BQ$32,'As Proposed'!$BB$5,FALSE)-VLOOKUP(D$1,'As Proposed'!$A$6:$BQ$32,'As Proposed'!$BC$5,FALSE)</f>
        <v>1340475345</v>
      </c>
      <c r="E71" s="88">
        <f>E70-VLOOKUP(E$1,'As Proposed'!$A$6:$BQ$32,'As Proposed'!$AU$5,FALSE)-VLOOKUP(E$1,'As Proposed'!$A$6:$BQ$32,'As Proposed'!$AW$5,FALSE)-VLOOKUP(E$1,'As Proposed'!$A$6:$BQ$32,'As Proposed'!$AX$5,FALSE)-VLOOKUP(E$1,'As Proposed'!$A$6:$BQ$32,'As Proposed'!$BB$5,FALSE)-VLOOKUP(E$1,'As Proposed'!$A$6:$BQ$32,'As Proposed'!$BC$5,FALSE)</f>
        <v>1522154649</v>
      </c>
      <c r="F71" s="88">
        <f>F70-VLOOKUP(F$1,'As Proposed'!$A$6:$BQ$32,'As Proposed'!$AU$5,FALSE)-VLOOKUP(F$1,'As Proposed'!$A$6:$BQ$32,'As Proposed'!$AW$5,FALSE)-VLOOKUP(F$1,'As Proposed'!$A$6:$BQ$32,'As Proposed'!$AX$5,FALSE)-VLOOKUP(F$1,'As Proposed'!$A$6:$BQ$32,'As Proposed'!$BB$5,FALSE)-VLOOKUP(F$1,'As Proposed'!$A$6:$BQ$32,'As Proposed'!$BC$5,FALSE)</f>
        <v>1732223751</v>
      </c>
      <c r="G71" s="88">
        <f>G70-VLOOKUP(G$1,'As Proposed'!$A$6:$BQ$32,'As Proposed'!$AU$5,FALSE)-VLOOKUP(G$1,'As Proposed'!$A$6:$BQ$32,'As Proposed'!$AW$5,FALSE)-VLOOKUP(G$1,'As Proposed'!$A$6:$BQ$32,'As Proposed'!$AX$5,FALSE)-VLOOKUP(G$1,'As Proposed'!$A$6:$BQ$32,'As Proposed'!$BB$5,FALSE)-VLOOKUP(G$1,'As Proposed'!$A$6:$BQ$32,'As Proposed'!$BC$5,FALSE)</f>
        <v>1702824385</v>
      </c>
      <c r="H71" s="88">
        <f>H70-VLOOKUP(H$1,'As Proposed'!$A$6:$BQ$32,'As Proposed'!$AU$5,FALSE)-VLOOKUP(H$1,'As Proposed'!$A$6:$BQ$32,'As Proposed'!$AW$5,FALSE)-VLOOKUP(H$1,'As Proposed'!$A$6:$BQ$32,'As Proposed'!$AX$5,FALSE)-VLOOKUP(H$1,'As Proposed'!$A$6:$BQ$32,'As Proposed'!$BB$5,FALSE)-VLOOKUP(H$1,'As Proposed'!$A$6:$BQ$32,'As Proposed'!$BC$5,FALSE)</f>
        <v>1345100362</v>
      </c>
      <c r="I71" s="88">
        <f>I70-VLOOKUP(I$1,'As Proposed'!$A$6:$BQ$32,'As Proposed'!$AU$5,FALSE)-VLOOKUP(I$1,'As Proposed'!$A$6:$BQ$32,'As Proposed'!$AW$5,FALSE)-VLOOKUP(I$1,'As Proposed'!$A$6:$BQ$32,'As Proposed'!$AX$5,FALSE)-VLOOKUP(I$1,'As Proposed'!$A$6:$BQ$32,'As Proposed'!$BB$5,FALSE)-VLOOKUP(I$1,'As Proposed'!$A$6:$BQ$32,'As Proposed'!$BC$5,FALSE)</f>
        <v>1358970657</v>
      </c>
      <c r="J71" s="88">
        <f>J70-VLOOKUP(J$1,'As Proposed'!$A$6:$BQ$32,'As Proposed'!$AU$5,FALSE)-VLOOKUP(J$1,'As Proposed'!$A$6:$BQ$32,'As Proposed'!$AW$5,FALSE)-VLOOKUP(J$1,'As Proposed'!$A$6:$BQ$32,'As Proposed'!$AX$5,FALSE)-VLOOKUP(J$1,'As Proposed'!$A$6:$BQ$32,'As Proposed'!$BB$5,FALSE)-VLOOKUP(J$1,'As Proposed'!$A$6:$BQ$32,'As Proposed'!$BC$5,FALSE)</f>
        <v>1396308562</v>
      </c>
      <c r="K71" s="88">
        <f>K70-VLOOKUP(K$1,'As Proposed'!$A$6:$BQ$32,'As Proposed'!$AU$5,FALSE)-VLOOKUP(K$1,'As Proposed'!$A$6:$BQ$32,'As Proposed'!$AW$5,FALSE)-VLOOKUP(K$1,'As Proposed'!$A$6:$BQ$32,'As Proposed'!$AX$5,FALSE)-VLOOKUP(K$1,'As Proposed'!$A$6:$BQ$32,'As Proposed'!$BB$5,FALSE)-VLOOKUP(K$1,'As Proposed'!$A$6:$BQ$32,'As Proposed'!$BC$5,FALSE)</f>
        <v>1575456865</v>
      </c>
      <c r="L71" s="88">
        <f>L70-VLOOKUP(L$1,'As Proposed'!$A$6:$BQ$32,'As Proposed'!$AU$5,FALSE)-VLOOKUP(L$1,'As Proposed'!$A$6:$BQ$32,'As Proposed'!$AW$5,FALSE)-VLOOKUP(L$1,'As Proposed'!$A$6:$BQ$32,'As Proposed'!$AX$5,FALSE)-VLOOKUP(L$1,'As Proposed'!$A$6:$BQ$32,'As Proposed'!$BB$5,FALSE)-VLOOKUP(L$1,'As Proposed'!$A$6:$BQ$32,'As Proposed'!$BC$5,FALSE)</f>
        <v>1709406327</v>
      </c>
      <c r="M71" s="88">
        <f>M70-VLOOKUP(M$1,'As Proposed'!$A$6:$BQ$32,'As Proposed'!$AU$5,FALSE)-VLOOKUP(M$1,'As Proposed'!$A$6:$BQ$32,'As Proposed'!$AW$5,FALSE)-VLOOKUP(M$1,'As Proposed'!$A$6:$BQ$32,'As Proposed'!$AX$5,FALSE)-VLOOKUP(M$1,'As Proposed'!$A$6:$BQ$32,'As Proposed'!$BB$5,FALSE)-VLOOKUP(M$1,'As Proposed'!$A$6:$BQ$32,'As Proposed'!$BC$5,FALSE)</f>
        <v>1539185173</v>
      </c>
      <c r="N71" s="88">
        <f>N70-VLOOKUP(N$1,'As Proposed'!$A$6:$BQ$32,'As Proposed'!$AU$5,FALSE)-VLOOKUP(N$1,'As Proposed'!$A$6:$BQ$32,'As Proposed'!$AW$5,FALSE)-VLOOKUP(N$1,'As Proposed'!$A$6:$BQ$32,'As Proposed'!$AX$5,FALSE)-VLOOKUP(N$1,'As Proposed'!$A$6:$BQ$32,'As Proposed'!$BB$5,FALSE)-VLOOKUP(N$1,'As Proposed'!$A$6:$BQ$32,'As Proposed'!$BC$5,FALSE)</f>
        <v>1402757286</v>
      </c>
    </row>
    <row r="72" spans="1:14">
      <c r="A72" s="85"/>
      <c r="B72" s="86" t="s">
        <v>154</v>
      </c>
      <c r="C72" s="89">
        <f t="shared" ref="C72:N72" si="30">ROUND(C70/C71,8)</f>
        <v>1.15961304</v>
      </c>
      <c r="D72" s="89">
        <f t="shared" si="30"/>
        <v>1.16358476</v>
      </c>
      <c r="E72" s="89">
        <f t="shared" si="30"/>
        <v>1.15966737</v>
      </c>
      <c r="F72" s="89">
        <f t="shared" si="30"/>
        <v>1.1608095599999999</v>
      </c>
      <c r="G72" s="89">
        <f t="shared" si="30"/>
        <v>1.1565688000000001</v>
      </c>
      <c r="H72" s="89">
        <f t="shared" si="30"/>
        <v>1.15722072</v>
      </c>
      <c r="I72" s="89">
        <f t="shared" si="30"/>
        <v>1.1572207699999999</v>
      </c>
      <c r="J72" s="89">
        <f t="shared" si="30"/>
        <v>1.16123303</v>
      </c>
      <c r="K72" s="89">
        <f t="shared" si="30"/>
        <v>1.16424192</v>
      </c>
      <c r="L72" s="89">
        <f t="shared" si="30"/>
        <v>1.16502697</v>
      </c>
      <c r="M72" s="89">
        <f t="shared" si="30"/>
        <v>1.16188508</v>
      </c>
      <c r="N72" s="89">
        <f t="shared" si="30"/>
        <v>1.15541654</v>
      </c>
    </row>
    <row r="73" spans="1:14">
      <c r="A73" s="92"/>
      <c r="B73" s="93" t="s">
        <v>155</v>
      </c>
      <c r="C73" s="104">
        <f t="shared" ref="C73:N73" si="31">ROUND(C69*C72,0)</f>
        <v>-19072</v>
      </c>
      <c r="D73" s="104">
        <f t="shared" si="31"/>
        <v>81938</v>
      </c>
      <c r="E73" s="104">
        <f t="shared" si="31"/>
        <v>163176</v>
      </c>
      <c r="F73" s="104">
        <f t="shared" si="31"/>
        <v>494339</v>
      </c>
      <c r="G73" s="104">
        <f t="shared" si="31"/>
        <v>342052</v>
      </c>
      <c r="H73" s="104">
        <f t="shared" si="31"/>
        <v>-435476</v>
      </c>
      <c r="I73" s="104">
        <f t="shared" si="31"/>
        <v>-714744</v>
      </c>
      <c r="J73" s="104">
        <f t="shared" si="31"/>
        <v>-186785</v>
      </c>
      <c r="K73" s="104">
        <f t="shared" si="31"/>
        <v>-270739</v>
      </c>
      <c r="L73" s="104">
        <f t="shared" si="31"/>
        <v>-108452</v>
      </c>
      <c r="M73" s="104">
        <f t="shared" si="31"/>
        <v>-40215</v>
      </c>
      <c r="N73" s="104">
        <f t="shared" si="31"/>
        <v>8251</v>
      </c>
    </row>
    <row r="76" spans="1:14">
      <c r="A76" s="105"/>
    </row>
    <row r="94" spans="6:6">
      <c r="F94" s="80">
        <f>VLOOKUP(F$1,'As Proposed'!$A$6:$BQ$32,'As Proposed'!$O$5,FALSE)</f>
        <v>6672928.0300000003</v>
      </c>
    </row>
    <row r="95" spans="6:6">
      <c r="F95" s="80">
        <f>VLOOKUP(F$1,'As Proposed'!$A$6:$BQ$32,'As Proposed'!$P$5,FALSE)</f>
        <v>3775334.39</v>
      </c>
    </row>
    <row r="96" spans="6:6">
      <c r="F96" s="80">
        <f>VLOOKUP(F$1,'As Proposed'!$A$6:$BQ$32,'As Proposed'!$Q$5,FALSE)</f>
        <v>281308.2</v>
      </c>
    </row>
    <row r="97" spans="6:6">
      <c r="F97" s="108">
        <f>VLOOKUP(F$1,'As Proposed'!$A$6:$BQ$32,'As Proposed'!$R$5,FALSE)--VLOOKUP(F$1,'As Proposed'!$A$6:$BQ$32,'As Proposed'!$U$5,FALSE)</f>
        <v>172252.63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97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C7" sqref="C7:N9"/>
    </sheetView>
  </sheetViews>
  <sheetFormatPr defaultRowHeight="12.75"/>
  <cols>
    <col min="1" max="1" width="9.140625" style="80"/>
    <col min="2" max="14" width="18.7109375" style="80" customWidth="1"/>
    <col min="15" max="16384" width="9.140625" style="80"/>
  </cols>
  <sheetData>
    <row r="1" spans="1:14">
      <c r="C1" s="81">
        <v>40634</v>
      </c>
      <c r="D1" s="81">
        <f>EOMONTH(C1,0)+1</f>
        <v>40664</v>
      </c>
      <c r="E1" s="81">
        <f t="shared" ref="E1:N1" si="0">EOMONTH(D1,0)+1</f>
        <v>40695</v>
      </c>
      <c r="F1" s="81">
        <f t="shared" si="0"/>
        <v>40725</v>
      </c>
      <c r="G1" s="81">
        <f t="shared" si="0"/>
        <v>40756</v>
      </c>
      <c r="H1" s="81">
        <f t="shared" si="0"/>
        <v>40787</v>
      </c>
      <c r="I1" s="81">
        <f t="shared" si="0"/>
        <v>40817</v>
      </c>
      <c r="J1" s="81">
        <f t="shared" si="0"/>
        <v>40848</v>
      </c>
      <c r="K1" s="81">
        <f t="shared" si="0"/>
        <v>40878</v>
      </c>
      <c r="L1" s="81">
        <f t="shared" si="0"/>
        <v>40909</v>
      </c>
      <c r="M1" s="81">
        <f t="shared" si="0"/>
        <v>40940</v>
      </c>
      <c r="N1" s="81">
        <f t="shared" si="0"/>
        <v>40969</v>
      </c>
    </row>
    <row r="3" spans="1:14">
      <c r="A3" s="82" t="s">
        <v>108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>
      <c r="A4" s="85" t="s">
        <v>109</v>
      </c>
      <c r="B4" s="86" t="s">
        <v>110</v>
      </c>
      <c r="C4" s="87">
        <f t="shared" ref="C4:N4" si="1">C$37</f>
        <v>47878</v>
      </c>
      <c r="D4" s="87">
        <f t="shared" si="1"/>
        <v>26759</v>
      </c>
      <c r="E4" s="87">
        <f t="shared" si="1"/>
        <v>-3394</v>
      </c>
      <c r="F4" s="87">
        <f t="shared" si="1"/>
        <v>-3852</v>
      </c>
      <c r="G4" s="87">
        <f t="shared" si="1"/>
        <v>-2516</v>
      </c>
      <c r="H4" s="87">
        <f t="shared" si="1"/>
        <v>-2806</v>
      </c>
      <c r="I4" s="87">
        <f t="shared" si="1"/>
        <v>-2608</v>
      </c>
      <c r="J4" s="87">
        <f t="shared" si="1"/>
        <v>-2157</v>
      </c>
      <c r="K4" s="87">
        <f t="shared" si="1"/>
        <v>-1393</v>
      </c>
      <c r="L4" s="87">
        <f t="shared" si="1"/>
        <v>-1063</v>
      </c>
      <c r="M4" s="87">
        <f t="shared" si="1"/>
        <v>-476</v>
      </c>
      <c r="N4" s="87">
        <f t="shared" si="1"/>
        <v>-409</v>
      </c>
    </row>
    <row r="5" spans="1:14">
      <c r="A5" s="85" t="s">
        <v>111</v>
      </c>
      <c r="B5" s="86" t="s">
        <v>112</v>
      </c>
      <c r="C5" s="88">
        <f t="shared" ref="C5:N5" si="2">C$52</f>
        <v>-12570264</v>
      </c>
      <c r="D5" s="88">
        <f t="shared" si="2"/>
        <v>-13757946</v>
      </c>
      <c r="E5" s="88">
        <f t="shared" si="2"/>
        <v>-13975940</v>
      </c>
      <c r="F5" s="88">
        <f t="shared" si="2"/>
        <v>-15588723</v>
      </c>
      <c r="G5" s="88">
        <f t="shared" si="2"/>
        <v>-14488482</v>
      </c>
      <c r="H5" s="88">
        <f t="shared" si="2"/>
        <v>-11351081</v>
      </c>
      <c r="I5" s="88">
        <f t="shared" si="2"/>
        <v>-9288936</v>
      </c>
      <c r="J5" s="88">
        <f t="shared" si="2"/>
        <v>-8175575</v>
      </c>
      <c r="K5" s="88">
        <f t="shared" si="2"/>
        <v>-5945056</v>
      </c>
      <c r="L5" s="88">
        <f t="shared" si="2"/>
        <v>-5844615</v>
      </c>
      <c r="M5" s="88">
        <f t="shared" si="2"/>
        <v>-5361203</v>
      </c>
      <c r="N5" s="88">
        <f t="shared" si="2"/>
        <v>-4771713</v>
      </c>
    </row>
    <row r="6" spans="1:14">
      <c r="A6" s="85"/>
      <c r="B6" s="86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>
      <c r="A7" s="85"/>
      <c r="B7" s="86"/>
      <c r="C7" s="90">
        <f>'Form A As Proposed'!C7-'Form A As Filed'!C7</f>
        <v>2.6999999999999941E-4</v>
      </c>
      <c r="D7" s="90">
        <f>'Form A As Proposed'!D7-'Form A As Filed'!D7</f>
        <v>2.79999999999999E-4</v>
      </c>
      <c r="E7" s="90">
        <f>'Form A As Proposed'!E7-'Form A As Filed'!E7</f>
        <v>1.799999999999996E-4</v>
      </c>
      <c r="F7" s="90">
        <f>'Form A As Proposed'!F7-'Form A As Filed'!F7</f>
        <v>1.799999999999996E-4</v>
      </c>
      <c r="G7" s="90">
        <f>'Form A As Proposed'!G7-'Form A As Filed'!G7</f>
        <v>1.799999999999996E-4</v>
      </c>
      <c r="H7" s="90">
        <f>'Form A As Proposed'!H7-'Form A As Filed'!H7</f>
        <v>1.9000000000000267E-4</v>
      </c>
      <c r="I7" s="90">
        <f>'Form A As Proposed'!I7-'Form A As Filed'!I7</f>
        <v>1.4999999999999736E-4</v>
      </c>
      <c r="J7" s="90">
        <f>'Form A As Proposed'!J7-'Form A As Filed'!J7</f>
        <v>1.2999999999999817E-4</v>
      </c>
      <c r="K7" s="90">
        <f>'Form A As Proposed'!K7-'Form A As Filed'!K7</f>
        <v>8.000000000000021E-5</v>
      </c>
      <c r="L7" s="90">
        <f>'Form A As Proposed'!L7-'Form A As Filed'!L7</f>
        <v>7.0000000000000617E-5</v>
      </c>
      <c r="M7" s="90">
        <f>'Form A As Proposed'!M7-'Form A As Filed'!M7</f>
        <v>6.9999999999997148E-5</v>
      </c>
      <c r="N7" s="90">
        <f>'Form A As Proposed'!N7-'Form A As Filed'!N7</f>
        <v>8.9999999999999802E-5</v>
      </c>
    </row>
    <row r="8" spans="1:14">
      <c r="A8" s="85" t="s">
        <v>113</v>
      </c>
      <c r="B8" s="86"/>
      <c r="C8" s="90">
        <f>'Form A As Proposed'!C8-'Form A As Filed'!C8</f>
        <v>0</v>
      </c>
      <c r="D8" s="90">
        <f>'Form A As Proposed'!D8-'Form A As Filed'!D8</f>
        <v>0</v>
      </c>
      <c r="E8" s="90">
        <f>'Form A As Proposed'!E8-'Form A As Filed'!E8</f>
        <v>0</v>
      </c>
      <c r="F8" s="90">
        <f>'Form A As Proposed'!F8-'Form A As Filed'!F8</f>
        <v>0</v>
      </c>
      <c r="G8" s="90">
        <f>'Form A As Proposed'!G8-'Form A As Filed'!G8</f>
        <v>0</v>
      </c>
      <c r="H8" s="90">
        <f>'Form A As Proposed'!H8-'Form A As Filed'!H8</f>
        <v>0</v>
      </c>
      <c r="I8" s="90">
        <f>'Form A As Proposed'!I8-'Form A As Filed'!I8</f>
        <v>0</v>
      </c>
      <c r="J8" s="90">
        <f>'Form A As Proposed'!J8-'Form A As Filed'!J8</f>
        <v>0</v>
      </c>
      <c r="K8" s="90">
        <f>'Form A As Proposed'!K8-'Form A As Filed'!K8</f>
        <v>0</v>
      </c>
      <c r="L8" s="90">
        <f>'Form A As Proposed'!L8-'Form A As Filed'!L8</f>
        <v>0</v>
      </c>
      <c r="M8" s="90">
        <f>'Form A As Proposed'!M8-'Form A As Filed'!M8</f>
        <v>0</v>
      </c>
      <c r="N8" s="90">
        <f>'Form A As Proposed'!N8-'Form A As Filed'!N8</f>
        <v>0</v>
      </c>
    </row>
    <row r="9" spans="1:14">
      <c r="A9" s="85" t="s">
        <v>114</v>
      </c>
      <c r="B9" s="86"/>
      <c r="C9" s="90">
        <f>'Form A As Proposed'!C9-'Form A As Filed'!C9</f>
        <v>2.6999999999999941E-4</v>
      </c>
      <c r="D9" s="90">
        <f>'Form A As Proposed'!D9-'Form A As Filed'!D9</f>
        <v>2.79999999999999E-4</v>
      </c>
      <c r="E9" s="90">
        <f>'Form A As Proposed'!E9-'Form A As Filed'!E9</f>
        <v>1.799999999999996E-4</v>
      </c>
      <c r="F9" s="90">
        <f>'Form A As Proposed'!F9-'Form A As Filed'!F9</f>
        <v>1.799999999999996E-4</v>
      </c>
      <c r="G9" s="90">
        <f>'Form A As Proposed'!G9-'Form A As Filed'!G9</f>
        <v>1.799999999999996E-4</v>
      </c>
      <c r="H9" s="90">
        <f>'Form A As Proposed'!H9-'Form A As Filed'!H9</f>
        <v>1.9000000000000267E-4</v>
      </c>
      <c r="I9" s="90">
        <f>'Form A As Proposed'!I9-'Form A As Filed'!I9</f>
        <v>1.4999999999999736E-4</v>
      </c>
      <c r="J9" s="90">
        <f>'Form A As Proposed'!J9-'Form A As Filed'!J9</f>
        <v>1.2999999999999817E-4</v>
      </c>
      <c r="K9" s="90">
        <f>'Form A As Proposed'!K9-'Form A As Filed'!K9</f>
        <v>8.000000000000021E-5</v>
      </c>
      <c r="L9" s="90">
        <f>'Form A As Proposed'!L9-'Form A As Filed'!L9</f>
        <v>7.0000000000000617E-5</v>
      </c>
      <c r="M9" s="90">
        <f>'Form A As Proposed'!M9-'Form A As Filed'!M9</f>
        <v>6.9999999999997148E-5</v>
      </c>
      <c r="N9" s="90">
        <f>'Form A As Proposed'!N9-'Form A As Filed'!N9</f>
        <v>8.9999999999999802E-5</v>
      </c>
    </row>
    <row r="10" spans="1:14">
      <c r="A10" s="92"/>
      <c r="B10" s="93"/>
      <c r="C10" s="94"/>
      <c r="D10" s="94"/>
      <c r="E10" s="94"/>
      <c r="F10" s="94"/>
      <c r="G10" s="94"/>
      <c r="H10" s="94"/>
      <c r="I10" s="103"/>
      <c r="J10" s="103"/>
      <c r="K10" s="103"/>
      <c r="L10" s="103"/>
      <c r="M10" s="103"/>
      <c r="N10" s="103"/>
    </row>
    <row r="11" spans="1:14">
      <c r="A11" s="82" t="s">
        <v>115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1:14">
      <c r="A12" s="85" t="s">
        <v>116</v>
      </c>
      <c r="B12" s="86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spans="1:14">
      <c r="A13" s="85"/>
      <c r="B13" s="86" t="s">
        <v>117</v>
      </c>
      <c r="C13" s="88">
        <f>'Form A As Proposed'!C13-'Form A As Filed'!C13</f>
        <v>0</v>
      </c>
      <c r="D13" s="88">
        <f>'Form A As Proposed'!D13-'Form A As Filed'!D13</f>
        <v>0</v>
      </c>
      <c r="E13" s="88">
        <f>'Form A As Proposed'!E13-'Form A As Filed'!E13</f>
        <v>0</v>
      </c>
      <c r="F13" s="88">
        <f>'Form A As Proposed'!F13-'Form A As Filed'!F13</f>
        <v>0</v>
      </c>
      <c r="G13" s="88">
        <f>'Form A As Proposed'!G13-'Form A As Filed'!G13</f>
        <v>0</v>
      </c>
      <c r="H13" s="88">
        <f>'Form A As Proposed'!H13-'Form A As Filed'!H13</f>
        <v>0</v>
      </c>
      <c r="I13" s="88">
        <f>'Form A As Proposed'!I13-'Form A As Filed'!I13</f>
        <v>0</v>
      </c>
      <c r="J13" s="88">
        <f>'Form A As Proposed'!J13-'Form A As Filed'!J13</f>
        <v>0</v>
      </c>
      <c r="K13" s="88">
        <f>'Form A As Proposed'!K13-'Form A As Filed'!K13</f>
        <v>0</v>
      </c>
      <c r="L13" s="88">
        <f>'Form A As Proposed'!L13-'Form A As Filed'!L13</f>
        <v>0</v>
      </c>
      <c r="M13" s="88">
        <f>'Form A As Proposed'!M13-'Form A As Filed'!M13</f>
        <v>0</v>
      </c>
      <c r="N13" s="88">
        <f>'Form A As Proposed'!N13-'Form A As Filed'!N13</f>
        <v>0</v>
      </c>
    </row>
    <row r="14" spans="1:14">
      <c r="A14" s="85"/>
      <c r="B14" s="86" t="s">
        <v>118</v>
      </c>
      <c r="C14" s="88">
        <f>'Form A As Proposed'!C14-'Form A As Filed'!C14</f>
        <v>0</v>
      </c>
      <c r="D14" s="88">
        <f>'Form A As Proposed'!D14-'Form A As Filed'!D14</f>
        <v>0</v>
      </c>
      <c r="E14" s="88">
        <f>'Form A As Proposed'!E14-'Form A As Filed'!E14</f>
        <v>0</v>
      </c>
      <c r="F14" s="88">
        <f>'Form A As Proposed'!F14-'Form A As Filed'!F14</f>
        <v>0</v>
      </c>
      <c r="G14" s="88">
        <f>'Form A As Proposed'!G14-'Form A As Filed'!G14</f>
        <v>0</v>
      </c>
      <c r="H14" s="88">
        <f>'Form A As Proposed'!H14-'Form A As Filed'!H14</f>
        <v>0</v>
      </c>
      <c r="I14" s="88">
        <f>'Form A As Proposed'!I14-'Form A As Filed'!I14</f>
        <v>0</v>
      </c>
      <c r="J14" s="88">
        <f>'Form A As Proposed'!J14-'Form A As Filed'!J14</f>
        <v>0</v>
      </c>
      <c r="K14" s="88">
        <f>'Form A As Proposed'!K14-'Form A As Filed'!K14</f>
        <v>0</v>
      </c>
      <c r="L14" s="88">
        <f>'Form A As Proposed'!L14-'Form A As Filed'!L14</f>
        <v>0</v>
      </c>
      <c r="M14" s="88">
        <f>'Form A As Proposed'!M14-'Form A As Filed'!M14</f>
        <v>0</v>
      </c>
      <c r="N14" s="88">
        <f>'Form A As Proposed'!N14-'Form A As Filed'!N14</f>
        <v>0</v>
      </c>
    </row>
    <row r="15" spans="1:14">
      <c r="A15" s="85"/>
      <c r="B15" s="86" t="s">
        <v>119</v>
      </c>
      <c r="C15" s="88">
        <f>'Form A As Proposed'!C15-'Form A As Filed'!C15</f>
        <v>0</v>
      </c>
      <c r="D15" s="88">
        <f>'Form A As Proposed'!D15-'Form A As Filed'!D15</f>
        <v>0</v>
      </c>
      <c r="E15" s="88">
        <f>'Form A As Proposed'!E15-'Form A As Filed'!E15</f>
        <v>0</v>
      </c>
      <c r="F15" s="88">
        <f>'Form A As Proposed'!F15-'Form A As Filed'!F15</f>
        <v>0</v>
      </c>
      <c r="G15" s="88">
        <f>'Form A As Proposed'!G15-'Form A As Filed'!G15</f>
        <v>0</v>
      </c>
      <c r="H15" s="88">
        <f>'Form A As Proposed'!H15-'Form A As Filed'!H15</f>
        <v>0</v>
      </c>
      <c r="I15" s="88">
        <f>'Form A As Proposed'!I15-'Form A As Filed'!I15</f>
        <v>0</v>
      </c>
      <c r="J15" s="88">
        <f>'Form A As Proposed'!J15-'Form A As Filed'!J15</f>
        <v>0</v>
      </c>
      <c r="K15" s="88">
        <f>'Form A As Proposed'!K15-'Form A As Filed'!K15</f>
        <v>0</v>
      </c>
      <c r="L15" s="88">
        <f>'Form A As Proposed'!L15-'Form A As Filed'!L15</f>
        <v>0</v>
      </c>
      <c r="M15" s="88">
        <f>'Form A As Proposed'!M15-'Form A As Filed'!M15</f>
        <v>0</v>
      </c>
      <c r="N15" s="88">
        <f>'Form A As Proposed'!N15-'Form A As Filed'!N15</f>
        <v>0</v>
      </c>
    </row>
    <row r="16" spans="1:14">
      <c r="A16" s="85"/>
      <c r="B16" s="86" t="s">
        <v>120</v>
      </c>
      <c r="C16" s="88">
        <f>'Form A As Proposed'!C16-'Form A As Filed'!C16</f>
        <v>0</v>
      </c>
      <c r="D16" s="88">
        <f>'Form A As Proposed'!D16-'Form A As Filed'!D16</f>
        <v>0</v>
      </c>
      <c r="E16" s="88">
        <f>'Form A As Proposed'!E16-'Form A As Filed'!E16</f>
        <v>0</v>
      </c>
      <c r="F16" s="88">
        <f>'Form A As Proposed'!F16-'Form A As Filed'!F16</f>
        <v>0</v>
      </c>
      <c r="G16" s="88">
        <f>'Form A As Proposed'!G16-'Form A As Filed'!G16</f>
        <v>0</v>
      </c>
      <c r="H16" s="88">
        <f>'Form A As Proposed'!H16-'Form A As Filed'!H16</f>
        <v>0</v>
      </c>
      <c r="I16" s="88">
        <f>'Form A As Proposed'!I16-'Form A As Filed'!I16</f>
        <v>0</v>
      </c>
      <c r="J16" s="88">
        <f>'Form A As Proposed'!J16-'Form A As Filed'!J16</f>
        <v>0</v>
      </c>
      <c r="K16" s="88">
        <f>'Form A As Proposed'!K16-'Form A As Filed'!K16</f>
        <v>0</v>
      </c>
      <c r="L16" s="88">
        <f>'Form A As Proposed'!L16-'Form A As Filed'!L16</f>
        <v>0</v>
      </c>
      <c r="M16" s="88">
        <f>'Form A As Proposed'!M16-'Form A As Filed'!M16</f>
        <v>0</v>
      </c>
      <c r="N16" s="88">
        <f>'Form A As Proposed'!N16-'Form A As Filed'!N16</f>
        <v>0</v>
      </c>
    </row>
    <row r="17" spans="1:14" ht="15">
      <c r="A17" s="85"/>
      <c r="B17" s="86" t="s">
        <v>121</v>
      </c>
      <c r="C17" s="95">
        <f>'Form A As Proposed'!C17-'Form A As Filed'!C17</f>
        <v>0</v>
      </c>
      <c r="D17" s="95">
        <f>'Form A As Proposed'!D17-'Form A As Filed'!D17</f>
        <v>0</v>
      </c>
      <c r="E17" s="95">
        <f>'Form A As Proposed'!E17-'Form A As Filed'!E17</f>
        <v>0</v>
      </c>
      <c r="F17" s="95">
        <f>'Form A As Proposed'!F17-'Form A As Filed'!F17</f>
        <v>0</v>
      </c>
      <c r="G17" s="95">
        <f>'Form A As Proposed'!G17-'Form A As Filed'!G17</f>
        <v>0</v>
      </c>
      <c r="H17" s="95">
        <f>'Form A As Proposed'!H17-'Form A As Filed'!H17</f>
        <v>0</v>
      </c>
      <c r="I17" s="95">
        <f>'Form A As Proposed'!I17-'Form A As Filed'!I17</f>
        <v>0</v>
      </c>
      <c r="J17" s="95">
        <f>'Form A As Proposed'!J17-'Form A As Filed'!J17</f>
        <v>0</v>
      </c>
      <c r="K17" s="95">
        <f>'Form A As Proposed'!K17-'Form A As Filed'!K17</f>
        <v>0</v>
      </c>
      <c r="L17" s="95">
        <f>'Form A As Proposed'!L17-'Form A As Filed'!L17</f>
        <v>0</v>
      </c>
      <c r="M17" s="95">
        <f>'Form A As Proposed'!M17-'Form A As Filed'!M17</f>
        <v>0</v>
      </c>
      <c r="N17" s="95">
        <f>'Form A As Proposed'!N17-'Form A As Filed'!N17</f>
        <v>0</v>
      </c>
    </row>
    <row r="18" spans="1:14">
      <c r="A18" s="85"/>
      <c r="B18" s="86" t="s">
        <v>122</v>
      </c>
      <c r="C18" s="88">
        <f>IF(C17+C22&gt;C16,SUM(C13:C16)-C17, SUM(C13:C15))</f>
        <v>0</v>
      </c>
      <c r="D18" s="88">
        <f t="shared" ref="D18:N18" si="3">IF(D17+D22&gt;D16,SUM(D13:D16)-D17, SUM(D13:D15))</f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88">
        <f t="shared" si="3"/>
        <v>0</v>
      </c>
      <c r="J18" s="88">
        <f t="shared" si="3"/>
        <v>0</v>
      </c>
      <c r="K18" s="88">
        <f t="shared" si="3"/>
        <v>0</v>
      </c>
      <c r="L18" s="88">
        <f t="shared" si="3"/>
        <v>0</v>
      </c>
      <c r="M18" s="88">
        <f t="shared" si="3"/>
        <v>0</v>
      </c>
      <c r="N18" s="88">
        <f t="shared" si="3"/>
        <v>0</v>
      </c>
    </row>
    <row r="19" spans="1:14">
      <c r="A19" s="85"/>
      <c r="B19" s="86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>
      <c r="A20" s="85" t="s">
        <v>70</v>
      </c>
      <c r="B20" s="8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>
      <c r="A21" s="85"/>
      <c r="B21" s="86" t="s">
        <v>17</v>
      </c>
      <c r="C21" s="88">
        <f>'Form A As Proposed'!C21-'Form A As Filed'!C21</f>
        <v>0</v>
      </c>
      <c r="D21" s="88">
        <f>'Form A As Proposed'!D21-'Form A As Filed'!D21</f>
        <v>0</v>
      </c>
      <c r="E21" s="88">
        <f>'Form A As Proposed'!E21-'Form A As Filed'!E21</f>
        <v>0</v>
      </c>
      <c r="F21" s="88">
        <f>'Form A As Proposed'!F21-'Form A As Filed'!F21</f>
        <v>0</v>
      </c>
      <c r="G21" s="88">
        <f>'Form A As Proposed'!G21-'Form A As Filed'!G21</f>
        <v>0</v>
      </c>
      <c r="H21" s="88">
        <f>'Form A As Proposed'!H21-'Form A As Filed'!H21</f>
        <v>0</v>
      </c>
      <c r="I21" s="88">
        <f>'Form A As Proposed'!I21-'Form A As Filed'!I21</f>
        <v>0</v>
      </c>
      <c r="J21" s="88">
        <f>'Form A As Proposed'!J21-'Form A As Filed'!J21</f>
        <v>0</v>
      </c>
      <c r="K21" s="88">
        <f>'Form A As Proposed'!K21-'Form A As Filed'!K21</f>
        <v>0</v>
      </c>
      <c r="L21" s="88">
        <f>'Form A As Proposed'!L21-'Form A As Filed'!L21</f>
        <v>0</v>
      </c>
      <c r="M21" s="88">
        <f>'Form A As Proposed'!M21-'Form A As Filed'!M21</f>
        <v>0</v>
      </c>
      <c r="N21" s="88">
        <f>'Form A As Proposed'!N21-'Form A As Filed'!N21</f>
        <v>0</v>
      </c>
    </row>
    <row r="22" spans="1:14">
      <c r="A22" s="85"/>
      <c r="B22" s="86" t="s">
        <v>123</v>
      </c>
      <c r="C22" s="88">
        <f>'Form A As Proposed'!C22-'Form A As Filed'!C22</f>
        <v>0</v>
      </c>
      <c r="D22" s="88">
        <f>'Form A As Proposed'!D22-'Form A As Filed'!D22</f>
        <v>0</v>
      </c>
      <c r="E22" s="88">
        <f>'Form A As Proposed'!E22-'Form A As Filed'!E22</f>
        <v>0</v>
      </c>
      <c r="F22" s="88">
        <f>'Form A As Proposed'!F22-'Form A As Filed'!F22</f>
        <v>0</v>
      </c>
      <c r="G22" s="88">
        <f>'Form A As Proposed'!G22-'Form A As Filed'!G22</f>
        <v>0</v>
      </c>
      <c r="H22" s="88">
        <f>'Form A As Proposed'!H22-'Form A As Filed'!H22</f>
        <v>0</v>
      </c>
      <c r="I22" s="88">
        <f>'Form A As Proposed'!I22-'Form A As Filed'!I22</f>
        <v>0</v>
      </c>
      <c r="J22" s="88">
        <f>'Form A As Proposed'!J22-'Form A As Filed'!J22</f>
        <v>0</v>
      </c>
      <c r="K22" s="88">
        <f>'Form A As Proposed'!K22-'Form A As Filed'!K22</f>
        <v>0</v>
      </c>
      <c r="L22" s="88">
        <f>'Form A As Proposed'!L22-'Form A As Filed'!L22</f>
        <v>0</v>
      </c>
      <c r="M22" s="88">
        <f>'Form A As Proposed'!M22-'Form A As Filed'!M22</f>
        <v>0</v>
      </c>
      <c r="N22" s="88">
        <f>'Form A As Proposed'!N22-'Form A As Filed'!N22</f>
        <v>0</v>
      </c>
    </row>
    <row r="23" spans="1:14">
      <c r="A23" s="85"/>
      <c r="B23" s="86" t="s">
        <v>124</v>
      </c>
      <c r="C23" s="88">
        <f>'Form A As Proposed'!C23-'Form A As Filed'!C23</f>
        <v>0</v>
      </c>
      <c r="D23" s="88">
        <f>'Form A As Proposed'!D23-'Form A As Filed'!D23</f>
        <v>0</v>
      </c>
      <c r="E23" s="88">
        <f>'Form A As Proposed'!E23-'Form A As Filed'!E23</f>
        <v>0</v>
      </c>
      <c r="F23" s="88">
        <f>'Form A As Proposed'!F23-'Form A As Filed'!F23</f>
        <v>0</v>
      </c>
      <c r="G23" s="88">
        <f>'Form A As Proposed'!G23-'Form A As Filed'!G23</f>
        <v>0</v>
      </c>
      <c r="H23" s="88">
        <f>'Form A As Proposed'!H23-'Form A As Filed'!H23</f>
        <v>0</v>
      </c>
      <c r="I23" s="88">
        <f>'Form A As Proposed'!I23-'Form A As Filed'!I23</f>
        <v>0</v>
      </c>
      <c r="J23" s="88">
        <f>'Form A As Proposed'!J23-'Form A As Filed'!J23</f>
        <v>0</v>
      </c>
      <c r="K23" s="88">
        <f>'Form A As Proposed'!K23-'Form A As Filed'!K23</f>
        <v>0</v>
      </c>
      <c r="L23" s="88">
        <f>'Form A As Proposed'!L23-'Form A As Filed'!L23</f>
        <v>0</v>
      </c>
      <c r="M23" s="88">
        <f>'Form A As Proposed'!M23-'Form A As Filed'!M23</f>
        <v>0</v>
      </c>
      <c r="N23" s="88">
        <f>'Form A As Proposed'!N23-'Form A As Filed'!N23</f>
        <v>0</v>
      </c>
    </row>
    <row r="24" spans="1:14">
      <c r="A24" s="85"/>
      <c r="B24" s="106" t="s">
        <v>156</v>
      </c>
      <c r="C24" s="88">
        <f>'Form A As Proposed'!C24-'Form A As Filed'!C24</f>
        <v>0</v>
      </c>
      <c r="D24" s="88">
        <f>'Form A As Proposed'!D24-'Form A As Filed'!D24</f>
        <v>0</v>
      </c>
      <c r="E24" s="88">
        <f>'Form A As Proposed'!E24-'Form A As Filed'!E24</f>
        <v>0</v>
      </c>
      <c r="F24" s="88">
        <f>'Form A As Proposed'!F24-'Form A As Filed'!F24</f>
        <v>0</v>
      </c>
      <c r="G24" s="88">
        <f>'Form A As Proposed'!G24-'Form A As Filed'!G24</f>
        <v>0</v>
      </c>
      <c r="H24" s="88">
        <f>'Form A As Proposed'!H24-'Form A As Filed'!H24</f>
        <v>0</v>
      </c>
      <c r="I24" s="88">
        <f>'Form A As Proposed'!I24-'Form A As Filed'!I24</f>
        <v>0</v>
      </c>
      <c r="J24" s="88">
        <f>'Form A As Proposed'!J24-'Form A As Filed'!J24</f>
        <v>0</v>
      </c>
      <c r="K24" s="88">
        <f>'Form A As Proposed'!K24-'Form A As Filed'!K24</f>
        <v>0</v>
      </c>
      <c r="L24" s="88">
        <f>'Form A As Proposed'!L24-'Form A As Filed'!L24</f>
        <v>0</v>
      </c>
      <c r="M24" s="88">
        <f>'Form A As Proposed'!M24-'Form A As Filed'!M24</f>
        <v>0</v>
      </c>
      <c r="N24" s="88">
        <f>'Form A As Proposed'!N24-'Form A As Filed'!N24</f>
        <v>0</v>
      </c>
    </row>
    <row r="25" spans="1:14" ht="15">
      <c r="A25" s="85"/>
      <c r="B25" s="86" t="s">
        <v>125</v>
      </c>
      <c r="C25" s="95">
        <f>'Form A As Proposed'!C25-'Form A As Filed'!C25</f>
        <v>0</v>
      </c>
      <c r="D25" s="95">
        <f>'Form A As Proposed'!D25-'Form A As Filed'!D25</f>
        <v>0</v>
      </c>
      <c r="E25" s="95">
        <f>'Form A As Proposed'!E25-'Form A As Filed'!E25</f>
        <v>0</v>
      </c>
      <c r="F25" s="95">
        <f>'Form A As Proposed'!F25-'Form A As Filed'!F25</f>
        <v>0</v>
      </c>
      <c r="G25" s="95">
        <f>'Form A As Proposed'!G25-'Form A As Filed'!G25</f>
        <v>0</v>
      </c>
      <c r="H25" s="95">
        <f>'Form A As Proposed'!H25-'Form A As Filed'!H25</f>
        <v>0</v>
      </c>
      <c r="I25" s="95">
        <f>'Form A As Proposed'!I25-'Form A As Filed'!I25</f>
        <v>0</v>
      </c>
      <c r="J25" s="95">
        <f>'Form A As Proposed'!J25-'Form A As Filed'!J25</f>
        <v>0</v>
      </c>
      <c r="K25" s="95">
        <f>'Form A As Proposed'!K25-'Form A As Filed'!K25</f>
        <v>0</v>
      </c>
      <c r="L25" s="95">
        <f>'Form A As Proposed'!L25-'Form A As Filed'!L25</f>
        <v>0</v>
      </c>
      <c r="M25" s="95">
        <f>'Form A As Proposed'!M25-'Form A As Filed'!M25</f>
        <v>0</v>
      </c>
      <c r="N25" s="95">
        <f>'Form A As Proposed'!N25-'Form A As Filed'!N25</f>
        <v>0</v>
      </c>
    </row>
    <row r="26" spans="1:14">
      <c r="A26" s="85"/>
      <c r="B26" s="86" t="s">
        <v>126</v>
      </c>
      <c r="C26" s="88">
        <f t="shared" ref="C26:E26" si="4">IF(C17+C22&gt;C16,SUM(C21,-C22,-C23,C24,C25),SUM(C21,-C23,C24,C25))</f>
        <v>0</v>
      </c>
      <c r="D26" s="88">
        <f t="shared" si="4"/>
        <v>0</v>
      </c>
      <c r="E26" s="88">
        <f t="shared" si="4"/>
        <v>0</v>
      </c>
      <c r="F26" s="88">
        <f>IF(F17+F22&gt;F16,SUM(F21,-F22,-F23,F24,F25),SUM(F21,-F23,F24,F25))</f>
        <v>0</v>
      </c>
      <c r="G26" s="88">
        <f t="shared" ref="G26:N26" si="5">IF(G17+G22&gt;G16,SUM(G21,-G22,-G23,G24,G25),SUM(G21,-G23,G24,G25))</f>
        <v>0</v>
      </c>
      <c r="H26" s="88">
        <f t="shared" si="5"/>
        <v>0</v>
      </c>
      <c r="I26" s="88">
        <f t="shared" si="5"/>
        <v>0</v>
      </c>
      <c r="J26" s="88">
        <f t="shared" si="5"/>
        <v>0</v>
      </c>
      <c r="K26" s="88">
        <f t="shared" si="5"/>
        <v>0</v>
      </c>
      <c r="L26" s="88">
        <f t="shared" si="5"/>
        <v>0</v>
      </c>
      <c r="M26" s="88">
        <f t="shared" si="5"/>
        <v>0</v>
      </c>
      <c r="N26" s="88">
        <f t="shared" si="5"/>
        <v>0</v>
      </c>
    </row>
    <row r="27" spans="1:14">
      <c r="A27" s="85"/>
      <c r="B27" s="86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>
      <c r="A28" s="85" t="s">
        <v>60</v>
      </c>
      <c r="B28" s="86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4">
      <c r="A29" s="85"/>
      <c r="B29" s="86" t="s">
        <v>127</v>
      </c>
      <c r="C29" s="88">
        <f>'Form A As Proposed'!C29-'Form A As Filed'!C29</f>
        <v>0</v>
      </c>
      <c r="D29" s="88">
        <f>'Form A As Proposed'!D29-'Form A As Filed'!D29</f>
        <v>0</v>
      </c>
      <c r="E29" s="88">
        <f>'Form A As Proposed'!E29-'Form A As Filed'!E29</f>
        <v>0</v>
      </c>
      <c r="F29" s="88">
        <f>'Form A As Proposed'!F29-'Form A As Filed'!F29</f>
        <v>0</v>
      </c>
      <c r="G29" s="88">
        <f>'Form A As Proposed'!G29-'Form A As Filed'!G29</f>
        <v>0</v>
      </c>
      <c r="H29" s="88">
        <f>'Form A As Proposed'!H29-'Form A As Filed'!H29</f>
        <v>0</v>
      </c>
      <c r="I29" s="88">
        <f>'Form A As Proposed'!I29-'Form A As Filed'!I29</f>
        <v>0</v>
      </c>
      <c r="J29" s="88">
        <f>'Form A As Proposed'!J29-'Form A As Filed'!J29</f>
        <v>0</v>
      </c>
      <c r="K29" s="88">
        <f>'Form A As Proposed'!K29-'Form A As Filed'!K29</f>
        <v>0</v>
      </c>
      <c r="L29" s="88">
        <f>'Form A As Proposed'!L29-'Form A As Filed'!L29</f>
        <v>0</v>
      </c>
      <c r="M29" s="88">
        <f>'Form A As Proposed'!M29-'Form A As Filed'!M29</f>
        <v>0</v>
      </c>
      <c r="N29" s="88">
        <f>'Form A As Proposed'!N29-'Form A As Filed'!N29</f>
        <v>0</v>
      </c>
    </row>
    <row r="30" spans="1:14">
      <c r="A30" s="85"/>
      <c r="B30" s="106" t="s">
        <v>156</v>
      </c>
      <c r="C30" s="88">
        <f>'Form A As Proposed'!C30-'Form A As Filed'!C30</f>
        <v>0</v>
      </c>
      <c r="D30" s="88">
        <f>'Form A As Proposed'!D30-'Form A As Filed'!D30</f>
        <v>0</v>
      </c>
      <c r="E30" s="88">
        <f>'Form A As Proposed'!E30-'Form A As Filed'!E30</f>
        <v>0</v>
      </c>
      <c r="F30" s="88">
        <f>'Form A As Proposed'!F30-'Form A As Filed'!F30</f>
        <v>0</v>
      </c>
      <c r="G30" s="88">
        <f>'Form A As Proposed'!G30-'Form A As Filed'!G30</f>
        <v>0</v>
      </c>
      <c r="H30" s="88">
        <f>'Form A As Proposed'!H30-'Form A As Filed'!H30</f>
        <v>0</v>
      </c>
      <c r="I30" s="88">
        <f>'Form A As Proposed'!I30-'Form A As Filed'!I30</f>
        <v>0</v>
      </c>
      <c r="J30" s="88">
        <f>'Form A As Proposed'!J30-'Form A As Filed'!J30</f>
        <v>0</v>
      </c>
      <c r="K30" s="88">
        <f>'Form A As Proposed'!K30-'Form A As Filed'!K30</f>
        <v>0</v>
      </c>
      <c r="L30" s="88">
        <f>'Form A As Proposed'!L30-'Form A As Filed'!L30</f>
        <v>0</v>
      </c>
      <c r="M30" s="88">
        <f>'Form A As Proposed'!M30-'Form A As Filed'!M30</f>
        <v>0</v>
      </c>
      <c r="N30" s="88">
        <f>'Form A As Proposed'!N30-'Form A As Filed'!N30</f>
        <v>0</v>
      </c>
    </row>
    <row r="31" spans="1:14">
      <c r="A31" s="85"/>
      <c r="B31" s="106" t="s">
        <v>63</v>
      </c>
      <c r="C31" s="88">
        <f>'Form A As Proposed'!C31-'Form A As Filed'!C31</f>
        <v>0</v>
      </c>
      <c r="D31" s="88">
        <f>'Form A As Proposed'!D31-'Form A As Filed'!D31</f>
        <v>0</v>
      </c>
      <c r="E31" s="88">
        <f>'Form A As Proposed'!E31-'Form A As Filed'!E31</f>
        <v>0</v>
      </c>
      <c r="F31" s="88">
        <f>'Form A As Proposed'!F31-'Form A As Filed'!F31</f>
        <v>0</v>
      </c>
      <c r="G31" s="88">
        <f>'Form A As Proposed'!G31-'Form A As Filed'!G31</f>
        <v>0</v>
      </c>
      <c r="H31" s="88">
        <f>'Form A As Proposed'!H31-'Form A As Filed'!H31</f>
        <v>0</v>
      </c>
      <c r="I31" s="88">
        <f>'Form A As Proposed'!I31-'Form A As Filed'!I31</f>
        <v>0</v>
      </c>
      <c r="J31" s="88">
        <f>'Form A As Proposed'!J31-'Form A As Filed'!J31</f>
        <v>0</v>
      </c>
      <c r="K31" s="88">
        <f>'Form A As Proposed'!K31-'Form A As Filed'!K31</f>
        <v>0</v>
      </c>
      <c r="L31" s="88">
        <f>'Form A As Proposed'!L31-'Form A As Filed'!L31</f>
        <v>0</v>
      </c>
      <c r="M31" s="88">
        <f>'Form A As Proposed'!M31-'Form A As Filed'!M31</f>
        <v>0</v>
      </c>
      <c r="N31" s="88">
        <f>'Form A As Proposed'!N31-'Form A As Filed'!N31</f>
        <v>0</v>
      </c>
    </row>
    <row r="32" spans="1:14" ht="15">
      <c r="A32" s="85"/>
      <c r="B32" s="86" t="s">
        <v>128</v>
      </c>
      <c r="C32" s="95">
        <f>ROUND(C29*0.01,0)</f>
        <v>0</v>
      </c>
      <c r="D32" s="95">
        <f t="shared" ref="D32:N32" si="6">ROUND(D29*0.01,0)</f>
        <v>0</v>
      </c>
      <c r="E32" s="95">
        <f t="shared" si="6"/>
        <v>0</v>
      </c>
      <c r="F32" s="95">
        <f t="shared" si="6"/>
        <v>0</v>
      </c>
      <c r="G32" s="95">
        <f t="shared" si="6"/>
        <v>0</v>
      </c>
      <c r="H32" s="95">
        <f t="shared" si="6"/>
        <v>0</v>
      </c>
      <c r="I32" s="95">
        <f t="shared" si="6"/>
        <v>0</v>
      </c>
      <c r="J32" s="95">
        <f t="shared" si="6"/>
        <v>0</v>
      </c>
      <c r="K32" s="95">
        <f t="shared" si="6"/>
        <v>0</v>
      </c>
      <c r="L32" s="95">
        <f t="shared" si="6"/>
        <v>0</v>
      </c>
      <c r="M32" s="95">
        <f t="shared" si="6"/>
        <v>0</v>
      </c>
      <c r="N32" s="95">
        <f t="shared" si="6"/>
        <v>0</v>
      </c>
    </row>
    <row r="33" spans="1:14">
      <c r="A33" s="85"/>
      <c r="B33" s="86" t="s">
        <v>126</v>
      </c>
      <c r="C33" s="88">
        <f t="shared" ref="C33:D33" si="7">SUM(C29:C32)</f>
        <v>0</v>
      </c>
      <c r="D33" s="88">
        <f t="shared" si="7"/>
        <v>0</v>
      </c>
      <c r="E33" s="88">
        <f t="shared" ref="E33:N33" si="8">SUM(E29:E32)</f>
        <v>0</v>
      </c>
      <c r="F33" s="88">
        <f t="shared" si="8"/>
        <v>0</v>
      </c>
      <c r="G33" s="88">
        <f t="shared" si="8"/>
        <v>0</v>
      </c>
      <c r="H33" s="88">
        <f t="shared" si="8"/>
        <v>0</v>
      </c>
      <c r="I33" s="88">
        <f t="shared" si="8"/>
        <v>0</v>
      </c>
      <c r="J33" s="88">
        <f t="shared" si="8"/>
        <v>0</v>
      </c>
      <c r="K33" s="88">
        <f t="shared" si="8"/>
        <v>0</v>
      </c>
      <c r="L33" s="88">
        <f t="shared" si="8"/>
        <v>0</v>
      </c>
      <c r="M33" s="88">
        <f t="shared" si="8"/>
        <v>0</v>
      </c>
      <c r="N33" s="88">
        <f t="shared" si="8"/>
        <v>0</v>
      </c>
    </row>
    <row r="34" spans="1:14">
      <c r="A34" s="85"/>
      <c r="B34" s="86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>
      <c r="A35" s="96" t="s">
        <v>129</v>
      </c>
      <c r="B35" s="86"/>
      <c r="C35" s="97">
        <f t="shared" ref="C35:N35" si="9">C$73</f>
        <v>-47878</v>
      </c>
      <c r="D35" s="97">
        <f t="shared" si="9"/>
        <v>-26759</v>
      </c>
      <c r="E35" s="97">
        <f t="shared" si="9"/>
        <v>3394</v>
      </c>
      <c r="F35" s="97">
        <f t="shared" si="9"/>
        <v>3852</v>
      </c>
      <c r="G35" s="97">
        <f t="shared" si="9"/>
        <v>2516</v>
      </c>
      <c r="H35" s="97">
        <f t="shared" si="9"/>
        <v>2806</v>
      </c>
      <c r="I35" s="97">
        <f t="shared" si="9"/>
        <v>2608</v>
      </c>
      <c r="J35" s="97">
        <f t="shared" si="9"/>
        <v>2157</v>
      </c>
      <c r="K35" s="97">
        <f t="shared" si="9"/>
        <v>1393</v>
      </c>
      <c r="L35" s="97">
        <f t="shared" si="9"/>
        <v>1063</v>
      </c>
      <c r="M35" s="97">
        <f t="shared" si="9"/>
        <v>476</v>
      </c>
      <c r="N35" s="97">
        <f t="shared" si="9"/>
        <v>409</v>
      </c>
    </row>
    <row r="36" spans="1:14">
      <c r="A36" s="85" t="s">
        <v>130</v>
      </c>
      <c r="B36" s="86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>
      <c r="A37" s="85"/>
      <c r="B37" s="86" t="s">
        <v>131</v>
      </c>
      <c r="C37" s="87">
        <f t="shared" ref="C37:N37" si="10">C18+C26-C33-C35</f>
        <v>47878</v>
      </c>
      <c r="D37" s="87">
        <f t="shared" si="10"/>
        <v>26759</v>
      </c>
      <c r="E37" s="87">
        <f t="shared" si="10"/>
        <v>-3394</v>
      </c>
      <c r="F37" s="87">
        <f t="shared" si="10"/>
        <v>-3852</v>
      </c>
      <c r="G37" s="87">
        <f t="shared" si="10"/>
        <v>-2516</v>
      </c>
      <c r="H37" s="87">
        <f t="shared" si="10"/>
        <v>-2806</v>
      </c>
      <c r="I37" s="87">
        <f t="shared" si="10"/>
        <v>-2608</v>
      </c>
      <c r="J37" s="87">
        <f t="shared" si="10"/>
        <v>-2157</v>
      </c>
      <c r="K37" s="87">
        <f t="shared" si="10"/>
        <v>-1393</v>
      </c>
      <c r="L37" s="87">
        <f t="shared" si="10"/>
        <v>-1063</v>
      </c>
      <c r="M37" s="87">
        <f t="shared" si="10"/>
        <v>-476</v>
      </c>
      <c r="N37" s="87">
        <f t="shared" si="10"/>
        <v>-409</v>
      </c>
    </row>
    <row r="38" spans="1:14">
      <c r="A38" s="92"/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</row>
    <row r="39" spans="1:14">
      <c r="A39" s="82" t="s">
        <v>132</v>
      </c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>
      <c r="A40" s="85"/>
      <c r="B40" s="86" t="s">
        <v>133</v>
      </c>
      <c r="C40" s="88">
        <f>'Form A As Proposed'!C40-'Form A As Filed'!C40</f>
        <v>0</v>
      </c>
      <c r="D40" s="88">
        <f>'Form A As Proposed'!D40-'Form A As Filed'!D40</f>
        <v>0</v>
      </c>
      <c r="E40" s="88">
        <f>'Form A As Proposed'!E40-'Form A As Filed'!E40</f>
        <v>0</v>
      </c>
      <c r="F40" s="88">
        <f>'Form A As Proposed'!F40-'Form A As Filed'!F40</f>
        <v>0</v>
      </c>
      <c r="G40" s="88">
        <f>'Form A As Proposed'!G40-'Form A As Filed'!G40</f>
        <v>0</v>
      </c>
      <c r="H40" s="88">
        <f>'Form A As Proposed'!H40-'Form A As Filed'!H40</f>
        <v>0</v>
      </c>
      <c r="I40" s="88">
        <f>'Form A As Proposed'!I40-'Form A As Filed'!I40</f>
        <v>0</v>
      </c>
      <c r="J40" s="88">
        <f>'Form A As Proposed'!J40-'Form A As Filed'!J40</f>
        <v>0</v>
      </c>
      <c r="K40" s="88">
        <f>'Form A As Proposed'!K40-'Form A As Filed'!K40</f>
        <v>0</v>
      </c>
      <c r="L40" s="88">
        <f>'Form A As Proposed'!L40-'Form A As Filed'!L40</f>
        <v>0</v>
      </c>
      <c r="M40" s="88">
        <f>'Form A As Proposed'!M40-'Form A As Filed'!M40</f>
        <v>0</v>
      </c>
      <c r="N40" s="88">
        <f>'Form A As Proposed'!N40-'Form A As Filed'!N40</f>
        <v>0</v>
      </c>
    </row>
    <row r="41" spans="1:14">
      <c r="A41" s="85"/>
      <c r="B41" s="86" t="s">
        <v>134</v>
      </c>
      <c r="C41" s="88">
        <f>'Form A As Proposed'!C41-'Form A As Filed'!C41</f>
        <v>0</v>
      </c>
      <c r="D41" s="88">
        <f>'Form A As Proposed'!D41-'Form A As Filed'!D41</f>
        <v>0</v>
      </c>
      <c r="E41" s="88">
        <f>'Form A As Proposed'!E41-'Form A As Filed'!E41</f>
        <v>0</v>
      </c>
      <c r="F41" s="88">
        <f>'Form A As Proposed'!F41-'Form A As Filed'!F41</f>
        <v>0</v>
      </c>
      <c r="G41" s="88">
        <f>'Form A As Proposed'!G41-'Form A As Filed'!G41</f>
        <v>0</v>
      </c>
      <c r="H41" s="88">
        <f>'Form A As Proposed'!H41-'Form A As Filed'!H41</f>
        <v>0</v>
      </c>
      <c r="I41" s="88">
        <f>'Form A As Proposed'!I41-'Form A As Filed'!I41</f>
        <v>0</v>
      </c>
      <c r="J41" s="88">
        <f>'Form A As Proposed'!J41-'Form A As Filed'!J41</f>
        <v>0</v>
      </c>
      <c r="K41" s="88">
        <f>'Form A As Proposed'!K41-'Form A As Filed'!K41</f>
        <v>0</v>
      </c>
      <c r="L41" s="88">
        <f>'Form A As Proposed'!L41-'Form A As Filed'!L41</f>
        <v>0</v>
      </c>
      <c r="M41" s="88">
        <f>'Form A As Proposed'!M41-'Form A As Filed'!M41</f>
        <v>0</v>
      </c>
      <c r="N41" s="88">
        <f>'Form A As Proposed'!N41-'Form A As Filed'!N41</f>
        <v>0</v>
      </c>
    </row>
    <row r="42" spans="1:14">
      <c r="A42" s="85"/>
      <c r="B42" s="106" t="s">
        <v>156</v>
      </c>
      <c r="C42" s="98">
        <f>'Form A As Proposed'!C42-'Form A As Filed'!C42</f>
        <v>0</v>
      </c>
      <c r="D42" s="98">
        <f>'Form A As Proposed'!D42-'Form A As Filed'!D42</f>
        <v>0</v>
      </c>
      <c r="E42" s="98">
        <f>'Form A As Proposed'!E42-'Form A As Filed'!E42</f>
        <v>0</v>
      </c>
      <c r="F42" s="98">
        <f>'Form A As Proposed'!F42-'Form A As Filed'!F42</f>
        <v>0</v>
      </c>
      <c r="G42" s="98">
        <f>'Form A As Proposed'!G42-'Form A As Filed'!G42</f>
        <v>0</v>
      </c>
      <c r="H42" s="98">
        <f>'Form A As Proposed'!H42-'Form A As Filed'!H42</f>
        <v>0</v>
      </c>
      <c r="I42" s="98">
        <f>'Form A As Proposed'!I42-'Form A As Filed'!I42</f>
        <v>0</v>
      </c>
      <c r="J42" s="98">
        <f>'Form A As Proposed'!J42-'Form A As Filed'!J42</f>
        <v>0</v>
      </c>
      <c r="K42" s="98">
        <f>'Form A As Proposed'!K42-'Form A As Filed'!K42</f>
        <v>0</v>
      </c>
      <c r="L42" s="98">
        <f>'Form A As Proposed'!L42-'Form A As Filed'!L42</f>
        <v>0</v>
      </c>
      <c r="M42" s="98">
        <f>'Form A As Proposed'!M42-'Form A As Filed'!M42</f>
        <v>0</v>
      </c>
      <c r="N42" s="98">
        <f>'Form A As Proposed'!N42-'Form A As Filed'!N42</f>
        <v>0</v>
      </c>
    </row>
    <row r="43" spans="1:14" ht="15">
      <c r="A43" s="85"/>
      <c r="B43" s="106" t="s">
        <v>63</v>
      </c>
      <c r="C43" s="99">
        <f>'Form A As Proposed'!C43-'Form A As Filed'!C43</f>
        <v>0</v>
      </c>
      <c r="D43" s="99">
        <f>'Form A As Proposed'!D43-'Form A As Filed'!D43</f>
        <v>0</v>
      </c>
      <c r="E43" s="99">
        <f>'Form A As Proposed'!E43-'Form A As Filed'!E43</f>
        <v>0</v>
      </c>
      <c r="F43" s="99">
        <f>'Form A As Proposed'!F43-'Form A As Filed'!F43</f>
        <v>0</v>
      </c>
      <c r="G43" s="99">
        <f>'Form A As Proposed'!G43-'Form A As Filed'!G43</f>
        <v>0</v>
      </c>
      <c r="H43" s="99">
        <f>'Form A As Proposed'!H43-'Form A As Filed'!H43</f>
        <v>0</v>
      </c>
      <c r="I43" s="99">
        <f>'Form A As Proposed'!I43-'Form A As Filed'!I43</f>
        <v>0</v>
      </c>
      <c r="J43" s="99">
        <f>'Form A As Proposed'!J43-'Form A As Filed'!J43</f>
        <v>0</v>
      </c>
      <c r="K43" s="99">
        <f>'Form A As Proposed'!K43-'Form A As Filed'!K43</f>
        <v>0</v>
      </c>
      <c r="L43" s="99">
        <f>'Form A As Proposed'!L43-'Form A As Filed'!L43</f>
        <v>0</v>
      </c>
      <c r="M43" s="99">
        <f>'Form A As Proposed'!M43-'Form A As Filed'!M43</f>
        <v>0</v>
      </c>
      <c r="N43" s="99">
        <f>'Form A As Proposed'!N43-'Form A As Filed'!N43</f>
        <v>0</v>
      </c>
    </row>
    <row r="44" spans="1:14">
      <c r="A44" s="85"/>
      <c r="B44" s="86" t="s">
        <v>126</v>
      </c>
      <c r="C44" s="88">
        <f t="shared" ref="C44:D44" si="11">SUM(C40:C43)</f>
        <v>0</v>
      </c>
      <c r="D44" s="88">
        <f t="shared" si="11"/>
        <v>0</v>
      </c>
      <c r="E44" s="88">
        <f t="shared" ref="E44:N44" si="12">SUM(E40:E43)</f>
        <v>0</v>
      </c>
      <c r="F44" s="88">
        <f t="shared" si="12"/>
        <v>0</v>
      </c>
      <c r="G44" s="88">
        <f t="shared" si="12"/>
        <v>0</v>
      </c>
      <c r="H44" s="88">
        <f t="shared" si="12"/>
        <v>0</v>
      </c>
      <c r="I44" s="88">
        <f t="shared" si="12"/>
        <v>0</v>
      </c>
      <c r="J44" s="88">
        <f t="shared" si="12"/>
        <v>0</v>
      </c>
      <c r="K44" s="88">
        <f t="shared" si="12"/>
        <v>0</v>
      </c>
      <c r="L44" s="88">
        <f t="shared" si="12"/>
        <v>0</v>
      </c>
      <c r="M44" s="88">
        <f t="shared" si="12"/>
        <v>0</v>
      </c>
      <c r="N44" s="88">
        <f t="shared" si="12"/>
        <v>0</v>
      </c>
    </row>
    <row r="45" spans="1:14">
      <c r="A45" s="85"/>
      <c r="B45" s="8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</row>
    <row r="46" spans="1:14">
      <c r="A46" s="85"/>
      <c r="B46" s="86" t="s">
        <v>60</v>
      </c>
      <c r="C46" s="88">
        <f>'Form A As Proposed'!C46-'Form A As Filed'!C46</f>
        <v>0</v>
      </c>
      <c r="D46" s="88">
        <f>'Form A As Proposed'!D46-'Form A As Filed'!D46</f>
        <v>0</v>
      </c>
      <c r="E46" s="88">
        <f>'Form A As Proposed'!E46-'Form A As Filed'!E46</f>
        <v>0</v>
      </c>
      <c r="F46" s="88">
        <f>'Form A As Proposed'!F46-'Form A As Filed'!F46</f>
        <v>0</v>
      </c>
      <c r="G46" s="88">
        <f>'Form A As Proposed'!G46-'Form A As Filed'!G46</f>
        <v>0</v>
      </c>
      <c r="H46" s="88">
        <f>'Form A As Proposed'!H46-'Form A As Filed'!H46</f>
        <v>0</v>
      </c>
      <c r="I46" s="88">
        <f>'Form A As Proposed'!I46-'Form A As Filed'!I46</f>
        <v>0</v>
      </c>
      <c r="J46" s="88">
        <f>'Form A As Proposed'!J46-'Form A As Filed'!J46</f>
        <v>0</v>
      </c>
      <c r="K46" s="88">
        <f>'Form A As Proposed'!K46-'Form A As Filed'!K46</f>
        <v>0</v>
      </c>
      <c r="L46" s="88">
        <f>'Form A As Proposed'!L46-'Form A As Filed'!L46</f>
        <v>0</v>
      </c>
      <c r="M46" s="88">
        <f>'Form A As Proposed'!M46-'Form A As Filed'!M46</f>
        <v>0</v>
      </c>
      <c r="N46" s="88">
        <f>'Form A As Proposed'!N46-'Form A As Filed'!N46</f>
        <v>0</v>
      </c>
    </row>
    <row r="47" spans="1:14">
      <c r="A47" s="85"/>
      <c r="B47" s="106" t="s">
        <v>156</v>
      </c>
      <c r="C47" s="88">
        <f>'Form A As Proposed'!C47-'Form A As Filed'!C47</f>
        <v>0</v>
      </c>
      <c r="D47" s="88">
        <f>'Form A As Proposed'!D47-'Form A As Filed'!D47</f>
        <v>0</v>
      </c>
      <c r="E47" s="88">
        <f>'Form A As Proposed'!E47-'Form A As Filed'!E47</f>
        <v>0</v>
      </c>
      <c r="F47" s="88">
        <f>'Form A As Proposed'!F47-'Form A As Filed'!F47</f>
        <v>0</v>
      </c>
      <c r="G47" s="88">
        <f>'Form A As Proposed'!G47-'Form A As Filed'!G47</f>
        <v>0</v>
      </c>
      <c r="H47" s="88">
        <f>'Form A As Proposed'!H47-'Form A As Filed'!H47</f>
        <v>0</v>
      </c>
      <c r="I47" s="88">
        <f>'Form A As Proposed'!I47-'Form A As Filed'!I47</f>
        <v>0</v>
      </c>
      <c r="J47" s="88">
        <f>'Form A As Proposed'!J47-'Form A As Filed'!J47</f>
        <v>0</v>
      </c>
      <c r="K47" s="88">
        <f>'Form A As Proposed'!K47-'Form A As Filed'!K47</f>
        <v>0</v>
      </c>
      <c r="L47" s="88">
        <f>'Form A As Proposed'!L47-'Form A As Filed'!L47</f>
        <v>0</v>
      </c>
      <c r="M47" s="88">
        <f>'Form A As Proposed'!M47-'Form A As Filed'!M47</f>
        <v>0</v>
      </c>
      <c r="N47" s="88">
        <f>'Form A As Proposed'!N47-'Form A As Filed'!N47</f>
        <v>0</v>
      </c>
    </row>
    <row r="48" spans="1:14">
      <c r="A48" s="85"/>
      <c r="B48" s="106" t="s">
        <v>63</v>
      </c>
      <c r="C48" s="88">
        <f>'Form A As Proposed'!C48-'Form A As Filed'!C48</f>
        <v>0</v>
      </c>
      <c r="D48" s="88">
        <f>'Form A As Proposed'!D48-'Form A As Filed'!D48</f>
        <v>0</v>
      </c>
      <c r="E48" s="88">
        <f>'Form A As Proposed'!E48-'Form A As Filed'!E48</f>
        <v>0</v>
      </c>
      <c r="F48" s="88">
        <f>'Form A As Proposed'!F48-'Form A As Filed'!F48</f>
        <v>0</v>
      </c>
      <c r="G48" s="88">
        <f>'Form A As Proposed'!G48-'Form A As Filed'!G48</f>
        <v>0</v>
      </c>
      <c r="H48" s="88">
        <f>'Form A As Proposed'!H48-'Form A As Filed'!H48</f>
        <v>0</v>
      </c>
      <c r="I48" s="88">
        <f>'Form A As Proposed'!I48-'Form A As Filed'!I48</f>
        <v>0</v>
      </c>
      <c r="J48" s="88">
        <f>'Form A As Proposed'!J48-'Form A As Filed'!J48</f>
        <v>0</v>
      </c>
      <c r="K48" s="88">
        <f>'Form A As Proposed'!K48-'Form A As Filed'!K48</f>
        <v>0</v>
      </c>
      <c r="L48" s="88">
        <f>'Form A As Proposed'!L48-'Form A As Filed'!L48</f>
        <v>0</v>
      </c>
      <c r="M48" s="88">
        <f>'Form A As Proposed'!M48-'Form A As Filed'!M48</f>
        <v>0</v>
      </c>
      <c r="N48" s="88">
        <f>'Form A As Proposed'!N48-'Form A As Filed'!N48</f>
        <v>0</v>
      </c>
    </row>
    <row r="49" spans="1:14" ht="15">
      <c r="A49" s="85"/>
      <c r="B49" s="86" t="s">
        <v>135</v>
      </c>
      <c r="C49" s="95">
        <f t="shared" ref="C49:N49" si="13">C58</f>
        <v>12570264</v>
      </c>
      <c r="D49" s="95">
        <f t="shared" si="13"/>
        <v>13757946</v>
      </c>
      <c r="E49" s="95">
        <f t="shared" si="13"/>
        <v>13975940</v>
      </c>
      <c r="F49" s="95">
        <f t="shared" si="13"/>
        <v>15588723</v>
      </c>
      <c r="G49" s="95">
        <f t="shared" si="13"/>
        <v>14488482</v>
      </c>
      <c r="H49" s="95">
        <f t="shared" si="13"/>
        <v>11351081</v>
      </c>
      <c r="I49" s="95">
        <f t="shared" si="13"/>
        <v>9288936</v>
      </c>
      <c r="J49" s="95">
        <f t="shared" si="13"/>
        <v>8175575</v>
      </c>
      <c r="K49" s="95">
        <f t="shared" si="13"/>
        <v>5945056</v>
      </c>
      <c r="L49" s="95">
        <f t="shared" si="13"/>
        <v>5844615</v>
      </c>
      <c r="M49" s="95">
        <f t="shared" si="13"/>
        <v>5361203</v>
      </c>
      <c r="N49" s="95">
        <f t="shared" si="13"/>
        <v>4771713</v>
      </c>
    </row>
    <row r="50" spans="1:14">
      <c r="A50" s="85"/>
      <c r="B50" s="86" t="s">
        <v>126</v>
      </c>
      <c r="C50" s="88">
        <f t="shared" ref="C50:D50" si="14">SUM(C46:C49)</f>
        <v>12570264</v>
      </c>
      <c r="D50" s="88">
        <f t="shared" si="14"/>
        <v>13757946</v>
      </c>
      <c r="E50" s="88">
        <f t="shared" ref="E50:N50" si="15">SUM(E46:E49)</f>
        <v>13975940</v>
      </c>
      <c r="F50" s="88">
        <f t="shared" si="15"/>
        <v>15588723</v>
      </c>
      <c r="G50" s="88">
        <f t="shared" si="15"/>
        <v>14488482</v>
      </c>
      <c r="H50" s="88">
        <f t="shared" si="15"/>
        <v>11351081</v>
      </c>
      <c r="I50" s="88">
        <f t="shared" si="15"/>
        <v>9288936</v>
      </c>
      <c r="J50" s="88">
        <f t="shared" si="15"/>
        <v>8175575</v>
      </c>
      <c r="K50" s="88">
        <f t="shared" si="15"/>
        <v>5945056</v>
      </c>
      <c r="L50" s="88">
        <f t="shared" si="15"/>
        <v>5844615</v>
      </c>
      <c r="M50" s="88">
        <f t="shared" si="15"/>
        <v>5361203</v>
      </c>
      <c r="N50" s="88">
        <f t="shared" si="15"/>
        <v>4771713</v>
      </c>
    </row>
    <row r="51" spans="1:14">
      <c r="A51" s="85"/>
      <c r="B51" s="86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1:14">
      <c r="A52" s="92"/>
      <c r="B52" s="93" t="s">
        <v>136</v>
      </c>
      <c r="C52" s="100">
        <f t="shared" ref="C52:N52" si="16">C44-C50</f>
        <v>-12570264</v>
      </c>
      <c r="D52" s="100">
        <f t="shared" si="16"/>
        <v>-13757946</v>
      </c>
      <c r="E52" s="100">
        <f t="shared" si="16"/>
        <v>-13975940</v>
      </c>
      <c r="F52" s="100">
        <f t="shared" si="16"/>
        <v>-15588723</v>
      </c>
      <c r="G52" s="100">
        <f t="shared" si="16"/>
        <v>-14488482</v>
      </c>
      <c r="H52" s="100">
        <f t="shared" si="16"/>
        <v>-11351081</v>
      </c>
      <c r="I52" s="100">
        <f t="shared" si="16"/>
        <v>-9288936</v>
      </c>
      <c r="J52" s="100">
        <f t="shared" si="16"/>
        <v>-8175575</v>
      </c>
      <c r="K52" s="100">
        <f t="shared" si="16"/>
        <v>-5945056</v>
      </c>
      <c r="L52" s="100">
        <f t="shared" si="16"/>
        <v>-5844615</v>
      </c>
      <c r="M52" s="100">
        <f t="shared" si="16"/>
        <v>-5361203</v>
      </c>
      <c r="N52" s="100">
        <f t="shared" si="16"/>
        <v>-4771713</v>
      </c>
    </row>
    <row r="53" spans="1:14">
      <c r="A53" s="82" t="s">
        <v>137</v>
      </c>
      <c r="B53" s="83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</row>
    <row r="54" spans="1:14">
      <c r="A54" s="85"/>
      <c r="B54" s="86" t="s">
        <v>138</v>
      </c>
      <c r="C54" s="98">
        <f>'Form A As Proposed'!C54-'Form A As Filed'!C54</f>
        <v>0</v>
      </c>
      <c r="D54" s="98">
        <f>'Form A As Proposed'!D54-'Form A As Filed'!D54</f>
        <v>0</v>
      </c>
      <c r="E54" s="98">
        <f>'Form A As Proposed'!E54-'Form A As Filed'!E54</f>
        <v>0</v>
      </c>
      <c r="F54" s="98">
        <f>'Form A As Proposed'!F54-'Form A As Filed'!F54</f>
        <v>0</v>
      </c>
      <c r="G54" s="98">
        <f>'Form A As Proposed'!G54-'Form A As Filed'!G54</f>
        <v>0</v>
      </c>
      <c r="H54" s="98">
        <f>'Form A As Proposed'!H54-'Form A As Filed'!H54</f>
        <v>0</v>
      </c>
      <c r="I54" s="98">
        <f>'Form A As Proposed'!I54-'Form A As Filed'!I54</f>
        <v>0</v>
      </c>
      <c r="J54" s="98">
        <f>'Form A As Proposed'!J54-'Form A As Filed'!J54</f>
        <v>0</v>
      </c>
      <c r="K54" s="98">
        <f>'Form A As Proposed'!K54-'Form A As Filed'!K54</f>
        <v>0</v>
      </c>
      <c r="L54" s="98">
        <f>'Form A As Proposed'!L54-'Form A As Filed'!L54</f>
        <v>0</v>
      </c>
      <c r="M54" s="98">
        <f>'Form A As Proposed'!M54-'Form A As Filed'!M54</f>
        <v>0</v>
      </c>
      <c r="N54" s="98">
        <f>'Form A As Proposed'!N54-'Form A As Filed'!N54</f>
        <v>0</v>
      </c>
    </row>
    <row r="55" spans="1:14">
      <c r="A55" s="85"/>
      <c r="B55" s="86" t="s">
        <v>139</v>
      </c>
      <c r="C55" s="98">
        <f>'Form A As Proposed'!C55-'Form A As Filed'!C55</f>
        <v>185239698</v>
      </c>
      <c r="D55" s="98">
        <f>'Form A As Proposed'!D55-'Form A As Filed'!D55</f>
        <v>183810924</v>
      </c>
      <c r="E55" s="98">
        <f>'Form A As Proposed'!E55-'Form A As Filed'!E55</f>
        <v>164921443</v>
      </c>
      <c r="F55" s="98">
        <f>'Form A As Proposed'!F55-'Form A As Filed'!F55</f>
        <v>165307742</v>
      </c>
      <c r="G55" s="98">
        <f>'Form A As Proposed'!G55-'Form A As Filed'!G55</f>
        <v>160378406</v>
      </c>
      <c r="H55" s="98">
        <f>'Form A As Proposed'!H55-'Form A As Filed'!H55</f>
        <v>153773646</v>
      </c>
      <c r="I55" s="98">
        <f>'Form A As Proposed'!I55-'Form A As Filed'!I55</f>
        <v>119321142</v>
      </c>
      <c r="J55" s="98">
        <f>'Form A As Proposed'!J55-'Form A As Filed'!J55</f>
        <v>109881812</v>
      </c>
      <c r="K55" s="98">
        <f>'Form A As Proposed'!K55-'Form A As Filed'!K55</f>
        <v>68102957</v>
      </c>
      <c r="L55" s="98">
        <f>'Form A As Proposed'!L55-'Form A As Filed'!L55</f>
        <v>62141200</v>
      </c>
      <c r="M55" s="98">
        <f>'Form A As Proposed'!M55-'Form A As Filed'!M55</f>
        <v>65684079</v>
      </c>
      <c r="N55" s="98">
        <f>'Form A As Proposed'!N55-'Form A As Filed'!N55</f>
        <v>63695298</v>
      </c>
    </row>
    <row r="56" spans="1:14">
      <c r="A56" s="85"/>
      <c r="B56" s="86" t="s">
        <v>140</v>
      </c>
      <c r="C56" s="98">
        <f>'Form A As Proposed'!C56-'Form A As Filed'!C56</f>
        <v>0</v>
      </c>
      <c r="D56" s="98">
        <f t="shared" ref="D56:N56" si="17">D44</f>
        <v>0</v>
      </c>
      <c r="E56" s="98">
        <f t="shared" si="17"/>
        <v>0</v>
      </c>
      <c r="F56" s="98">
        <f t="shared" si="17"/>
        <v>0</v>
      </c>
      <c r="G56" s="98">
        <f t="shared" si="17"/>
        <v>0</v>
      </c>
      <c r="H56" s="98">
        <f t="shared" si="17"/>
        <v>0</v>
      </c>
      <c r="I56" s="98">
        <f t="shared" si="17"/>
        <v>0</v>
      </c>
      <c r="J56" s="98">
        <f t="shared" si="17"/>
        <v>0</v>
      </c>
      <c r="K56" s="98">
        <f t="shared" si="17"/>
        <v>0</v>
      </c>
      <c r="L56" s="98">
        <f t="shared" si="17"/>
        <v>0</v>
      </c>
      <c r="M56" s="98">
        <f t="shared" si="17"/>
        <v>0</v>
      </c>
      <c r="N56" s="98">
        <f t="shared" si="17"/>
        <v>0</v>
      </c>
    </row>
    <row r="57" spans="1:14">
      <c r="A57" s="85"/>
      <c r="B57" s="86" t="s">
        <v>141</v>
      </c>
      <c r="C57" s="102">
        <f>'Form A As Proposed'!C57-'Form A As Filed'!C57</f>
        <v>7.8242700000000012E-3</v>
      </c>
      <c r="D57" s="102">
        <f t="shared" ref="D57:N57" si="18">IF(D54=0,0,ROUND(D55/D54,8))</f>
        <v>0</v>
      </c>
      <c r="E57" s="102">
        <f t="shared" si="18"/>
        <v>0</v>
      </c>
      <c r="F57" s="102">
        <f t="shared" si="18"/>
        <v>0</v>
      </c>
      <c r="G57" s="102">
        <f t="shared" si="18"/>
        <v>0</v>
      </c>
      <c r="H57" s="102">
        <f t="shared" si="18"/>
        <v>0</v>
      </c>
      <c r="I57" s="102">
        <f t="shared" si="18"/>
        <v>0</v>
      </c>
      <c r="J57" s="102">
        <f t="shared" si="18"/>
        <v>0</v>
      </c>
      <c r="K57" s="102">
        <f t="shared" si="18"/>
        <v>0</v>
      </c>
      <c r="L57" s="102">
        <f t="shared" si="18"/>
        <v>0</v>
      </c>
      <c r="M57" s="102">
        <f t="shared" si="18"/>
        <v>0</v>
      </c>
      <c r="N57" s="102">
        <f t="shared" si="18"/>
        <v>0</v>
      </c>
    </row>
    <row r="58" spans="1:14">
      <c r="A58" s="85"/>
      <c r="B58" s="86" t="s">
        <v>142</v>
      </c>
      <c r="C58" s="98">
        <f>'Form A As Proposed'!C58-'Form A As Filed'!C58</f>
        <v>12570264</v>
      </c>
      <c r="D58" s="98">
        <f>'Form A As Proposed'!D58-'Form A As Filed'!D58</f>
        <v>13757946</v>
      </c>
      <c r="E58" s="98">
        <f>'Form A As Proposed'!E58-'Form A As Filed'!E58</f>
        <v>13975940</v>
      </c>
      <c r="F58" s="98">
        <f>'Form A As Proposed'!F58-'Form A As Filed'!F58</f>
        <v>15588723</v>
      </c>
      <c r="G58" s="98">
        <f>'Form A As Proposed'!G58-'Form A As Filed'!G58</f>
        <v>14488482</v>
      </c>
      <c r="H58" s="98">
        <f>'Form A As Proposed'!H58-'Form A As Filed'!H58</f>
        <v>11351081</v>
      </c>
      <c r="I58" s="98">
        <f>'Form A As Proposed'!I58-'Form A As Filed'!I58</f>
        <v>9288936</v>
      </c>
      <c r="J58" s="98">
        <f>'Form A As Proposed'!J58-'Form A As Filed'!J58</f>
        <v>8175575</v>
      </c>
      <c r="K58" s="98">
        <f>'Form A As Proposed'!K58-'Form A As Filed'!K58</f>
        <v>5945056</v>
      </c>
      <c r="L58" s="98">
        <f>'Form A As Proposed'!L58-'Form A As Filed'!L58</f>
        <v>5844615</v>
      </c>
      <c r="M58" s="98">
        <f>'Form A As Proposed'!M58-'Form A As Filed'!M58</f>
        <v>5361203</v>
      </c>
      <c r="N58" s="98">
        <f>'Form A As Proposed'!N58-'Form A As Filed'!N58</f>
        <v>4771713</v>
      </c>
    </row>
    <row r="59" spans="1:14">
      <c r="A59" s="92"/>
      <c r="B59" s="9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</row>
    <row r="60" spans="1:14">
      <c r="A60" s="82" t="s">
        <v>143</v>
      </c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4">
      <c r="A61" s="85"/>
      <c r="B61" s="86" t="s">
        <v>144</v>
      </c>
      <c r="C61" s="90">
        <v>-2.9999999999999997E-4</v>
      </c>
      <c r="D61" s="90">
        <v>-5.9000000000000003E-4</v>
      </c>
      <c r="E61" s="90">
        <f>C9</f>
        <v>2.6999999999999941E-4</v>
      </c>
      <c r="F61" s="90">
        <f t="shared" ref="F61:N61" si="19">D9</f>
        <v>2.79999999999999E-4</v>
      </c>
      <c r="G61" s="90">
        <f t="shared" si="19"/>
        <v>1.799999999999996E-4</v>
      </c>
      <c r="H61" s="90">
        <f t="shared" si="19"/>
        <v>1.799999999999996E-4</v>
      </c>
      <c r="I61" s="90">
        <f t="shared" si="19"/>
        <v>1.799999999999996E-4</v>
      </c>
      <c r="J61" s="90">
        <f t="shared" si="19"/>
        <v>1.9000000000000267E-4</v>
      </c>
      <c r="K61" s="90">
        <f t="shared" si="19"/>
        <v>1.4999999999999736E-4</v>
      </c>
      <c r="L61" s="90">
        <f t="shared" si="19"/>
        <v>1.2999999999999817E-4</v>
      </c>
      <c r="M61" s="90">
        <f t="shared" si="19"/>
        <v>8.000000000000021E-5</v>
      </c>
      <c r="N61" s="90">
        <f t="shared" si="19"/>
        <v>7.0000000000000617E-5</v>
      </c>
    </row>
    <row r="62" spans="1:14">
      <c r="A62" s="85"/>
      <c r="B62" s="86" t="s">
        <v>145</v>
      </c>
      <c r="C62" s="98">
        <f>'Form A As Proposed'!C62-'Form A As Filed'!C62</f>
        <v>0</v>
      </c>
      <c r="D62" s="98">
        <f>'Form A As Proposed'!D62-'Form A As Filed'!D62</f>
        <v>0</v>
      </c>
      <c r="E62" s="98">
        <f>'Form A As Proposed'!E62-'Form A As Filed'!E62</f>
        <v>0</v>
      </c>
      <c r="F62" s="98">
        <f>'Form A As Proposed'!F62-'Form A As Filed'!F62</f>
        <v>0</v>
      </c>
      <c r="G62" s="98">
        <f>'Form A As Proposed'!G62-'Form A As Filed'!G62</f>
        <v>0</v>
      </c>
      <c r="H62" s="98">
        <f>'Form A As Proposed'!H62-'Form A As Filed'!H62</f>
        <v>0</v>
      </c>
      <c r="I62" s="98">
        <f>'Form A As Proposed'!I62-'Form A As Filed'!I62</f>
        <v>0</v>
      </c>
      <c r="J62" s="98">
        <f>'Form A As Proposed'!J62-'Form A As Filed'!J62</f>
        <v>0</v>
      </c>
      <c r="K62" s="98">
        <f>'Form A As Proposed'!K62-'Form A As Filed'!K62</f>
        <v>0</v>
      </c>
      <c r="L62" s="98">
        <f>'Form A As Proposed'!L62-'Form A As Filed'!L62</f>
        <v>0</v>
      </c>
      <c r="M62" s="98">
        <f>'Form A As Proposed'!M62-'Form A As Filed'!M62</f>
        <v>0</v>
      </c>
      <c r="N62" s="98">
        <f>'Form A As Proposed'!N62-'Form A As Filed'!N62</f>
        <v>0</v>
      </c>
    </row>
    <row r="63" spans="1:14">
      <c r="A63" s="85"/>
      <c r="B63" s="86" t="s">
        <v>146</v>
      </c>
      <c r="C63" s="87">
        <f t="shared" ref="C63:N63" si="20">ROUND(C61*C62,0)</f>
        <v>0</v>
      </c>
      <c r="D63" s="87">
        <f t="shared" si="20"/>
        <v>0</v>
      </c>
      <c r="E63" s="87">
        <f t="shared" si="20"/>
        <v>0</v>
      </c>
      <c r="F63" s="87">
        <f t="shared" si="20"/>
        <v>0</v>
      </c>
      <c r="G63" s="87">
        <f t="shared" si="20"/>
        <v>0</v>
      </c>
      <c r="H63" s="87">
        <f t="shared" si="20"/>
        <v>0</v>
      </c>
      <c r="I63" s="87">
        <f t="shared" si="20"/>
        <v>0</v>
      </c>
      <c r="J63" s="87">
        <f t="shared" si="20"/>
        <v>0</v>
      </c>
      <c r="K63" s="87">
        <f t="shared" si="20"/>
        <v>0</v>
      </c>
      <c r="L63" s="87">
        <f t="shared" si="20"/>
        <v>0</v>
      </c>
      <c r="M63" s="87">
        <f t="shared" si="20"/>
        <v>0</v>
      </c>
      <c r="N63" s="87">
        <f t="shared" si="20"/>
        <v>0</v>
      </c>
    </row>
    <row r="64" spans="1:14">
      <c r="A64" s="85"/>
      <c r="B64" s="86" t="s">
        <v>147</v>
      </c>
      <c r="C64" s="98">
        <f>'Form A As Proposed'!C64-'Form A As Filed'!C64</f>
        <v>-159592985</v>
      </c>
      <c r="D64" s="98">
        <f>'Form A As Proposed'!D64-'Form A As Filed'!D64</f>
        <v>-45355067</v>
      </c>
      <c r="E64" s="98">
        <f>'Form A As Proposed'!E64-'Form A As Filed'!E64</f>
        <v>-12570264</v>
      </c>
      <c r="F64" s="98">
        <f>'Form A As Proposed'!F64-'Form A As Filed'!F64</f>
        <v>-13757946</v>
      </c>
      <c r="G64" s="98">
        <f>'Form A As Proposed'!G64-'Form A As Filed'!G64</f>
        <v>-13975940</v>
      </c>
      <c r="H64" s="98">
        <f>'Form A As Proposed'!H64-'Form A As Filed'!H64</f>
        <v>-15588723</v>
      </c>
      <c r="I64" s="98">
        <f>'Form A As Proposed'!I64-'Form A As Filed'!I64</f>
        <v>-14488482</v>
      </c>
      <c r="J64" s="98">
        <f>'Form A As Proposed'!J64-'Form A As Filed'!J64</f>
        <v>-11351081</v>
      </c>
      <c r="K64" s="98">
        <f>'Form A As Proposed'!K64-'Form A As Filed'!K64</f>
        <v>-9288936</v>
      </c>
      <c r="L64" s="98">
        <f>'Form A As Proposed'!L64-'Form A As Filed'!L64</f>
        <v>-8175575</v>
      </c>
      <c r="M64" s="98">
        <f>'Form A As Proposed'!M64-'Form A As Filed'!M64</f>
        <v>-5945056</v>
      </c>
      <c r="N64" s="98">
        <f>'Form A As Proposed'!N64-'Form A As Filed'!N64</f>
        <v>-5844615</v>
      </c>
    </row>
    <row r="65" spans="1:14">
      <c r="A65" s="85"/>
      <c r="B65" s="86" t="s">
        <v>148</v>
      </c>
      <c r="C65" s="98">
        <f>'Form A As Proposed'!C65-'Form A As Filed'!C65</f>
        <v>0</v>
      </c>
      <c r="D65" s="98">
        <f>'Form A As Proposed'!D65-'Form A As Filed'!D65</f>
        <v>0</v>
      </c>
      <c r="E65" s="107">
        <f>'Form A As Proposed'!E65-'Form A As Filed'!E65</f>
        <v>0</v>
      </c>
      <c r="F65" s="107">
        <f>'Form A As Proposed'!F65-'Form A As Filed'!F65</f>
        <v>0</v>
      </c>
      <c r="G65" s="107">
        <f>'Form A As Proposed'!G65-'Form A As Filed'!G65</f>
        <v>0</v>
      </c>
      <c r="H65" s="107">
        <f>'Form A As Proposed'!H65-'Form A As Filed'!H65</f>
        <v>0</v>
      </c>
      <c r="I65" s="107">
        <f>'Form A As Proposed'!I65-'Form A As Filed'!I65</f>
        <v>0</v>
      </c>
      <c r="J65" s="107">
        <f>'Form A As Proposed'!J65-'Form A As Filed'!J65</f>
        <v>0</v>
      </c>
      <c r="K65" s="107">
        <f>'Form A As Proposed'!K65-'Form A As Filed'!K65</f>
        <v>0</v>
      </c>
      <c r="L65" s="107">
        <f>'Form A As Proposed'!L65-'Form A As Filed'!L65</f>
        <v>0</v>
      </c>
      <c r="M65" s="107">
        <f>'Form A As Proposed'!M65-'Form A As Filed'!M65</f>
        <v>0</v>
      </c>
      <c r="N65" s="107">
        <f>'Form A As Proposed'!N65-'Form A As Filed'!N65</f>
        <v>0</v>
      </c>
    </row>
    <row r="66" spans="1:14">
      <c r="A66" s="85"/>
      <c r="B66" s="86" t="s">
        <v>149</v>
      </c>
      <c r="C66" s="88">
        <f t="shared" ref="C66:N66" si="21">C64-C65</f>
        <v>-159592985</v>
      </c>
      <c r="D66" s="88">
        <f t="shared" si="21"/>
        <v>-45355067</v>
      </c>
      <c r="E66" s="88">
        <f t="shared" si="21"/>
        <v>-12570264</v>
      </c>
      <c r="F66" s="88">
        <f t="shared" si="21"/>
        <v>-13757946</v>
      </c>
      <c r="G66" s="88">
        <f t="shared" si="21"/>
        <v>-13975940</v>
      </c>
      <c r="H66" s="88">
        <f t="shared" si="21"/>
        <v>-15588723</v>
      </c>
      <c r="I66" s="88">
        <f t="shared" si="21"/>
        <v>-14488482</v>
      </c>
      <c r="J66" s="88">
        <f t="shared" si="21"/>
        <v>-11351081</v>
      </c>
      <c r="K66" s="88">
        <f t="shared" si="21"/>
        <v>-9288936</v>
      </c>
      <c r="L66" s="88">
        <f t="shared" si="21"/>
        <v>-8175575</v>
      </c>
      <c r="M66" s="88">
        <f t="shared" si="21"/>
        <v>-5945056</v>
      </c>
      <c r="N66" s="88">
        <f t="shared" si="21"/>
        <v>-5844615</v>
      </c>
    </row>
    <row r="67" spans="1:14">
      <c r="A67" s="85"/>
      <c r="B67" s="86" t="s">
        <v>150</v>
      </c>
      <c r="C67" s="90">
        <v>0</v>
      </c>
      <c r="D67" s="90"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</row>
    <row r="68" spans="1:14">
      <c r="A68" s="85"/>
      <c r="B68" s="86" t="s">
        <v>151</v>
      </c>
      <c r="C68" s="87">
        <f t="shared" ref="C68:N68" si="22">IF(C67=0,ROUND(C66*C61,0),ROUND(C66*C67,0))</f>
        <v>47878</v>
      </c>
      <c r="D68" s="87">
        <f t="shared" si="22"/>
        <v>26759</v>
      </c>
      <c r="E68" s="87">
        <f t="shared" si="22"/>
        <v>-3394</v>
      </c>
      <c r="F68" s="87">
        <f t="shared" si="22"/>
        <v>-3852</v>
      </c>
      <c r="G68" s="87">
        <f t="shared" si="22"/>
        <v>-2516</v>
      </c>
      <c r="H68" s="87">
        <f t="shared" si="22"/>
        <v>-2806</v>
      </c>
      <c r="I68" s="87">
        <f t="shared" si="22"/>
        <v>-2608</v>
      </c>
      <c r="J68" s="87">
        <f t="shared" si="22"/>
        <v>-2157</v>
      </c>
      <c r="K68" s="87">
        <f t="shared" si="22"/>
        <v>-1393</v>
      </c>
      <c r="L68" s="87">
        <f t="shared" si="22"/>
        <v>-1063</v>
      </c>
      <c r="M68" s="87">
        <f t="shared" si="22"/>
        <v>-476</v>
      </c>
      <c r="N68" s="87">
        <f t="shared" si="22"/>
        <v>-409</v>
      </c>
    </row>
    <row r="69" spans="1:14">
      <c r="A69" s="85"/>
      <c r="B69" s="86" t="s">
        <v>152</v>
      </c>
      <c r="C69" s="97">
        <f t="shared" ref="C69:N69" si="23">C63-C68</f>
        <v>-47878</v>
      </c>
      <c r="D69" s="97">
        <f t="shared" si="23"/>
        <v>-26759</v>
      </c>
      <c r="E69" s="97">
        <f t="shared" si="23"/>
        <v>3394</v>
      </c>
      <c r="F69" s="97">
        <f t="shared" si="23"/>
        <v>3852</v>
      </c>
      <c r="G69" s="97">
        <f t="shared" si="23"/>
        <v>2516</v>
      </c>
      <c r="H69" s="97">
        <f t="shared" si="23"/>
        <v>2806</v>
      </c>
      <c r="I69" s="97">
        <f t="shared" si="23"/>
        <v>2608</v>
      </c>
      <c r="J69" s="97">
        <f t="shared" si="23"/>
        <v>2157</v>
      </c>
      <c r="K69" s="97">
        <f t="shared" si="23"/>
        <v>1393</v>
      </c>
      <c r="L69" s="97">
        <f t="shared" si="23"/>
        <v>1063</v>
      </c>
      <c r="M69" s="97">
        <f t="shared" si="23"/>
        <v>476</v>
      </c>
      <c r="N69" s="97">
        <f t="shared" si="23"/>
        <v>409</v>
      </c>
    </row>
    <row r="70" spans="1:14">
      <c r="A70" s="85"/>
      <c r="B70" s="86" t="s">
        <v>153</v>
      </c>
      <c r="C70" s="88">
        <f t="shared" ref="C70:N70" si="24">C52</f>
        <v>-12570264</v>
      </c>
      <c r="D70" s="88">
        <f t="shared" si="24"/>
        <v>-13757946</v>
      </c>
      <c r="E70" s="88">
        <f t="shared" si="24"/>
        <v>-13975940</v>
      </c>
      <c r="F70" s="88">
        <f t="shared" si="24"/>
        <v>-15588723</v>
      </c>
      <c r="G70" s="88">
        <f t="shared" si="24"/>
        <v>-14488482</v>
      </c>
      <c r="H70" s="88">
        <f t="shared" si="24"/>
        <v>-11351081</v>
      </c>
      <c r="I70" s="88">
        <f t="shared" si="24"/>
        <v>-9288936</v>
      </c>
      <c r="J70" s="88">
        <f t="shared" si="24"/>
        <v>-8175575</v>
      </c>
      <c r="K70" s="88">
        <f t="shared" si="24"/>
        <v>-5945056</v>
      </c>
      <c r="L70" s="88">
        <f t="shared" si="24"/>
        <v>-5844615</v>
      </c>
      <c r="M70" s="88">
        <f t="shared" si="24"/>
        <v>-5361203</v>
      </c>
      <c r="N70" s="88">
        <f t="shared" si="24"/>
        <v>-4771713</v>
      </c>
    </row>
    <row r="71" spans="1:14">
      <c r="A71" s="85"/>
      <c r="B71" s="86" t="s">
        <v>149</v>
      </c>
      <c r="C71" s="88">
        <f>'Form A As Proposed'!C71-'Form A As Filed'!C71</f>
        <v>-12570264</v>
      </c>
      <c r="D71" s="88">
        <f>'Form A As Proposed'!D71-'Form A As Filed'!D71</f>
        <v>-13757946</v>
      </c>
      <c r="E71" s="88">
        <f>'Form A As Proposed'!E71-'Form A As Filed'!E71</f>
        <v>-13975940</v>
      </c>
      <c r="F71" s="88">
        <f>'Form A As Proposed'!F71-'Form A As Filed'!F71</f>
        <v>-15588723</v>
      </c>
      <c r="G71" s="88">
        <f>'Form A As Proposed'!G71-'Form A As Filed'!G71</f>
        <v>-14488482</v>
      </c>
      <c r="H71" s="88">
        <f>'Form A As Proposed'!H71-'Form A As Filed'!H71</f>
        <v>-11351081</v>
      </c>
      <c r="I71" s="88">
        <f>'Form A As Proposed'!I71-'Form A As Filed'!I71</f>
        <v>-9288936</v>
      </c>
      <c r="J71" s="88">
        <f>'Form A As Proposed'!J71-'Form A As Filed'!J71</f>
        <v>-8175575</v>
      </c>
      <c r="K71" s="88">
        <f>'Form A As Proposed'!K71-'Form A As Filed'!K71</f>
        <v>-5945056</v>
      </c>
      <c r="L71" s="88">
        <f>'Form A As Proposed'!L71-'Form A As Filed'!L71</f>
        <v>-5844615</v>
      </c>
      <c r="M71" s="88">
        <f>'Form A As Proposed'!M71-'Form A As Filed'!M71</f>
        <v>-5361203</v>
      </c>
      <c r="N71" s="88">
        <f>'Form A As Proposed'!N71-'Form A As Filed'!N71</f>
        <v>-4771713</v>
      </c>
    </row>
    <row r="72" spans="1:14">
      <c r="A72" s="85"/>
      <c r="B72" s="86" t="s">
        <v>154</v>
      </c>
      <c r="C72" s="89">
        <f>IF(C71=0,0,ROUND(C70/C71,8))</f>
        <v>1</v>
      </c>
      <c r="D72" s="89">
        <f t="shared" ref="D72:N72" si="25">IF(D71=0,0,ROUND(D70/D71,8))</f>
        <v>1</v>
      </c>
      <c r="E72" s="89">
        <f t="shared" si="25"/>
        <v>1</v>
      </c>
      <c r="F72" s="89">
        <f t="shared" si="25"/>
        <v>1</v>
      </c>
      <c r="G72" s="89">
        <f t="shared" si="25"/>
        <v>1</v>
      </c>
      <c r="H72" s="89">
        <f t="shared" si="25"/>
        <v>1</v>
      </c>
      <c r="I72" s="89">
        <f t="shared" si="25"/>
        <v>1</v>
      </c>
      <c r="J72" s="89">
        <f t="shared" si="25"/>
        <v>1</v>
      </c>
      <c r="K72" s="89">
        <f t="shared" si="25"/>
        <v>1</v>
      </c>
      <c r="L72" s="89">
        <f t="shared" si="25"/>
        <v>1</v>
      </c>
      <c r="M72" s="89">
        <f t="shared" si="25"/>
        <v>1</v>
      </c>
      <c r="N72" s="89">
        <f t="shared" si="25"/>
        <v>1</v>
      </c>
    </row>
    <row r="73" spans="1:14">
      <c r="A73" s="92"/>
      <c r="B73" s="93" t="s">
        <v>155</v>
      </c>
      <c r="C73" s="104">
        <f t="shared" ref="C73:N73" si="26">ROUND(C69*C72,0)</f>
        <v>-47878</v>
      </c>
      <c r="D73" s="104">
        <f t="shared" si="26"/>
        <v>-26759</v>
      </c>
      <c r="E73" s="104">
        <f t="shared" si="26"/>
        <v>3394</v>
      </c>
      <c r="F73" s="104">
        <f t="shared" si="26"/>
        <v>3852</v>
      </c>
      <c r="G73" s="104">
        <f t="shared" si="26"/>
        <v>2516</v>
      </c>
      <c r="H73" s="104">
        <f t="shared" si="26"/>
        <v>2806</v>
      </c>
      <c r="I73" s="104">
        <f t="shared" si="26"/>
        <v>2608</v>
      </c>
      <c r="J73" s="104">
        <f t="shared" si="26"/>
        <v>2157</v>
      </c>
      <c r="K73" s="104">
        <f t="shared" si="26"/>
        <v>1393</v>
      </c>
      <c r="L73" s="104">
        <f t="shared" si="26"/>
        <v>1063</v>
      </c>
      <c r="M73" s="104">
        <f t="shared" si="26"/>
        <v>476</v>
      </c>
      <c r="N73" s="104">
        <f t="shared" si="26"/>
        <v>409</v>
      </c>
    </row>
    <row r="76" spans="1:14">
      <c r="A76" s="105"/>
    </row>
    <row r="94" spans="6:6">
      <c r="F94" s="80">
        <f>VLOOKUP(F$1,'As Proposed'!$A$6:$BQ$32,'As Proposed'!$O$5,FALSE)</f>
        <v>6672928.0300000003</v>
      </c>
    </row>
    <row r="95" spans="6:6">
      <c r="F95" s="80">
        <f>VLOOKUP(F$1,'As Proposed'!$A$6:$BQ$32,'As Proposed'!$P$5,FALSE)</f>
        <v>3775334.39</v>
      </c>
    </row>
    <row r="96" spans="6:6">
      <c r="F96" s="80">
        <f>VLOOKUP(F$1,'As Proposed'!$A$6:$BQ$32,'As Proposed'!$Q$5,FALSE)</f>
        <v>281308.2</v>
      </c>
    </row>
    <row r="97" spans="6:6">
      <c r="F97" s="108">
        <f>VLOOKUP(F$1,'As Proposed'!$A$6:$BQ$32,'As Proposed'!$R$5,FALSE)--VLOOKUP(F$1,'As Proposed'!$A$6:$BQ$32,'As Proposed'!$U$5,FALSE)</f>
        <v>172252.63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40"/>
  <sheetViews>
    <sheetView showGridLines="0" tabSelected="1" topLeftCell="A13" zoomScaleNormal="100" zoomScaleSheetLayoutView="70" workbookViewId="0">
      <selection activeCell="D37" sqref="D37"/>
    </sheetView>
  </sheetViews>
  <sheetFormatPr defaultColWidth="11" defaultRowHeight="15.75"/>
  <cols>
    <col min="1" max="1" width="4.85546875" style="111" customWidth="1"/>
    <col min="2" max="2" width="17" style="111" customWidth="1"/>
    <col min="3" max="3" width="12.140625" style="111" customWidth="1"/>
    <col min="4" max="4" width="20.140625" style="111" customWidth="1"/>
    <col min="5" max="5" width="4" style="111" customWidth="1"/>
    <col min="6" max="6" width="20.140625" style="111" customWidth="1"/>
    <col min="7" max="7" width="3.5703125" style="111" customWidth="1"/>
    <col min="8" max="8" width="14.7109375" style="111" bestFit="1" customWidth="1"/>
    <col min="9" max="9" width="13.140625" style="111" customWidth="1"/>
    <col min="10" max="10" width="13.28515625" style="111" bestFit="1" customWidth="1"/>
    <col min="11" max="11" width="21.140625" style="111" bestFit="1" customWidth="1"/>
    <col min="12" max="12" width="3" style="111" customWidth="1"/>
    <col min="13" max="13" width="21.140625" style="111" bestFit="1" customWidth="1"/>
    <col min="14" max="14" width="2.85546875" style="111" customWidth="1"/>
    <col min="15" max="15" width="13.5703125" style="111" bestFit="1" customWidth="1"/>
    <col min="16" max="16384" width="11" style="111"/>
  </cols>
  <sheetData>
    <row r="1" spans="1:15">
      <c r="A1" s="110"/>
      <c r="B1" s="110"/>
      <c r="C1" s="110"/>
      <c r="D1" s="110"/>
      <c r="E1" s="110"/>
    </row>
    <row r="2" spans="1:15">
      <c r="A2" s="112"/>
    </row>
    <row r="3" spans="1:15">
      <c r="F3" s="113" t="str">
        <f>'[1]Ex 1'!$K$1</f>
        <v>Exhibit 1</v>
      </c>
    </row>
    <row r="4" spans="1:15">
      <c r="F4" s="114" t="str">
        <f>"Reference Schedule "&amp;[1]Inputs!$A17&amp;""</f>
        <v>Reference Schedule 1.01</v>
      </c>
    </row>
    <row r="5" spans="1:15">
      <c r="F5" s="114" t="str">
        <f>"Sponsoring Witness: "&amp;[1]Inputs!$B17&amp;""</f>
        <v>Sponsoring Witness: Conroy</v>
      </c>
    </row>
    <row r="8" spans="1:15">
      <c r="B8" s="115" t="s">
        <v>157</v>
      </c>
      <c r="C8" s="115"/>
      <c r="D8" s="115"/>
      <c r="E8" s="115"/>
      <c r="F8" s="115"/>
    </row>
    <row r="9" spans="1:15">
      <c r="B9" s="116"/>
      <c r="C9" s="116"/>
      <c r="D9" s="116"/>
      <c r="E9" s="116"/>
      <c r="F9" s="117"/>
    </row>
    <row r="10" spans="1:15">
      <c r="B10" s="118"/>
      <c r="C10" s="118"/>
      <c r="D10" s="118"/>
      <c r="E10" s="118"/>
      <c r="F10" s="118"/>
    </row>
    <row r="11" spans="1:15">
      <c r="B11" s="118" t="s">
        <v>158</v>
      </c>
      <c r="C11" s="118"/>
      <c r="D11" s="118"/>
      <c r="E11" s="118"/>
      <c r="F11" s="118"/>
    </row>
    <row r="12" spans="1:15">
      <c r="B12" s="119" t="str">
        <f>"For the Twelve Months Ended "&amp;[1]Inputs!B3&amp;""</f>
        <v>For the Twelve Months Ended March 31, 2012</v>
      </c>
      <c r="C12" s="119"/>
      <c r="D12" s="119"/>
      <c r="E12" s="119"/>
      <c r="F12" s="119"/>
    </row>
    <row r="13" spans="1:15">
      <c r="B13" s="112"/>
    </row>
    <row r="15" spans="1:15">
      <c r="D15" s="111" t="s">
        <v>166</v>
      </c>
      <c r="F15" s="134" t="s">
        <v>167</v>
      </c>
      <c r="H15" s="134" t="s">
        <v>168</v>
      </c>
      <c r="K15" s="111" t="s">
        <v>166</v>
      </c>
      <c r="M15" s="134" t="s">
        <v>167</v>
      </c>
      <c r="O15" s="134" t="s">
        <v>168</v>
      </c>
    </row>
    <row r="16" spans="1:15">
      <c r="B16" s="120"/>
      <c r="C16" s="120"/>
      <c r="D16" s="121" t="s">
        <v>159</v>
      </c>
      <c r="F16" s="121" t="s">
        <v>159</v>
      </c>
      <c r="H16" s="121" t="s">
        <v>159</v>
      </c>
      <c r="K16" s="121" t="s">
        <v>12</v>
      </c>
      <c r="M16" s="121" t="s">
        <v>12</v>
      </c>
      <c r="O16" s="121" t="s">
        <v>12</v>
      </c>
    </row>
    <row r="17" spans="1:15">
      <c r="C17" s="120"/>
      <c r="D17" s="122" t="s">
        <v>160</v>
      </c>
      <c r="F17" s="122" t="s">
        <v>160</v>
      </c>
      <c r="H17" s="122" t="s">
        <v>160</v>
      </c>
      <c r="K17" s="122" t="s">
        <v>161</v>
      </c>
      <c r="M17" s="122" t="s">
        <v>161</v>
      </c>
      <c r="O17" s="122" t="s">
        <v>160</v>
      </c>
    </row>
    <row r="18" spans="1:15">
      <c r="A18" s="123"/>
      <c r="B18" s="122" t="s">
        <v>12</v>
      </c>
      <c r="C18" s="120"/>
      <c r="D18" s="122" t="s">
        <v>162</v>
      </c>
      <c r="F18" s="122" t="s">
        <v>162</v>
      </c>
      <c r="H18" s="122" t="s">
        <v>162</v>
      </c>
      <c r="K18" s="122" t="s">
        <v>162</v>
      </c>
      <c r="M18" s="122" t="s">
        <v>162</v>
      </c>
      <c r="O18" s="122" t="s">
        <v>162</v>
      </c>
    </row>
    <row r="19" spans="1:15">
      <c r="A19" s="123"/>
      <c r="B19" s="124" t="s">
        <v>28</v>
      </c>
      <c r="C19" s="120"/>
      <c r="D19" s="124" t="s">
        <v>163</v>
      </c>
      <c r="F19" s="124" t="s">
        <v>163</v>
      </c>
      <c r="H19" s="124" t="s">
        <v>163</v>
      </c>
      <c r="K19" s="124" t="s">
        <v>163</v>
      </c>
      <c r="M19" s="124" t="s">
        <v>163</v>
      </c>
      <c r="O19" s="124" t="s">
        <v>163</v>
      </c>
    </row>
    <row r="20" spans="1:15">
      <c r="A20" s="125"/>
      <c r="B20" s="120"/>
      <c r="C20" s="120"/>
      <c r="D20" s="120"/>
      <c r="F20" s="120"/>
      <c r="H20" s="120"/>
      <c r="K20" s="120"/>
      <c r="M20" s="120"/>
      <c r="O20" s="120"/>
    </row>
    <row r="21" spans="1:15">
      <c r="B21" s="126">
        <v>40634</v>
      </c>
      <c r="C21" s="120"/>
      <c r="D21" s="127">
        <v>-413989</v>
      </c>
      <c r="E21" s="133"/>
      <c r="F21" s="127">
        <v>-413989</v>
      </c>
      <c r="G21" s="126"/>
      <c r="H21" s="127">
        <f>D21-F21</f>
        <v>0</v>
      </c>
      <c r="K21" s="127">
        <v>713650</v>
      </c>
      <c r="M21" s="127">
        <v>373214.11090000003</v>
      </c>
      <c r="O21" s="127">
        <f>K21-M21</f>
        <v>340435.88909999997</v>
      </c>
    </row>
    <row r="22" spans="1:15">
      <c r="B22" s="126">
        <v>40664</v>
      </c>
      <c r="C22" s="120"/>
      <c r="D22" s="127">
        <v>-764843</v>
      </c>
      <c r="E22" s="133"/>
      <c r="F22" s="127">
        <v>-764843</v>
      </c>
      <c r="G22" s="126"/>
      <c r="H22" s="127">
        <f t="shared" ref="H22:H32" si="0">D22-F22</f>
        <v>0</v>
      </c>
      <c r="K22" s="127">
        <v>2225189</v>
      </c>
      <c r="M22" s="127">
        <v>1868841.9415799999</v>
      </c>
      <c r="O22" s="127">
        <f t="shared" ref="O22:O32" si="1">K22-M22</f>
        <v>356347.05842000013</v>
      </c>
    </row>
    <row r="23" spans="1:15">
      <c r="B23" s="126">
        <v>40695</v>
      </c>
      <c r="C23" s="120"/>
      <c r="D23" s="127">
        <v>854359</v>
      </c>
      <c r="E23" s="133"/>
      <c r="F23" s="127">
        <v>442436</v>
      </c>
      <c r="G23" s="126"/>
      <c r="H23" s="127">
        <f t="shared" si="0"/>
        <v>411923</v>
      </c>
      <c r="K23" s="127">
        <v>1917915</v>
      </c>
      <c r="M23" s="127">
        <v>1659021.0361200001</v>
      </c>
      <c r="O23" s="127">
        <f t="shared" si="1"/>
        <v>258893.96387999994</v>
      </c>
    </row>
    <row r="24" spans="1:15">
      <c r="B24" s="126">
        <v>40725</v>
      </c>
      <c r="C24" s="120"/>
      <c r="D24" s="127">
        <v>2651046</v>
      </c>
      <c r="E24" s="133"/>
      <c r="F24" s="127">
        <v>2203882</v>
      </c>
      <c r="G24" s="126"/>
      <c r="H24" s="127">
        <f t="shared" si="0"/>
        <v>447164</v>
      </c>
      <c r="K24" s="127">
        <v>5716338</v>
      </c>
      <c r="M24" s="127">
        <v>5453174.9188799998</v>
      </c>
      <c r="O24" s="127">
        <f t="shared" si="1"/>
        <v>263163.08112000022</v>
      </c>
    </row>
    <row r="25" spans="1:15">
      <c r="B25" s="126">
        <v>40756</v>
      </c>
      <c r="C25" s="120"/>
      <c r="D25" s="127">
        <v>2213662</v>
      </c>
      <c r="E25" s="133"/>
      <c r="F25" s="127">
        <v>1897425</v>
      </c>
      <c r="G25" s="126"/>
      <c r="H25" s="127">
        <f t="shared" si="0"/>
        <v>316237</v>
      </c>
      <c r="K25" s="127">
        <v>4325174</v>
      </c>
      <c r="M25" s="127">
        <v>4052858.3661200004</v>
      </c>
      <c r="O25" s="127">
        <f t="shared" si="1"/>
        <v>272315.63387999963</v>
      </c>
    </row>
    <row r="26" spans="1:15">
      <c r="B26" s="126">
        <v>40787</v>
      </c>
      <c r="C26" s="120"/>
      <c r="D26" s="127">
        <v>5340026</v>
      </c>
      <c r="E26" s="133"/>
      <c r="F26" s="127">
        <v>5048751</v>
      </c>
      <c r="G26" s="126"/>
      <c r="H26" s="127">
        <f t="shared" si="0"/>
        <v>291275</v>
      </c>
      <c r="K26" s="127">
        <v>2448083</v>
      </c>
      <c r="M26" s="127">
        <v>2211015.8520899997</v>
      </c>
      <c r="O26" s="127">
        <f t="shared" si="1"/>
        <v>237067.14791000029</v>
      </c>
    </row>
    <row r="27" spans="1:15">
      <c r="B27" s="126">
        <v>40817</v>
      </c>
      <c r="C27" s="120"/>
      <c r="D27" s="127">
        <v>3707536</v>
      </c>
      <c r="E27" s="133"/>
      <c r="F27" s="127">
        <v>3444797</v>
      </c>
      <c r="G27" s="126"/>
      <c r="H27" s="127">
        <f t="shared" si="0"/>
        <v>262739</v>
      </c>
      <c r="K27" s="127">
        <v>-2649993</v>
      </c>
      <c r="M27" s="127">
        <v>-2873345.1453</v>
      </c>
      <c r="O27" s="127">
        <f t="shared" si="1"/>
        <v>223352.14529999997</v>
      </c>
    </row>
    <row r="28" spans="1:15">
      <c r="B28" s="126">
        <v>40848</v>
      </c>
      <c r="C28" s="120"/>
      <c r="D28" s="127">
        <v>2287232</v>
      </c>
      <c r="E28" s="133"/>
      <c r="F28" s="127">
        <v>2048455</v>
      </c>
      <c r="G28" s="126"/>
      <c r="H28" s="127">
        <f t="shared" si="0"/>
        <v>238777</v>
      </c>
      <c r="K28" s="127">
        <v>-600413</v>
      </c>
      <c r="M28" s="127">
        <v>-786511.11671999993</v>
      </c>
      <c r="O28" s="127">
        <f t="shared" si="1"/>
        <v>186098.11671999993</v>
      </c>
    </row>
    <row r="29" spans="1:15">
      <c r="B29" s="126">
        <v>40878</v>
      </c>
      <c r="C29" s="120"/>
      <c r="D29" s="127">
        <v>-2882538</v>
      </c>
      <c r="E29" s="133"/>
      <c r="F29" s="127">
        <v>-3104271</v>
      </c>
      <c r="G29" s="126"/>
      <c r="H29" s="127">
        <f t="shared" si="0"/>
        <v>221733</v>
      </c>
      <c r="K29" s="127">
        <v>-425373</v>
      </c>
      <c r="M29" s="127">
        <v>-553490.67235000001</v>
      </c>
      <c r="O29" s="127">
        <f t="shared" si="1"/>
        <v>128117.67235000001</v>
      </c>
    </row>
    <row r="30" spans="1:15">
      <c r="B30" s="126">
        <v>40909</v>
      </c>
      <c r="C30" s="120"/>
      <c r="D30" s="127">
        <v>-693503</v>
      </c>
      <c r="E30" s="133"/>
      <c r="F30" s="127">
        <v>-903167</v>
      </c>
      <c r="G30" s="126"/>
      <c r="H30" s="127">
        <f t="shared" si="0"/>
        <v>209664</v>
      </c>
      <c r="K30" s="127">
        <v>-51282</v>
      </c>
      <c r="M30" s="127">
        <v>-171525.09420000002</v>
      </c>
      <c r="O30" s="127">
        <f t="shared" si="1"/>
        <v>120243.09420000002</v>
      </c>
    </row>
    <row r="31" spans="1:15">
      <c r="B31" s="126">
        <v>40940</v>
      </c>
      <c r="C31" s="120"/>
      <c r="D31" s="127">
        <v>-459985</v>
      </c>
      <c r="E31" s="128"/>
      <c r="F31" s="127">
        <v>-596277</v>
      </c>
      <c r="G31" s="126"/>
      <c r="H31" s="127">
        <f t="shared" si="0"/>
        <v>136292</v>
      </c>
      <c r="K31" s="127">
        <f>'Form A As Proposed'!M9*'Form A As Proposed'!M71</f>
        <v>938902.9555299991</v>
      </c>
      <c r="M31" s="127">
        <v>834055.04304000002</v>
      </c>
      <c r="O31" s="127">
        <f t="shared" si="1"/>
        <v>104847.91248999909</v>
      </c>
    </row>
    <row r="32" spans="1:15">
      <c r="B32" s="126">
        <v>40969</v>
      </c>
      <c r="C32" s="120"/>
      <c r="D32" s="127">
        <v>-44141</v>
      </c>
      <c r="E32" s="128"/>
      <c r="F32" s="127">
        <v>-147138</v>
      </c>
      <c r="G32" s="126"/>
      <c r="H32" s="127">
        <f t="shared" si="0"/>
        <v>102997</v>
      </c>
      <c r="K32" s="127">
        <f>'Form A As Proposed'!N9*'Form A As Proposed'!N71</f>
        <v>841654.37159999972</v>
      </c>
      <c r="M32" s="127">
        <v>717839.78949</v>
      </c>
      <c r="O32" s="127">
        <f t="shared" si="1"/>
        <v>123814.58210999973</v>
      </c>
    </row>
    <row r="33" spans="2:15" ht="16.5" thickBot="1">
      <c r="B33" s="120" t="s">
        <v>58</v>
      </c>
      <c r="C33" s="120"/>
      <c r="D33" s="129">
        <f>SUM(D21:D32)</f>
        <v>11794862</v>
      </c>
      <c r="F33" s="129">
        <f>SUM(F21:F32)</f>
        <v>9156061</v>
      </c>
      <c r="H33" s="129">
        <f>SUM(H21:H32)</f>
        <v>2638801</v>
      </c>
      <c r="K33" s="129">
        <f>SUM(K21:K32)</f>
        <v>15399845.327129999</v>
      </c>
      <c r="M33" s="129">
        <f>SUM(M21:M32)</f>
        <v>12785149.029649997</v>
      </c>
      <c r="O33" s="129">
        <f>SUM(O21:O32)</f>
        <v>2614696.2974799993</v>
      </c>
    </row>
    <row r="34" spans="2:15" ht="16.5" thickTop="1">
      <c r="B34" s="120"/>
      <c r="C34" s="120"/>
      <c r="D34" s="130"/>
      <c r="F34" s="130"/>
      <c r="H34" s="130"/>
      <c r="K34" s="130"/>
      <c r="M34" s="130"/>
      <c r="O34" s="130"/>
    </row>
    <row r="35" spans="2:15" ht="16.5" thickBot="1">
      <c r="B35" s="111" t="s">
        <v>4</v>
      </c>
      <c r="D35" s="131">
        <f>-D33</f>
        <v>-11794862</v>
      </c>
      <c r="F35" s="131">
        <f>-F33</f>
        <v>-9156061</v>
      </c>
      <c r="H35" s="131">
        <f>-H33</f>
        <v>-2638801</v>
      </c>
      <c r="K35" s="131">
        <f>-K33</f>
        <v>-15399845.327129999</v>
      </c>
      <c r="M35" s="131">
        <f>-M33</f>
        <v>-12785149.029649997</v>
      </c>
      <c r="O35" s="131">
        <f>-O33</f>
        <v>-2614696.2974799993</v>
      </c>
    </row>
    <row r="36" spans="2:15" ht="16.5" thickTop="1"/>
    <row r="37" spans="2:15">
      <c r="D37" s="130">
        <f>K33-D33</f>
        <v>3604983.3271299992</v>
      </c>
      <c r="F37" s="130">
        <f>M33-F33</f>
        <v>3629088.0296499971</v>
      </c>
    </row>
    <row r="39" spans="2:15">
      <c r="B39" s="120" t="s">
        <v>164</v>
      </c>
      <c r="F39" s="130"/>
    </row>
    <row r="40" spans="2:15">
      <c r="B40" s="132" t="s">
        <v>165</v>
      </c>
    </row>
  </sheetData>
  <mergeCells count="4">
    <mergeCell ref="B8:F8"/>
    <mergeCell ref="B10:F10"/>
    <mergeCell ref="B11:F11"/>
    <mergeCell ref="B12:F12"/>
  </mergeCells>
  <printOptions horizontalCentered="1" gridLinesSet="0"/>
  <pageMargins left="1.2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As Filed</vt:lpstr>
      <vt:lpstr>As Proposed</vt:lpstr>
      <vt:lpstr>Form A As Filed</vt:lpstr>
      <vt:lpstr>Form A As Proposed</vt:lpstr>
      <vt:lpstr>Change in Form A</vt:lpstr>
      <vt:lpstr>1.01</vt:lpstr>
      <vt:lpstr>Database</vt:lpstr>
      <vt:lpstr>'1.01'!Print_Area</vt:lpstr>
      <vt:lpstr>'As Filed'!Print_Titles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Carol Foxworthy</cp:lastModifiedBy>
  <cp:lastPrinted>2010-11-05T12:19:04Z</cp:lastPrinted>
  <dcterms:created xsi:type="dcterms:W3CDTF">1999-07-16T01:58:20Z</dcterms:created>
  <dcterms:modified xsi:type="dcterms:W3CDTF">2012-05-09T20:07:23Z</dcterms:modified>
</cp:coreProperties>
</file>