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55" yWindow="5295" windowWidth="15600" windowHeight="5025" tabRatio="975"/>
  </bookViews>
  <sheets>
    <sheet name="1.12KU" sheetId="11" r:id="rId1"/>
    <sheet name="KU Annual Depr" sheetId="7" r:id="rId2"/>
    <sheet name="ECR Annual Depr" sheetId="13" r:id="rId3"/>
    <sheet name="ECR Depreciation" sheetId="12" r:id="rId4"/>
  </sheets>
  <definedNames>
    <definedName name="_xlnm.Print_Titles" localSheetId="3">'ECR Depreciation'!$1:$5</definedName>
    <definedName name="_xlnm.Print_Titles" localSheetId="1">'KU Annual Depr'!$1:$9</definedName>
  </definedNames>
  <calcPr calcId="145621" calcMode="manual"/>
</workbook>
</file>

<file path=xl/calcChain.xml><?xml version="1.0" encoding="utf-8"?>
<calcChain xmlns="http://schemas.openxmlformats.org/spreadsheetml/2006/main">
  <c r="H300" i="7" l="1"/>
  <c r="B17" i="11" l="1"/>
  <c r="D13" i="13"/>
  <c r="D7" i="13"/>
  <c r="F7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4" i="12"/>
  <c r="F65" i="12"/>
  <c r="F6" i="12"/>
  <c r="F41" i="12" l="1"/>
  <c r="D6" i="13" s="1"/>
  <c r="D8" i="13" s="1"/>
  <c r="D10" i="13" s="1"/>
  <c r="F63" i="12"/>
  <c r="D12" i="13" s="1"/>
  <c r="D14" i="13" s="1"/>
  <c r="D16" i="13" s="1"/>
  <c r="D18" i="13" s="1"/>
  <c r="D23" i="13" s="1"/>
  <c r="D29" i="13" s="1"/>
  <c r="F66" i="12"/>
  <c r="D25" i="13" s="1"/>
  <c r="D27" i="13" s="1"/>
  <c r="H287" i="7"/>
  <c r="H286" i="7"/>
  <c r="H285" i="7"/>
  <c r="H280" i="7"/>
  <c r="H302" i="7" l="1"/>
  <c r="B15" i="11" s="1"/>
  <c r="B19" i="11" s="1"/>
  <c r="D281" i="7" l="1"/>
  <c r="H281" i="7" s="1"/>
  <c r="D284" i="7" l="1"/>
  <c r="H284" i="7" s="1"/>
  <c r="D283" i="7"/>
  <c r="H283" i="7" s="1"/>
  <c r="D282" i="7"/>
  <c r="H282" i="7" s="1"/>
  <c r="D279" i="7"/>
  <c r="H279" i="7" s="1"/>
  <c r="D278" i="7"/>
  <c r="H278" i="7" s="1"/>
  <c r="D277" i="7"/>
  <c r="H277" i="7" s="1"/>
  <c r="D276" i="7"/>
  <c r="H276" i="7" s="1"/>
  <c r="D275" i="7"/>
  <c r="H275" i="7" s="1"/>
  <c r="D274" i="7"/>
  <c r="H274" i="7" s="1"/>
  <c r="D270" i="7"/>
  <c r="D269" i="7"/>
  <c r="H269" i="7" s="1"/>
  <c r="D268" i="7"/>
  <c r="H268" i="7" s="1"/>
  <c r="D267" i="7"/>
  <c r="H267" i="7" s="1"/>
  <c r="D266" i="7"/>
  <c r="H266" i="7" s="1"/>
  <c r="D265" i="7"/>
  <c r="H265" i="7" s="1"/>
  <c r="D264" i="7"/>
  <c r="H264" i="7" s="1"/>
  <c r="D263" i="7"/>
  <c r="H263" i="7" s="1"/>
  <c r="D262" i="7"/>
  <c r="H262" i="7" s="1"/>
  <c r="D261" i="7"/>
  <c r="H261" i="7" s="1"/>
  <c r="D260" i="7"/>
  <c r="H260" i="7" s="1"/>
  <c r="D259" i="7"/>
  <c r="H259" i="7" s="1"/>
  <c r="D258" i="7"/>
  <c r="H258" i="7" s="1"/>
  <c r="D257" i="7"/>
  <c r="H257" i="7" s="1"/>
  <c r="D256" i="7"/>
  <c r="H256" i="7" s="1"/>
  <c r="D252" i="7"/>
  <c r="D251" i="7"/>
  <c r="H251" i="7" s="1"/>
  <c r="D250" i="7"/>
  <c r="H250" i="7" s="1"/>
  <c r="D249" i="7"/>
  <c r="H249" i="7" s="1"/>
  <c r="D248" i="7"/>
  <c r="H248" i="7" s="1"/>
  <c r="D247" i="7"/>
  <c r="H247" i="7" s="1"/>
  <c r="D246" i="7"/>
  <c r="H246" i="7" s="1"/>
  <c r="D245" i="7"/>
  <c r="H245" i="7" s="1"/>
  <c r="D244" i="7"/>
  <c r="H244" i="7" s="1"/>
  <c r="D243" i="7"/>
  <c r="H243" i="7" s="1"/>
  <c r="D242" i="7"/>
  <c r="H242" i="7" s="1"/>
  <c r="D241" i="7"/>
  <c r="H241" i="7" s="1"/>
  <c r="D236" i="7"/>
  <c r="D233" i="7"/>
  <c r="H233" i="7" s="1"/>
  <c r="D232" i="7"/>
  <c r="H232" i="7" s="1"/>
  <c r="D231" i="7"/>
  <c r="H231" i="7" s="1"/>
  <c r="D230" i="7"/>
  <c r="H230" i="7" s="1"/>
  <c r="D229" i="7"/>
  <c r="H229" i="7" s="1"/>
  <c r="D228" i="7"/>
  <c r="H228" i="7" s="1"/>
  <c r="D227" i="7"/>
  <c r="H227" i="7" s="1"/>
  <c r="D226" i="7"/>
  <c r="H226" i="7" s="1"/>
  <c r="D225" i="7"/>
  <c r="H225" i="7" s="1"/>
  <c r="D224" i="7"/>
  <c r="H224" i="7" s="1"/>
  <c r="D223" i="7"/>
  <c r="H223" i="7" s="1"/>
  <c r="D222" i="7"/>
  <c r="H222" i="7" s="1"/>
  <c r="D221" i="7"/>
  <c r="H221" i="7" s="1"/>
  <c r="D220" i="7"/>
  <c r="H220" i="7" s="1"/>
  <c r="D217" i="7"/>
  <c r="H217" i="7" s="1"/>
  <c r="D216" i="7"/>
  <c r="H216" i="7" s="1"/>
  <c r="D215" i="7"/>
  <c r="H215" i="7" s="1"/>
  <c r="D214" i="7"/>
  <c r="H214" i="7" s="1"/>
  <c r="D213" i="7"/>
  <c r="H213" i="7" s="1"/>
  <c r="D212" i="7"/>
  <c r="H212" i="7" s="1"/>
  <c r="D211" i="7"/>
  <c r="H211" i="7" s="1"/>
  <c r="D210" i="7"/>
  <c r="H210" i="7" s="1"/>
  <c r="D209" i="7"/>
  <c r="H209" i="7" s="1"/>
  <c r="D208" i="7"/>
  <c r="H208" i="7" s="1"/>
  <c r="D207" i="7"/>
  <c r="H207" i="7" s="1"/>
  <c r="D206" i="7"/>
  <c r="H206" i="7" s="1"/>
  <c r="D205" i="7"/>
  <c r="H205" i="7" s="1"/>
  <c r="D204" i="7"/>
  <c r="H204" i="7" s="1"/>
  <c r="D203" i="7"/>
  <c r="H203" i="7" s="1"/>
  <c r="D200" i="7"/>
  <c r="H200" i="7" s="1"/>
  <c r="D199" i="7"/>
  <c r="H199" i="7" s="1"/>
  <c r="D198" i="7"/>
  <c r="H198" i="7" s="1"/>
  <c r="D197" i="7"/>
  <c r="H197" i="7" s="1"/>
  <c r="D196" i="7"/>
  <c r="H196" i="7" s="1"/>
  <c r="D195" i="7"/>
  <c r="H195" i="7" s="1"/>
  <c r="D194" i="7"/>
  <c r="H194" i="7" s="1"/>
  <c r="D193" i="7"/>
  <c r="H193" i="7" s="1"/>
  <c r="D192" i="7"/>
  <c r="H192" i="7" s="1"/>
  <c r="D191" i="7"/>
  <c r="H191" i="7" s="1"/>
  <c r="D190" i="7"/>
  <c r="H190" i="7" s="1"/>
  <c r="D189" i="7"/>
  <c r="H189" i="7" s="1"/>
  <c r="D188" i="7"/>
  <c r="H188" i="7" s="1"/>
  <c r="D187" i="7"/>
  <c r="H187" i="7" s="1"/>
  <c r="D186" i="7"/>
  <c r="H186" i="7" s="1"/>
  <c r="D183" i="7"/>
  <c r="H183" i="7" s="1"/>
  <c r="D182" i="7"/>
  <c r="H182" i="7" s="1"/>
  <c r="D181" i="7"/>
  <c r="H181" i="7" s="1"/>
  <c r="D180" i="7"/>
  <c r="H180" i="7" s="1"/>
  <c r="D179" i="7"/>
  <c r="H179" i="7" s="1"/>
  <c r="D178" i="7"/>
  <c r="H178" i="7" s="1"/>
  <c r="D177" i="7"/>
  <c r="H177" i="7" s="1"/>
  <c r="D176" i="7"/>
  <c r="H176" i="7" s="1"/>
  <c r="D175" i="7"/>
  <c r="H175" i="7" s="1"/>
  <c r="D174" i="7"/>
  <c r="H174" i="7" s="1"/>
  <c r="D173" i="7"/>
  <c r="H173" i="7" s="1"/>
  <c r="D172" i="7"/>
  <c r="H172" i="7" s="1"/>
  <c r="D171" i="7"/>
  <c r="H171" i="7" s="1"/>
  <c r="D170" i="7"/>
  <c r="H170" i="7" s="1"/>
  <c r="D167" i="7"/>
  <c r="H167" i="7" s="1"/>
  <c r="D166" i="7"/>
  <c r="H166" i="7" s="1"/>
  <c r="D165" i="7"/>
  <c r="H165" i="7" s="1"/>
  <c r="D164" i="7"/>
  <c r="H164" i="7" s="1"/>
  <c r="D163" i="7"/>
  <c r="H163" i="7" s="1"/>
  <c r="D162" i="7"/>
  <c r="H162" i="7" s="1"/>
  <c r="D161" i="7"/>
  <c r="H161" i="7" s="1"/>
  <c r="D160" i="7"/>
  <c r="H160" i="7" s="1"/>
  <c r="D159" i="7"/>
  <c r="H159" i="7" s="1"/>
  <c r="D158" i="7"/>
  <c r="H158" i="7" s="1"/>
  <c r="D157" i="7"/>
  <c r="H157" i="7" s="1"/>
  <c r="D156" i="7"/>
  <c r="H156" i="7" s="1"/>
  <c r="D155" i="7"/>
  <c r="H155" i="7" s="1"/>
  <c r="D154" i="7"/>
  <c r="H154" i="7" s="1"/>
  <c r="D153" i="7"/>
  <c r="H153" i="7" s="1"/>
  <c r="D152" i="7"/>
  <c r="H152" i="7" s="1"/>
  <c r="D151" i="7"/>
  <c r="H151" i="7" s="1"/>
  <c r="D148" i="7"/>
  <c r="H148" i="7" s="1"/>
  <c r="D147" i="7"/>
  <c r="H147" i="7" s="1"/>
  <c r="D146" i="7"/>
  <c r="H146" i="7" s="1"/>
  <c r="D145" i="7"/>
  <c r="H145" i="7" s="1"/>
  <c r="D144" i="7"/>
  <c r="H144" i="7" s="1"/>
  <c r="D143" i="7"/>
  <c r="H143" i="7" s="1"/>
  <c r="D142" i="7"/>
  <c r="H142" i="7" s="1"/>
  <c r="D141" i="7"/>
  <c r="H141" i="7" s="1"/>
  <c r="D140" i="7"/>
  <c r="H140" i="7" s="1"/>
  <c r="D139" i="7"/>
  <c r="H139" i="7" s="1"/>
  <c r="D138" i="7"/>
  <c r="H138" i="7" s="1"/>
  <c r="D137" i="7"/>
  <c r="H137" i="7" s="1"/>
  <c r="D136" i="7"/>
  <c r="H136" i="7" s="1"/>
  <c r="D135" i="7"/>
  <c r="H135" i="7" s="1"/>
  <c r="D134" i="7"/>
  <c r="H134" i="7" s="1"/>
  <c r="D132" i="7"/>
  <c r="D131" i="7"/>
  <c r="H131" i="7" s="1"/>
  <c r="D127" i="7"/>
  <c r="H127" i="7" s="1"/>
  <c r="D126" i="7"/>
  <c r="H126" i="7" s="1"/>
  <c r="D125" i="7"/>
  <c r="H125" i="7" s="1"/>
  <c r="D124" i="7"/>
  <c r="H124" i="7" s="1"/>
  <c r="D123" i="7"/>
  <c r="H123" i="7" s="1"/>
  <c r="D122" i="7"/>
  <c r="H122" i="7" s="1"/>
  <c r="D121" i="7"/>
  <c r="H121" i="7" s="1"/>
  <c r="D120" i="7"/>
  <c r="H120" i="7" s="1"/>
  <c r="D114" i="7"/>
  <c r="D111" i="7"/>
  <c r="H111" i="7" s="1"/>
  <c r="D110" i="7"/>
  <c r="H110" i="7" s="1"/>
  <c r="D109" i="7"/>
  <c r="H109" i="7" s="1"/>
  <c r="D108" i="7"/>
  <c r="H108" i="7" s="1"/>
  <c r="D107" i="7"/>
  <c r="H107" i="7" s="1"/>
  <c r="D106" i="7"/>
  <c r="H106" i="7" s="1"/>
  <c r="D105" i="7"/>
  <c r="H105" i="7" s="1"/>
  <c r="D104" i="7"/>
  <c r="H104" i="7" s="1"/>
  <c r="D103" i="7"/>
  <c r="H103" i="7" s="1"/>
  <c r="D102" i="7"/>
  <c r="H102" i="7" s="1"/>
  <c r="D101" i="7"/>
  <c r="H101" i="7" s="1"/>
  <c r="D100" i="7"/>
  <c r="H100" i="7" s="1"/>
  <c r="D99" i="7"/>
  <c r="H99" i="7" s="1"/>
  <c r="D98" i="7"/>
  <c r="H98" i="7" s="1"/>
  <c r="D97" i="7"/>
  <c r="H97" i="7" s="1"/>
  <c r="D94" i="7"/>
  <c r="H94" i="7" s="1"/>
  <c r="D93" i="7"/>
  <c r="H93" i="7" s="1"/>
  <c r="D92" i="7"/>
  <c r="H92" i="7" s="1"/>
  <c r="D91" i="7"/>
  <c r="H91" i="7" s="1"/>
  <c r="D90" i="7"/>
  <c r="H90" i="7" s="1"/>
  <c r="D89" i="7"/>
  <c r="H89" i="7" s="1"/>
  <c r="D88" i="7"/>
  <c r="H88" i="7" s="1"/>
  <c r="D87" i="7"/>
  <c r="H87" i="7" s="1"/>
  <c r="D86" i="7"/>
  <c r="H86" i="7" s="1"/>
  <c r="D85" i="7"/>
  <c r="H85" i="7" s="1"/>
  <c r="D84" i="7"/>
  <c r="H84" i="7" s="1"/>
  <c r="D83" i="7"/>
  <c r="H83" i="7" s="1"/>
  <c r="D82" i="7"/>
  <c r="H82" i="7" s="1"/>
  <c r="D81" i="7"/>
  <c r="H81" i="7" s="1"/>
  <c r="D80" i="7"/>
  <c r="H80" i="7" s="1"/>
  <c r="D79" i="7"/>
  <c r="H79" i="7" s="1"/>
  <c r="D78" i="7"/>
  <c r="H78" i="7" s="1"/>
  <c r="D77" i="7"/>
  <c r="H77" i="7" s="1"/>
  <c r="D74" i="7"/>
  <c r="H74" i="7" s="1"/>
  <c r="D73" i="7"/>
  <c r="H73" i="7" s="1"/>
  <c r="D72" i="7"/>
  <c r="H72" i="7" s="1"/>
  <c r="D71" i="7"/>
  <c r="H71" i="7" s="1"/>
  <c r="D70" i="7"/>
  <c r="H70" i="7" s="1"/>
  <c r="D69" i="7"/>
  <c r="H69" i="7" s="1"/>
  <c r="D68" i="7"/>
  <c r="H68" i="7" s="1"/>
  <c r="D67" i="7"/>
  <c r="H67" i="7" s="1"/>
  <c r="D66" i="7"/>
  <c r="H66" i="7" s="1"/>
  <c r="D65" i="7"/>
  <c r="H65" i="7" s="1"/>
  <c r="D64" i="7"/>
  <c r="H64" i="7" s="1"/>
  <c r="D63" i="7"/>
  <c r="H63" i="7" s="1"/>
  <c r="D60" i="7"/>
  <c r="H60" i="7" s="1"/>
  <c r="D59" i="7"/>
  <c r="H59" i="7" s="1"/>
  <c r="D58" i="7"/>
  <c r="H58" i="7" s="1"/>
  <c r="D57" i="7"/>
  <c r="H57" i="7" s="1"/>
  <c r="D56" i="7"/>
  <c r="H56" i="7" s="1"/>
  <c r="D55" i="7"/>
  <c r="H55" i="7" s="1"/>
  <c r="D54" i="7"/>
  <c r="H54" i="7" s="1"/>
  <c r="D53" i="7"/>
  <c r="H53" i="7" s="1"/>
  <c r="D52" i="7"/>
  <c r="H52" i="7" s="1"/>
  <c r="D51" i="7"/>
  <c r="H51" i="7" s="1"/>
  <c r="D50" i="7"/>
  <c r="H50" i="7" s="1"/>
  <c r="D49" i="7"/>
  <c r="H49" i="7" s="1"/>
  <c r="D48" i="7"/>
  <c r="H48" i="7" s="1"/>
  <c r="D47" i="7"/>
  <c r="H47" i="7" s="1"/>
  <c r="D46" i="7"/>
  <c r="H46" i="7" s="1"/>
  <c r="D45" i="7"/>
  <c r="H45" i="7" s="1"/>
  <c r="D44" i="7"/>
  <c r="H44" i="7" s="1"/>
  <c r="D43" i="7"/>
  <c r="H43" i="7" s="1"/>
  <c r="D42" i="7"/>
  <c r="H42" i="7" s="1"/>
  <c r="D41" i="7"/>
  <c r="H41" i="7" s="1"/>
  <c r="D38" i="7"/>
  <c r="H38" i="7" s="1"/>
  <c r="D37" i="7"/>
  <c r="H37" i="7" s="1"/>
  <c r="D36" i="7"/>
  <c r="H36" i="7" s="1"/>
  <c r="D35" i="7"/>
  <c r="H35" i="7" s="1"/>
  <c r="D34" i="7"/>
  <c r="H34" i="7" s="1"/>
  <c r="D33" i="7"/>
  <c r="H33" i="7" s="1"/>
  <c r="D32" i="7"/>
  <c r="H32" i="7" s="1"/>
  <c r="D31" i="7"/>
  <c r="H31" i="7" s="1"/>
  <c r="D30" i="7"/>
  <c r="H30" i="7" s="1"/>
  <c r="D29" i="7"/>
  <c r="H29" i="7" s="1"/>
  <c r="D28" i="7"/>
  <c r="H28" i="7" s="1"/>
  <c r="D27" i="7"/>
  <c r="H27" i="7" s="1"/>
  <c r="D26" i="7"/>
  <c r="H26" i="7" s="1"/>
  <c r="D25" i="7"/>
  <c r="H25" i="7" s="1"/>
  <c r="D24" i="7"/>
  <c r="H24" i="7" s="1"/>
  <c r="D23" i="7"/>
  <c r="H23" i="7" s="1"/>
  <c r="D22" i="7"/>
  <c r="H22" i="7" s="1"/>
  <c r="D21" i="7"/>
  <c r="H21" i="7" s="1"/>
  <c r="D20" i="7"/>
  <c r="H20" i="7" s="1"/>
  <c r="D18" i="7"/>
  <c r="H18" i="7" s="1"/>
  <c r="D14" i="7"/>
  <c r="H14" i="7" s="1"/>
  <c r="D13" i="7"/>
  <c r="H13" i="7" s="1"/>
  <c r="D12" i="7"/>
  <c r="H12" i="7" s="1"/>
  <c r="D11" i="7"/>
  <c r="H11" i="7" s="1"/>
  <c r="H296" i="7" l="1"/>
  <c r="D128" i="7"/>
  <c r="D149" i="7"/>
  <c r="D201" i="7"/>
  <c r="D288" i="7"/>
  <c r="D168" i="7"/>
  <c r="D253" i="7"/>
  <c r="D271" i="7"/>
  <c r="D39" i="7"/>
  <c r="D95" i="7"/>
  <c r="D218" i="7"/>
  <c r="D234" i="7"/>
  <c r="D61" i="7"/>
  <c r="D75" i="7"/>
  <c r="D112" i="7"/>
  <c r="D184" i="7"/>
  <c r="D15" i="7"/>
  <c r="D116" i="7" l="1"/>
  <c r="D238" i="7"/>
  <c r="D290" i="7" s="1"/>
  <c r="H132" i="7" l="1"/>
  <c r="B298" i="7"/>
  <c r="B297" i="7"/>
  <c r="B296" i="7"/>
  <c r="H297" i="7" l="1"/>
  <c r="H218" i="7"/>
  <c r="H271" i="7"/>
  <c r="H298" i="7"/>
  <c r="H61" i="7"/>
  <c r="H75" i="7"/>
  <c r="H253" i="7"/>
  <c r="H39" i="7"/>
  <c r="H288" i="7"/>
  <c r="H234" i="7"/>
  <c r="H201" i="7"/>
  <c r="H184" i="7"/>
  <c r="H168" i="7"/>
  <c r="H149" i="7"/>
  <c r="H128" i="7"/>
  <c r="H112" i="7"/>
  <c r="H95" i="7"/>
  <c r="H15" i="7"/>
  <c r="H238" i="7" l="1"/>
  <c r="H116" i="7"/>
  <c r="H292" i="7" l="1"/>
</calcChain>
</file>

<file path=xl/sharedStrings.xml><?xml version="1.0" encoding="utf-8"?>
<sst xmlns="http://schemas.openxmlformats.org/spreadsheetml/2006/main" count="405" uniqueCount="247">
  <si>
    <t>Property Group</t>
  </si>
  <si>
    <t>Depreciable</t>
  </si>
  <si>
    <t>Steam Production Plant</t>
  </si>
  <si>
    <t>Hydraulic Production Plant</t>
  </si>
  <si>
    <t>Other Production Plant</t>
  </si>
  <si>
    <t>Transmission Plant</t>
  </si>
  <si>
    <t>350.1 Land Rights</t>
  </si>
  <si>
    <t>353.1 Station Equipment</t>
  </si>
  <si>
    <t>356 Overhead Conductors and Devices</t>
  </si>
  <si>
    <t>357 Underground Conduit</t>
  </si>
  <si>
    <t>Total Transmission Plant</t>
  </si>
  <si>
    <t>Distribution Plant</t>
  </si>
  <si>
    <t>360.1 Land Rights</t>
  </si>
  <si>
    <t>361 Structures and Improvements</t>
  </si>
  <si>
    <t>362 Station Equipment</t>
  </si>
  <si>
    <t>364 Poles Towers &amp; Fixtures</t>
  </si>
  <si>
    <t>365 Overhead Conductors and Devices</t>
  </si>
  <si>
    <t>366 Underground Conduit</t>
  </si>
  <si>
    <t>367 Underground Conductors &amp; Devices</t>
  </si>
  <si>
    <t>368 Line Transformers</t>
  </si>
  <si>
    <t>369 Services</t>
  </si>
  <si>
    <t>370 Meters</t>
  </si>
  <si>
    <t>371 Installations on Customer Premises</t>
  </si>
  <si>
    <t>373 Street Lighting &amp; Signal Systems</t>
  </si>
  <si>
    <t>Total Distribution Plant</t>
  </si>
  <si>
    <t>General Plant</t>
  </si>
  <si>
    <t>391.1 Office Furniture &amp; Equipment</t>
  </si>
  <si>
    <t>390.1 Structures &amp; Improvements</t>
  </si>
  <si>
    <t>393 Stores Equipment</t>
  </si>
  <si>
    <t>394 Tool, Shop &amp; Garage Equipment</t>
  </si>
  <si>
    <t>Total General Plant</t>
  </si>
  <si>
    <t>Intangible Plant</t>
  </si>
  <si>
    <t>Land</t>
  </si>
  <si>
    <t>Kentucky Utilities Company</t>
  </si>
  <si>
    <t>358 Underground Conductors &amp; Devices</t>
  </si>
  <si>
    <t>354 Towers &amp; Fixtures</t>
  </si>
  <si>
    <t>355 Poles &amp; Fixtures</t>
  </si>
  <si>
    <t>Total Intangible Plant</t>
  </si>
  <si>
    <t>390.2 Improvements to Leased Property</t>
  </si>
  <si>
    <t>391.2 Non PC Computer Equipment</t>
  </si>
  <si>
    <t>350.2 Land</t>
  </si>
  <si>
    <t>360.2 Land</t>
  </si>
  <si>
    <t>389.2 Land</t>
  </si>
  <si>
    <t xml:space="preserve">Annualized Depreciation </t>
  </si>
  <si>
    <t>ASL</t>
  </si>
  <si>
    <t>Rates</t>
  </si>
  <si>
    <t>330.10 Land Rights</t>
  </si>
  <si>
    <t>331.00 Structures and Improvements</t>
  </si>
  <si>
    <t>332.00 Reservoirs, Dams &amp; Waterways</t>
  </si>
  <si>
    <t>333.00 Water Wheels, Turbines and Generators</t>
  </si>
  <si>
    <t>334.00 Accessory Electric Equipment</t>
  </si>
  <si>
    <t>335.00 Misc. Power Plant Equipment</t>
  </si>
  <si>
    <t>336.00 Roads, Railroads and Bridges</t>
  </si>
  <si>
    <t>310.00</t>
  </si>
  <si>
    <t>311.00</t>
  </si>
  <si>
    <t>5603 Tyrone Unit 3</t>
  </si>
  <si>
    <t>5613 Green River Unit 3</t>
  </si>
  <si>
    <t>5614 Green River Unit 4</t>
  </si>
  <si>
    <t>5615 Green River Units 1&amp;2</t>
  </si>
  <si>
    <t>5604 Tyrone Units 1&amp;2</t>
  </si>
  <si>
    <t>5621 Brown Unit 1</t>
  </si>
  <si>
    <t>5622 Brown Unit 2</t>
  </si>
  <si>
    <t>5623 Brown Unit 3</t>
  </si>
  <si>
    <t>5651 Ghent Unit 1</t>
  </si>
  <si>
    <t>5652 Ghent Unit 2</t>
  </si>
  <si>
    <t>5653 Ghent Unit 3</t>
  </si>
  <si>
    <t>5654 Ghent Unit 4</t>
  </si>
  <si>
    <t>5591 System Laboratory</t>
  </si>
  <si>
    <t>312.00</t>
  </si>
  <si>
    <t>5643 Pineville Unit 3</t>
  </si>
  <si>
    <t>314.00</t>
  </si>
  <si>
    <t>315.00</t>
  </si>
  <si>
    <t>316.00</t>
  </si>
  <si>
    <t>317.00</t>
  </si>
  <si>
    <t>Total Steam</t>
  </si>
  <si>
    <t>5691 Dix Dam</t>
  </si>
  <si>
    <t>340.10</t>
  </si>
  <si>
    <t>5645 Brown CT 9 Gas Pipeline</t>
  </si>
  <si>
    <t>Structures and Improvements</t>
  </si>
  <si>
    <t>Boiler Plant Equipment</t>
  </si>
  <si>
    <t>Turbogenerator Units</t>
  </si>
  <si>
    <t xml:space="preserve">Accessory Electric Equipment </t>
  </si>
  <si>
    <t>Miscellaneous Plant Equipment</t>
  </si>
  <si>
    <t>Land Rights - 5645 Brown CT 9 Gas Pipeline</t>
  </si>
  <si>
    <t>341.00</t>
  </si>
  <si>
    <t>5635 Brown CT 5</t>
  </si>
  <si>
    <t>5636 Brown CT 6</t>
  </si>
  <si>
    <t>5637 Brown CT 7</t>
  </si>
  <si>
    <t>5638 Brown CT 8</t>
  </si>
  <si>
    <t>5639 Brown CT 9</t>
  </si>
  <si>
    <t>5640 Brown CT 10</t>
  </si>
  <si>
    <t>5641 Brown CT 11</t>
  </si>
  <si>
    <t>0470 Trimble County CT 5</t>
  </si>
  <si>
    <t>0471 Trimble County CT 6</t>
  </si>
  <si>
    <t>0473 Trimble County CT Pipeline</t>
  </si>
  <si>
    <t>0474 Trimble County CT 7</t>
  </si>
  <si>
    <t>0475 Trimble County CT 8</t>
  </si>
  <si>
    <t>0476 Trimble County CT 9</t>
  </si>
  <si>
    <t>0477 Trimble County CT 10</t>
  </si>
  <si>
    <t>342.00</t>
  </si>
  <si>
    <t>Fuel Holders, Producers and Accessories</t>
  </si>
  <si>
    <t>343.00</t>
  </si>
  <si>
    <t>Prime Movers</t>
  </si>
  <si>
    <t>344.00</t>
  </si>
  <si>
    <t>Generators</t>
  </si>
  <si>
    <t>345.00</t>
  </si>
  <si>
    <t>Accessory Electric Equipment</t>
  </si>
  <si>
    <t>346.00</t>
  </si>
  <si>
    <t>340.20</t>
  </si>
  <si>
    <t xml:space="preserve">Land </t>
  </si>
  <si>
    <t>347.00</t>
  </si>
  <si>
    <t>Total Other Production</t>
  </si>
  <si>
    <r>
      <t xml:space="preserve">Asset Retirement Obligations - Steam </t>
    </r>
    <r>
      <rPr>
        <sz val="14"/>
        <rFont val="Times New Roman"/>
        <family val="1"/>
      </rPr>
      <t>*</t>
    </r>
  </si>
  <si>
    <r>
      <t>*</t>
    </r>
    <r>
      <rPr>
        <sz val="12"/>
        <rFont val="Times New Roman"/>
        <family val="1"/>
      </rPr>
      <t xml:space="preserve"> Represents list of ARO assets.  Please note these amounts are not included in the calculation.</t>
    </r>
  </si>
  <si>
    <t>301</t>
  </si>
  <si>
    <t>Organization</t>
  </si>
  <si>
    <t>302</t>
  </si>
  <si>
    <t>Franchises and Consents</t>
  </si>
  <si>
    <t>303</t>
  </si>
  <si>
    <t xml:space="preserve">303.1 </t>
  </si>
  <si>
    <t>Total Hydraulic Plant</t>
  </si>
  <si>
    <t>TOTAL PLANT IN SERVICE</t>
  </si>
  <si>
    <r>
      <t xml:space="preserve">337.00 Asset Retirement Obligations - Hydro </t>
    </r>
    <r>
      <rPr>
        <sz val="14"/>
        <rFont val="Times New Roman"/>
        <family val="1"/>
      </rPr>
      <t>*</t>
    </r>
  </si>
  <si>
    <r>
      <t xml:space="preserve">Asset Retirement Obligations Other Production </t>
    </r>
    <r>
      <rPr>
        <sz val="14"/>
        <rFont val="Times New Roman"/>
        <family val="1"/>
      </rPr>
      <t>*</t>
    </r>
  </si>
  <si>
    <r>
      <t xml:space="preserve">374 Asset Retirement Obligations - Distribution </t>
    </r>
    <r>
      <rPr>
        <sz val="14"/>
        <rFont val="Times New Roman"/>
        <family val="1"/>
      </rPr>
      <t>*</t>
    </r>
  </si>
  <si>
    <t>359 Asset Retirement Obligations - Transmission *</t>
  </si>
  <si>
    <t>Plant</t>
  </si>
  <si>
    <t>Less:  Amounts not included in Income Statement Depreciation</t>
  </si>
  <si>
    <t>Less:  ECR Depreciation</t>
  </si>
  <si>
    <t>Total Annual Depreciation (excludes ARO amounts)</t>
  </si>
  <si>
    <t>Total Annualized Depreciation Expense excluding ECR and ARO</t>
  </si>
  <si>
    <t>0321 Trimble County Unit 2</t>
  </si>
  <si>
    <t>5660 Ghent 3 FGD</t>
  </si>
  <si>
    <t>360.2 Land (Plant Held for Future Use)</t>
  </si>
  <si>
    <t>Under</t>
  </si>
  <si>
    <t xml:space="preserve">Depreciation </t>
  </si>
  <si>
    <t>as of March 31, 2012</t>
  </si>
  <si>
    <t>03/31/12</t>
  </si>
  <si>
    <t>At March 31, 2012</t>
  </si>
  <si>
    <t>Plant Account</t>
  </si>
  <si>
    <t>392.30 Transportation Equipment - Heavy Trucks and Other</t>
  </si>
  <si>
    <t>396.30 Power Operated Equipment - Large Machinery</t>
  </si>
  <si>
    <t>ECR Plan</t>
  </si>
  <si>
    <t>Description</t>
  </si>
  <si>
    <t>Total Installed Cost</t>
  </si>
  <si>
    <t>Proposed Rates</t>
  </si>
  <si>
    <t>Proposed</t>
  </si>
  <si>
    <t>5630 Brown Unit 1,2,3 Scrubber</t>
  </si>
  <si>
    <t>5650 Ghent Unit 1 Scrubber</t>
  </si>
  <si>
    <t>5658 Ghent Unit 2 Scrubber</t>
  </si>
  <si>
    <t>0322 Trimble County Unit 2 Scrubber</t>
  </si>
  <si>
    <t>5661 Ghent Unit 4 Scrubber</t>
  </si>
  <si>
    <t>5660 Ghent 3 Scrubber</t>
  </si>
  <si>
    <t>5661 Ghent 4 Scrubber</t>
  </si>
  <si>
    <t>5697 Paddy's Run CT 13</t>
  </si>
  <si>
    <t>5696 Haefling CT 1,2,&amp;3</t>
  </si>
  <si>
    <t>Miscellaneous Intangible Plant - Software</t>
  </si>
  <si>
    <t>Customer Care Solution Software</t>
  </si>
  <si>
    <t>353.2 System Control - Microwave Equipment</t>
  </si>
  <si>
    <t>352.2 Structures and Improvements-System Control</t>
  </si>
  <si>
    <t>352.1 Structures and Improvements-Non System Control</t>
  </si>
  <si>
    <t>391.31 PC Equipment</t>
  </si>
  <si>
    <t>Proposed Depr Rate</t>
  </si>
  <si>
    <t>Proposed Monthly Depr Expense</t>
  </si>
  <si>
    <t>ECR Adjustment for Proposed Rates</t>
  </si>
  <si>
    <t>Exhibit 1</t>
  </si>
  <si>
    <t>KENTUCKY UTILITIES</t>
  </si>
  <si>
    <t xml:space="preserve">Adjustment To Reflect Annualized Depreciation Expenses </t>
  </si>
  <si>
    <t xml:space="preserve">  1. Annualized direct depreciation expense under proposed rates</t>
  </si>
  <si>
    <t xml:space="preserve">  2. Annualized depreciation for 2005 and 2006 ECR plans to be eliminated</t>
  </si>
  <si>
    <t>392.10 Transportation Equipment - Cars &amp; Light Trucks</t>
  </si>
  <si>
    <t>119961 - Brown Unit 1</t>
  </si>
  <si>
    <t xml:space="preserve">120210 - Brown Unit 1,2,3 Scrubber </t>
  </si>
  <si>
    <t>120210 - Brown Unit 1</t>
  </si>
  <si>
    <t>119961 - Brown Unit 2</t>
  </si>
  <si>
    <t>119961 - Brown Unit 3</t>
  </si>
  <si>
    <t>120210 - Brown Unit 3</t>
  </si>
  <si>
    <t>120210 - Brown Unit 2</t>
  </si>
  <si>
    <t>119962 - Ghent Unit 1</t>
  </si>
  <si>
    <t>119962 - Ghent Unit 1 Scrubber</t>
  </si>
  <si>
    <t>119962 - Ghent Unit 2</t>
  </si>
  <si>
    <t>120208 - Ghent Unit 2</t>
  </si>
  <si>
    <t>120209 - Ghent Unit 2</t>
  </si>
  <si>
    <t>119962 - Ghent Unit 2 Scrubber</t>
  </si>
  <si>
    <t>118251 - Ghent Unit 3 Scrubber</t>
  </si>
  <si>
    <t>126290 - Ghent Unit 3 Scrubber</t>
  </si>
  <si>
    <t>120209 - Ghent Unit 4</t>
  </si>
  <si>
    <t>120208 - Ghent Unit 4 Scrubber</t>
  </si>
  <si>
    <t>120208 - Ghent Unit 4</t>
  </si>
  <si>
    <t>121597 - Ghent Unit 4</t>
  </si>
  <si>
    <t>120209 - Ghent Unit 4 Scrubber</t>
  </si>
  <si>
    <t>127519 - Ghent Unit 4 Scrubber</t>
  </si>
  <si>
    <t>122657 - Brown Unit 3</t>
  </si>
  <si>
    <t>122658 - Brown Unit 2</t>
  </si>
  <si>
    <t>121682 - Trimble County Unit 2</t>
  </si>
  <si>
    <t>122279 - Ghent Unit 1</t>
  </si>
  <si>
    <t>122279 - Ghent Unit 3</t>
  </si>
  <si>
    <t>122657 - Ghent Unit 3</t>
  </si>
  <si>
    <t>122279 - Ghent Unit 4</t>
  </si>
  <si>
    <t>122657 - Ghent Unit 1</t>
  </si>
  <si>
    <t>122657 - Ghent Unit 4</t>
  </si>
  <si>
    <t>122657 - Green River Unit 3</t>
  </si>
  <si>
    <t>122657 - Green River Unit 4</t>
  </si>
  <si>
    <t>121685 - Trimble County Unit 2 Scrubber</t>
  </si>
  <si>
    <t>132872KU - Trimble County Unit 2 Scrubber</t>
  </si>
  <si>
    <t>122657 - Tyrone Unit 3</t>
  </si>
  <si>
    <t>120404 - Brown Unit 3</t>
  </si>
  <si>
    <t>126287 - Ghent Unit 4</t>
  </si>
  <si>
    <t>118251 - Ghent Unit 4</t>
  </si>
  <si>
    <t>2005 Plan Summary</t>
  </si>
  <si>
    <t>2006 Plan Summary</t>
  </si>
  <si>
    <t>2009 Plan Summary</t>
  </si>
  <si>
    <t>397.10 Communication Equipment - General Assets</t>
  </si>
  <si>
    <t>397.20 Communication Equipment - Specific Assets</t>
  </si>
  <si>
    <t>397.30 Communication Equipment - Fully Accrued</t>
  </si>
  <si>
    <t>Reference Schedule 1.12</t>
  </si>
  <si>
    <t>Sponsoring Witness: Charnas</t>
  </si>
  <si>
    <t xml:space="preserve">  3. Total annualized depreciation expense</t>
  </si>
  <si>
    <t>2005 Retirements Monthly Depreciation</t>
  </si>
  <si>
    <t>Months</t>
  </si>
  <si>
    <t>Annualized 2005 ECR Plan</t>
  </si>
  <si>
    <t>2006 Retirements Monthly Depreciation</t>
  </si>
  <si>
    <t>Annualized 2006 ECR Plan</t>
  </si>
  <si>
    <t>2005 and 2006 ECR Plans Total</t>
  </si>
  <si>
    <t>Net 2005 ECR Plan</t>
  </si>
  <si>
    <t>Net 2006  ECR Plan</t>
  </si>
  <si>
    <t>Annualized All ECR Plans Total</t>
  </si>
  <si>
    <t>Annualized 2009 ECR Plan</t>
  </si>
  <si>
    <t>122279 - Continuing Emissions Monitoring Software</t>
  </si>
  <si>
    <t>119961 - Brown Ash Handling Transmission Relocation</t>
  </si>
  <si>
    <t>2005 ECR Plan Monthly Depreciation (from next page)</t>
  </si>
  <si>
    <t>2006 ECR Plan Monthly Depreciation (from next page)</t>
  </si>
  <si>
    <t>2009 ECR Plan Monthly Depreciation (from next page)</t>
  </si>
  <si>
    <t>2005 and 2006 ECR Plans Total (from above)</t>
  </si>
  <si>
    <t>Annualized ECR Depreciation</t>
  </si>
  <si>
    <t>Annualized Depreciation for all ECR plans</t>
  </si>
  <si>
    <t>Annualized Depreciation for 2005 and 2006 ECR plans to be eliminated</t>
  </si>
  <si>
    <t xml:space="preserve">  4. Depreciation expense per books for test year</t>
  </si>
  <si>
    <t xml:space="preserve">  5. Depreciation expense for asset retirement costs (ARO)</t>
  </si>
  <si>
    <t xml:space="preserve">  6. Depreciation for environmental cost recovery (ECR) plans (1)</t>
  </si>
  <si>
    <t xml:space="preserve">  7. Depreciation expense per books excluding ARO and ECR</t>
  </si>
  <si>
    <t xml:space="preserve">  8. Total Adjustment to reflect annualized depreciation expense</t>
  </si>
  <si>
    <t xml:space="preserve">      (Line 3 - Line 7)</t>
  </si>
  <si>
    <t xml:space="preserve">  9.  Kentucky Jurisdiction (Ref. Sch. Allocators)</t>
  </si>
  <si>
    <t xml:space="preserve">10. Kentucky Jurisdictional adjustment </t>
  </si>
  <si>
    <t xml:space="preserve">(1) Reflects the elimination of the 2005 and 2006 ECR Plans.  Only reflects ECR plan amounts </t>
  </si>
  <si>
    <t xml:space="preserve">     which will continue after effective date of new base rates in this proceeding.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</si>
</sst>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_);\(#,##0.0000\)"/>
    <numFmt numFmtId="167" formatCode="[$-409]mmmm\ d\,\ yyyy;@"/>
    <numFmt numFmtId="168" formatCode="0.000%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3" applyNumberFormat="1" applyFont="1" applyFill="1"/>
    <xf numFmtId="165" fontId="3" fillId="0" borderId="0" xfId="3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10" fontId="3" fillId="0" borderId="0" xfId="5" applyNumberFormat="1" applyFont="1" applyFill="1"/>
    <xf numFmtId="37" fontId="3" fillId="0" borderId="0" xfId="5" applyNumberFormat="1" applyFont="1" applyFill="1"/>
    <xf numFmtId="10" fontId="3" fillId="0" borderId="0" xfId="5" applyNumberFormat="1" applyFont="1" applyFill="1" applyAlignment="1">
      <alignment horizontal="right"/>
    </xf>
    <xf numFmtId="164" fontId="3" fillId="0" borderId="2" xfId="1" applyNumberFormat="1" applyFont="1" applyFill="1" applyBorder="1"/>
    <xf numFmtId="49" fontId="3" fillId="0" borderId="0" xfId="0" applyNumberFormat="1" applyFont="1" applyFill="1"/>
    <xf numFmtId="164" fontId="3" fillId="0" borderId="0" xfId="1" applyNumberFormat="1" applyFont="1" applyFill="1" applyBorder="1"/>
    <xf numFmtId="164" fontId="3" fillId="0" borderId="0" xfId="0" applyNumberFormat="1" applyFont="1" applyFill="1"/>
    <xf numFmtId="37" fontId="3" fillId="0" borderId="0" xfId="0" applyNumberFormat="1" applyFont="1" applyFill="1"/>
    <xf numFmtId="0" fontId="3" fillId="0" borderId="0" xfId="0" quotePrefix="1" applyFont="1" applyFill="1" applyAlignment="1">
      <alignment horizontal="left"/>
    </xf>
    <xf numFmtId="37" fontId="3" fillId="0" borderId="2" xfId="5" applyNumberFormat="1" applyFont="1" applyFill="1" applyBorder="1"/>
    <xf numFmtId="0" fontId="3" fillId="0" borderId="0" xfId="0" applyFont="1" applyFill="1" applyAlignment="1">
      <alignment horizontal="left"/>
    </xf>
    <xf numFmtId="10" fontId="3" fillId="0" borderId="0" xfId="5" applyNumberFormat="1" applyFont="1" applyFill="1" applyBorder="1"/>
    <xf numFmtId="0" fontId="3" fillId="0" borderId="0" xfId="0" applyFont="1" applyFill="1" applyAlignment="1">
      <alignment horizontal="right"/>
    </xf>
    <xf numFmtId="37" fontId="3" fillId="0" borderId="0" xfId="5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 indent="2"/>
    </xf>
    <xf numFmtId="43" fontId="3" fillId="0" borderId="0" xfId="1" applyFont="1" applyFill="1" applyBorder="1" applyAlignment="1">
      <alignment horizontal="left" indent="3"/>
    </xf>
    <xf numFmtId="37" fontId="3" fillId="0" borderId="0" xfId="5" applyNumberFormat="1" applyFont="1" applyFill="1" applyBorder="1"/>
    <xf numFmtId="43" fontId="3" fillId="0" borderId="0" xfId="1" quotePrefix="1" applyFont="1" applyFill="1" applyBorder="1" applyAlignment="1">
      <alignment horizontal="left" indent="3"/>
    </xf>
    <xf numFmtId="43" fontId="3" fillId="0" borderId="0" xfId="1" quotePrefix="1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left"/>
    </xf>
    <xf numFmtId="0" fontId="5" fillId="0" borderId="0" xfId="0" applyFont="1" applyFill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43" fontId="2" fillId="0" borderId="0" xfId="1" applyFont="1" applyFill="1" applyAlignment="1"/>
    <xf numFmtId="164" fontId="3" fillId="0" borderId="4" xfId="1" applyNumberFormat="1" applyFont="1" applyFill="1" applyBorder="1"/>
    <xf numFmtId="0" fontId="2" fillId="0" borderId="5" xfId="0" quotePrefix="1" applyFont="1" applyFill="1" applyBorder="1" applyAlignment="1">
      <alignment horizontal="left"/>
    </xf>
    <xf numFmtId="0" fontId="3" fillId="0" borderId="6" xfId="0" applyFont="1" applyFill="1" applyBorder="1"/>
    <xf numFmtId="164" fontId="3" fillId="0" borderId="6" xfId="1" applyNumberFormat="1" applyFont="1" applyFill="1" applyBorder="1"/>
    <xf numFmtId="10" fontId="3" fillId="0" borderId="6" xfId="5" applyNumberFormat="1" applyFont="1" applyFill="1" applyBorder="1"/>
    <xf numFmtId="0" fontId="3" fillId="0" borderId="7" xfId="0" applyFont="1" applyFill="1" applyBorder="1"/>
    <xf numFmtId="0" fontId="2" fillId="0" borderId="7" xfId="0" quotePrefix="1" applyFont="1" applyFill="1" applyBorder="1" applyAlignment="1">
      <alignment horizontal="left"/>
    </xf>
    <xf numFmtId="0" fontId="2" fillId="0" borderId="8" xfId="0" quotePrefix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4" xfId="0" quotePrefix="1" applyFont="1" applyFill="1" applyBorder="1" applyAlignment="1">
      <alignment horizontal="left"/>
    </xf>
    <xf numFmtId="10" fontId="3" fillId="0" borderId="4" xfId="5" applyNumberFormat="1" applyFont="1" applyFill="1" applyBorder="1"/>
    <xf numFmtId="165" fontId="3" fillId="0" borderId="9" xfId="3" applyNumberFormat="1" applyFont="1" applyFill="1" applyBorder="1"/>
    <xf numFmtId="165" fontId="2" fillId="0" borderId="1" xfId="3" applyNumberFormat="1" applyFont="1" applyFill="1" applyBorder="1"/>
    <xf numFmtId="165" fontId="3" fillId="0" borderId="0" xfId="0" applyNumberFormat="1" applyFont="1" applyFill="1"/>
    <xf numFmtId="164" fontId="2" fillId="0" borderId="2" xfId="1" quotePrefix="1" applyNumberFormat="1" applyFont="1" applyFill="1" applyBorder="1" applyAlignment="1">
      <alignment horizontal="center"/>
    </xf>
    <xf numFmtId="165" fontId="2" fillId="0" borderId="0" xfId="3" applyNumberFormat="1" applyFont="1" applyFill="1" applyBorder="1"/>
    <xf numFmtId="43" fontId="3" fillId="0" borderId="0" xfId="1" applyFont="1" applyFill="1"/>
    <xf numFmtId="43" fontId="3" fillId="0" borderId="0" xfId="1" applyFont="1" applyFill="1" applyBorder="1"/>
    <xf numFmtId="43" fontId="3" fillId="0" borderId="6" xfId="1" applyFont="1" applyFill="1" applyBorder="1"/>
    <xf numFmtId="43" fontId="3" fillId="0" borderId="4" xfId="1" applyFont="1" applyFill="1" applyBorder="1"/>
    <xf numFmtId="10" fontId="2" fillId="0" borderId="0" xfId="5" applyNumberFormat="1" applyFont="1" applyFill="1" applyAlignment="1">
      <alignment horizontal="center"/>
    </xf>
    <xf numFmtId="10" fontId="2" fillId="0" borderId="2" xfId="5" applyNumberFormat="1" applyFont="1" applyFill="1" applyBorder="1" applyAlignment="1">
      <alignment horizontal="center"/>
    </xf>
    <xf numFmtId="44" fontId="3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3" fillId="0" borderId="2" xfId="1" applyNumberFormat="1" applyFont="1" applyBorder="1"/>
    <xf numFmtId="0" fontId="2" fillId="0" borderId="10" xfId="0" applyFont="1" applyFill="1" applyBorder="1" applyAlignment="1">
      <alignment horizontal="center" wrapText="1"/>
    </xf>
    <xf numFmtId="43" fontId="2" fillId="0" borderId="10" xfId="1" applyFont="1" applyFill="1" applyBorder="1" applyAlignment="1">
      <alignment horizontal="center" wrapText="1"/>
    </xf>
    <xf numFmtId="166" fontId="2" fillId="0" borderId="10" xfId="1" applyNumberFormat="1" applyFont="1" applyFill="1" applyBorder="1" applyAlignment="1">
      <alignment horizontal="center" wrapText="1"/>
    </xf>
    <xf numFmtId="0" fontId="3" fillId="0" borderId="10" xfId="0" applyFont="1" applyFill="1" applyBorder="1"/>
    <xf numFmtId="0" fontId="3" fillId="0" borderId="10" xfId="0" quotePrefix="1" applyFont="1" applyFill="1" applyBorder="1" applyAlignment="1">
      <alignment horizontal="left"/>
    </xf>
    <xf numFmtId="43" fontId="3" fillId="0" borderId="10" xfId="1" applyFont="1" applyFill="1" applyBorder="1"/>
    <xf numFmtId="166" fontId="3" fillId="0" borderId="10" xfId="1" applyNumberFormat="1" applyFont="1" applyFill="1" applyBorder="1"/>
    <xf numFmtId="43" fontId="3" fillId="0" borderId="10" xfId="0" applyNumberFormat="1" applyFont="1" applyFill="1" applyBorder="1"/>
    <xf numFmtId="0" fontId="3" fillId="0" borderId="0" xfId="0" applyFont="1" applyFill="1" applyAlignment="1">
      <alignment horizontal="center" wrapText="1"/>
    </xf>
    <xf numFmtId="37" fontId="3" fillId="0" borderId="11" xfId="5" applyNumberFormat="1" applyFont="1" applyFill="1" applyBorder="1"/>
    <xf numFmtId="164" fontId="3" fillId="0" borderId="12" xfId="1" applyNumberFormat="1" applyFont="1" applyFill="1" applyBorder="1"/>
    <xf numFmtId="37" fontId="3" fillId="0" borderId="12" xfId="5" applyNumberFormat="1" applyFont="1" applyFill="1" applyBorder="1"/>
    <xf numFmtId="165" fontId="2" fillId="0" borderId="13" xfId="3" applyNumberFormat="1" applyFont="1" applyFill="1" applyBorder="1"/>
    <xf numFmtId="165" fontId="2" fillId="0" borderId="14" xfId="3" applyNumberFormat="1" applyFont="1" applyFill="1" applyBorder="1"/>
    <xf numFmtId="165" fontId="3" fillId="0" borderId="12" xfId="3" applyNumberFormat="1" applyFont="1" applyFill="1" applyBorder="1"/>
    <xf numFmtId="37" fontId="3" fillId="0" borderId="0" xfId="0" applyNumberFormat="1" applyFont="1"/>
    <xf numFmtId="37" fontId="2" fillId="0" borderId="0" xfId="0" applyNumberFormat="1" applyFont="1" applyAlignment="1">
      <alignment horizontal="right"/>
    </xf>
    <xf numFmtId="37" fontId="2" fillId="0" borderId="0" xfId="0" quotePrefix="1" applyNumberFormat="1" applyFont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2" fillId="0" borderId="0" xfId="0" quotePrefix="1" applyNumberFormat="1" applyFont="1" applyAlignment="1">
      <alignment horizontal="centerContinuous"/>
    </xf>
    <xf numFmtId="37" fontId="3" fillId="0" borderId="0" xfId="0" quotePrefix="1" applyNumberFormat="1" applyFont="1" applyAlignment="1">
      <alignment horizontal="left"/>
    </xf>
    <xf numFmtId="165" fontId="3" fillId="0" borderId="0" xfId="7" applyNumberFormat="1" applyFont="1" applyBorder="1"/>
    <xf numFmtId="165" fontId="3" fillId="0" borderId="1" xfId="7" applyNumberFormat="1" applyFont="1" applyBorder="1"/>
    <xf numFmtId="166" fontId="3" fillId="0" borderId="0" xfId="1" applyNumberFormat="1" applyFont="1" applyFill="1" applyBorder="1"/>
    <xf numFmtId="43" fontId="3" fillId="0" borderId="0" xfId="0" applyNumberFormat="1" applyFont="1" applyFill="1" applyBorder="1"/>
    <xf numFmtId="0" fontId="2" fillId="0" borderId="10" xfId="0" applyFont="1" applyFill="1" applyBorder="1" applyAlignment="1">
      <alignment horizontal="right"/>
    </xf>
    <xf numFmtId="43" fontId="2" fillId="0" borderId="10" xfId="1" applyFont="1" applyFill="1" applyBorder="1"/>
    <xf numFmtId="166" fontId="2" fillId="0" borderId="10" xfId="1" applyNumberFormat="1" applyFont="1" applyFill="1" applyBorder="1"/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3" fillId="0" borderId="10" xfId="3" applyFont="1" applyFill="1" applyBorder="1"/>
    <xf numFmtId="44" fontId="2" fillId="0" borderId="10" xfId="3" applyFont="1" applyFill="1" applyBorder="1"/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43" fontId="3" fillId="0" borderId="0" xfId="1" applyFont="1" applyFill="1"/>
    <xf numFmtId="0" fontId="3" fillId="0" borderId="0" xfId="4" applyFont="1" applyFill="1"/>
    <xf numFmtId="0" fontId="3" fillId="0" borderId="0" xfId="4" applyFont="1" applyFill="1" applyAlignment="1">
      <alignment horizontal="left"/>
    </xf>
    <xf numFmtId="0" fontId="3" fillId="0" borderId="0" xfId="4" quotePrefix="1" applyFont="1" applyFill="1" applyAlignment="1">
      <alignment horizontal="left"/>
    </xf>
    <xf numFmtId="165" fontId="3" fillId="0" borderId="3" xfId="0" applyNumberFormat="1" applyFont="1" applyFill="1" applyBorder="1"/>
    <xf numFmtId="165" fontId="3" fillId="0" borderId="0" xfId="0" applyNumberFormat="1" applyFont="1" applyFill="1" applyBorder="1"/>
    <xf numFmtId="164" fontId="3" fillId="0" borderId="3" xfId="1" applyNumberFormat="1" applyFont="1" applyFill="1" applyBorder="1"/>
    <xf numFmtId="0" fontId="3" fillId="0" borderId="0" xfId="0" applyFont="1"/>
    <xf numFmtId="43" fontId="3" fillId="0" borderId="0" xfId="1" applyFont="1" applyFill="1" applyBorder="1" applyAlignment="1">
      <alignment horizontal="center"/>
    </xf>
    <xf numFmtId="0" fontId="7" fillId="0" borderId="0" xfId="0" applyFont="1"/>
    <xf numFmtId="165" fontId="3" fillId="0" borderId="2" xfId="0" applyNumberFormat="1" applyFont="1" applyFill="1" applyBorder="1"/>
    <xf numFmtId="164" fontId="3" fillId="0" borderId="9" xfId="1" applyNumberFormat="1" applyFont="1" applyFill="1" applyBorder="1"/>
    <xf numFmtId="0" fontId="0" fillId="0" borderId="0" xfId="0"/>
    <xf numFmtId="37" fontId="3" fillId="0" borderId="0" xfId="0" applyNumberFormat="1" applyFont="1"/>
    <xf numFmtId="3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0" fillId="0" borderId="0" xfId="0"/>
    <xf numFmtId="165" fontId="3" fillId="0" borderId="0" xfId="3" applyNumberFormat="1" applyFont="1" applyFill="1" applyBorder="1"/>
    <xf numFmtId="37" fontId="3" fillId="0" borderId="0" xfId="3" applyNumberFormat="1" applyFont="1" applyFill="1" applyBorder="1"/>
    <xf numFmtId="165" fontId="3" fillId="0" borderId="1" xfId="7" applyNumberFormat="1" applyFont="1" applyBorder="1"/>
    <xf numFmtId="164" fontId="3" fillId="0" borderId="0" xfId="8" applyNumberFormat="1" applyFont="1" applyBorder="1"/>
    <xf numFmtId="164" fontId="3" fillId="0" borderId="2" xfId="8" applyNumberFormat="1" applyFont="1" applyBorder="1"/>
    <xf numFmtId="165" fontId="3" fillId="0" borderId="0" xfId="7" applyNumberFormat="1" applyFont="1"/>
    <xf numFmtId="37" fontId="3" fillId="0" borderId="0" xfId="0" applyNumberFormat="1" applyFont="1" applyBorder="1" applyAlignment="1">
      <alignment horizontal="right"/>
    </xf>
    <xf numFmtId="168" fontId="3" fillId="0" borderId="2" xfId="9" applyNumberFormat="1" applyFont="1" applyFill="1" applyBorder="1"/>
    <xf numFmtId="37" fontId="4" fillId="0" borderId="0" xfId="0" applyNumberFormat="1" applyFont="1" applyAlignment="1">
      <alignment horizontal="center"/>
    </xf>
    <xf numFmtId="37" fontId="4" fillId="0" borderId="0" xfId="0" quotePrefix="1" applyNumberFormat="1" applyFont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6" fillId="0" borderId="0" xfId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</cellXfs>
  <cellStyles count="10">
    <cellStyle name="=C:\WINNT35\SYSTEM32\COMMAND.COM" xfId="6"/>
    <cellStyle name="Comma" xfId="1" builtinId="3"/>
    <cellStyle name="Comma 3" xfId="2"/>
    <cellStyle name="Comma 5" xfId="8"/>
    <cellStyle name="Currency" xfId="3" builtinId="4"/>
    <cellStyle name="Currency 3" xfId="7"/>
    <cellStyle name="Normal" xfId="0" builtinId="0"/>
    <cellStyle name="Normal 3" xfId="4"/>
    <cellStyle name="Percent" xfId="5" builtinId="5"/>
    <cellStyle name="Percent 3" xfId="9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34"/>
  <sheetViews>
    <sheetView tabSelected="1" workbookViewId="0">
      <selection activeCell="A2" sqref="A2"/>
    </sheetView>
  </sheetViews>
  <sheetFormatPr defaultColWidth="11" defaultRowHeight="15.75" x14ac:dyDescent="0.25"/>
  <cols>
    <col min="1" max="1" width="79.140625" style="84" customWidth="1"/>
    <col min="2" max="2" width="24.7109375" style="84" customWidth="1"/>
    <col min="3" max="254" width="11" style="84"/>
    <col min="255" max="255" width="72.7109375" style="84" customWidth="1"/>
    <col min="256" max="256" width="0" style="84" hidden="1" customWidth="1"/>
    <col min="257" max="257" width="16.42578125" style="84" customWidth="1"/>
    <col min="258" max="258" width="0" style="84" hidden="1" customWidth="1"/>
    <col min="259" max="510" width="11" style="84"/>
    <col min="511" max="511" width="72.7109375" style="84" customWidth="1"/>
    <col min="512" max="512" width="0" style="84" hidden="1" customWidth="1"/>
    <col min="513" max="513" width="16.42578125" style="84" customWidth="1"/>
    <col min="514" max="514" width="0" style="84" hidden="1" customWidth="1"/>
    <col min="515" max="766" width="11" style="84"/>
    <col min="767" max="767" width="72.7109375" style="84" customWidth="1"/>
    <col min="768" max="768" width="0" style="84" hidden="1" customWidth="1"/>
    <col min="769" max="769" width="16.42578125" style="84" customWidth="1"/>
    <col min="770" max="770" width="0" style="84" hidden="1" customWidth="1"/>
    <col min="771" max="1022" width="11" style="84"/>
    <col min="1023" max="1023" width="72.7109375" style="84" customWidth="1"/>
    <col min="1024" max="1024" width="0" style="84" hidden="1" customWidth="1"/>
    <col min="1025" max="1025" width="16.42578125" style="84" customWidth="1"/>
    <col min="1026" max="1026" width="0" style="84" hidden="1" customWidth="1"/>
    <col min="1027" max="1278" width="11" style="84"/>
    <col min="1279" max="1279" width="72.7109375" style="84" customWidth="1"/>
    <col min="1280" max="1280" width="0" style="84" hidden="1" customWidth="1"/>
    <col min="1281" max="1281" width="16.42578125" style="84" customWidth="1"/>
    <col min="1282" max="1282" width="0" style="84" hidden="1" customWidth="1"/>
    <col min="1283" max="1534" width="11" style="84"/>
    <col min="1535" max="1535" width="72.7109375" style="84" customWidth="1"/>
    <col min="1536" max="1536" width="0" style="84" hidden="1" customWidth="1"/>
    <col min="1537" max="1537" width="16.42578125" style="84" customWidth="1"/>
    <col min="1538" max="1538" width="0" style="84" hidden="1" customWidth="1"/>
    <col min="1539" max="1790" width="11" style="84"/>
    <col min="1791" max="1791" width="72.7109375" style="84" customWidth="1"/>
    <col min="1792" max="1792" width="0" style="84" hidden="1" customWidth="1"/>
    <col min="1793" max="1793" width="16.42578125" style="84" customWidth="1"/>
    <col min="1794" max="1794" width="0" style="84" hidden="1" customWidth="1"/>
    <col min="1795" max="2046" width="11" style="84"/>
    <col min="2047" max="2047" width="72.7109375" style="84" customWidth="1"/>
    <col min="2048" max="2048" width="0" style="84" hidden="1" customWidth="1"/>
    <col min="2049" max="2049" width="16.42578125" style="84" customWidth="1"/>
    <col min="2050" max="2050" width="0" style="84" hidden="1" customWidth="1"/>
    <col min="2051" max="2302" width="11" style="84"/>
    <col min="2303" max="2303" width="72.7109375" style="84" customWidth="1"/>
    <col min="2304" max="2304" width="0" style="84" hidden="1" customWidth="1"/>
    <col min="2305" max="2305" width="16.42578125" style="84" customWidth="1"/>
    <col min="2306" max="2306" width="0" style="84" hidden="1" customWidth="1"/>
    <col min="2307" max="2558" width="11" style="84"/>
    <col min="2559" max="2559" width="72.7109375" style="84" customWidth="1"/>
    <col min="2560" max="2560" width="0" style="84" hidden="1" customWidth="1"/>
    <col min="2561" max="2561" width="16.42578125" style="84" customWidth="1"/>
    <col min="2562" max="2562" width="0" style="84" hidden="1" customWidth="1"/>
    <col min="2563" max="2814" width="11" style="84"/>
    <col min="2815" max="2815" width="72.7109375" style="84" customWidth="1"/>
    <col min="2816" max="2816" width="0" style="84" hidden="1" customWidth="1"/>
    <col min="2817" max="2817" width="16.42578125" style="84" customWidth="1"/>
    <col min="2818" max="2818" width="0" style="84" hidden="1" customWidth="1"/>
    <col min="2819" max="3070" width="11" style="84"/>
    <col min="3071" max="3071" width="72.7109375" style="84" customWidth="1"/>
    <col min="3072" max="3072" width="0" style="84" hidden="1" customWidth="1"/>
    <col min="3073" max="3073" width="16.42578125" style="84" customWidth="1"/>
    <col min="3074" max="3074" width="0" style="84" hidden="1" customWidth="1"/>
    <col min="3075" max="3326" width="11" style="84"/>
    <col min="3327" max="3327" width="72.7109375" style="84" customWidth="1"/>
    <col min="3328" max="3328" width="0" style="84" hidden="1" customWidth="1"/>
    <col min="3329" max="3329" width="16.42578125" style="84" customWidth="1"/>
    <col min="3330" max="3330" width="0" style="84" hidden="1" customWidth="1"/>
    <col min="3331" max="3582" width="11" style="84"/>
    <col min="3583" max="3583" width="72.7109375" style="84" customWidth="1"/>
    <col min="3584" max="3584" width="0" style="84" hidden="1" customWidth="1"/>
    <col min="3585" max="3585" width="16.42578125" style="84" customWidth="1"/>
    <col min="3586" max="3586" width="0" style="84" hidden="1" customWidth="1"/>
    <col min="3587" max="3838" width="11" style="84"/>
    <col min="3839" max="3839" width="72.7109375" style="84" customWidth="1"/>
    <col min="3840" max="3840" width="0" style="84" hidden="1" customWidth="1"/>
    <col min="3841" max="3841" width="16.42578125" style="84" customWidth="1"/>
    <col min="3842" max="3842" width="0" style="84" hidden="1" customWidth="1"/>
    <col min="3843" max="4094" width="11" style="84"/>
    <col min="4095" max="4095" width="72.7109375" style="84" customWidth="1"/>
    <col min="4096" max="4096" width="0" style="84" hidden="1" customWidth="1"/>
    <col min="4097" max="4097" width="16.42578125" style="84" customWidth="1"/>
    <col min="4098" max="4098" width="0" style="84" hidden="1" customWidth="1"/>
    <col min="4099" max="4350" width="11" style="84"/>
    <col min="4351" max="4351" width="72.7109375" style="84" customWidth="1"/>
    <col min="4352" max="4352" width="0" style="84" hidden="1" customWidth="1"/>
    <col min="4353" max="4353" width="16.42578125" style="84" customWidth="1"/>
    <col min="4354" max="4354" width="0" style="84" hidden="1" customWidth="1"/>
    <col min="4355" max="4606" width="11" style="84"/>
    <col min="4607" max="4607" width="72.7109375" style="84" customWidth="1"/>
    <col min="4608" max="4608" width="0" style="84" hidden="1" customWidth="1"/>
    <col min="4609" max="4609" width="16.42578125" style="84" customWidth="1"/>
    <col min="4610" max="4610" width="0" style="84" hidden="1" customWidth="1"/>
    <col min="4611" max="4862" width="11" style="84"/>
    <col min="4863" max="4863" width="72.7109375" style="84" customWidth="1"/>
    <col min="4864" max="4864" width="0" style="84" hidden="1" customWidth="1"/>
    <col min="4865" max="4865" width="16.42578125" style="84" customWidth="1"/>
    <col min="4866" max="4866" width="0" style="84" hidden="1" customWidth="1"/>
    <col min="4867" max="5118" width="11" style="84"/>
    <col min="5119" max="5119" width="72.7109375" style="84" customWidth="1"/>
    <col min="5120" max="5120" width="0" style="84" hidden="1" customWidth="1"/>
    <col min="5121" max="5121" width="16.42578125" style="84" customWidth="1"/>
    <col min="5122" max="5122" width="0" style="84" hidden="1" customWidth="1"/>
    <col min="5123" max="5374" width="11" style="84"/>
    <col min="5375" max="5375" width="72.7109375" style="84" customWidth="1"/>
    <col min="5376" max="5376" width="0" style="84" hidden="1" customWidth="1"/>
    <col min="5377" max="5377" width="16.42578125" style="84" customWidth="1"/>
    <col min="5378" max="5378" width="0" style="84" hidden="1" customWidth="1"/>
    <col min="5379" max="5630" width="11" style="84"/>
    <col min="5631" max="5631" width="72.7109375" style="84" customWidth="1"/>
    <col min="5632" max="5632" width="0" style="84" hidden="1" customWidth="1"/>
    <col min="5633" max="5633" width="16.42578125" style="84" customWidth="1"/>
    <col min="5634" max="5634" width="0" style="84" hidden="1" customWidth="1"/>
    <col min="5635" max="5886" width="11" style="84"/>
    <col min="5887" max="5887" width="72.7109375" style="84" customWidth="1"/>
    <col min="5888" max="5888" width="0" style="84" hidden="1" customWidth="1"/>
    <col min="5889" max="5889" width="16.42578125" style="84" customWidth="1"/>
    <col min="5890" max="5890" width="0" style="84" hidden="1" customWidth="1"/>
    <col min="5891" max="6142" width="11" style="84"/>
    <col min="6143" max="6143" width="72.7109375" style="84" customWidth="1"/>
    <col min="6144" max="6144" width="0" style="84" hidden="1" customWidth="1"/>
    <col min="6145" max="6145" width="16.42578125" style="84" customWidth="1"/>
    <col min="6146" max="6146" width="0" style="84" hidden="1" customWidth="1"/>
    <col min="6147" max="6398" width="11" style="84"/>
    <col min="6399" max="6399" width="72.7109375" style="84" customWidth="1"/>
    <col min="6400" max="6400" width="0" style="84" hidden="1" customWidth="1"/>
    <col min="6401" max="6401" width="16.42578125" style="84" customWidth="1"/>
    <col min="6402" max="6402" width="0" style="84" hidden="1" customWidth="1"/>
    <col min="6403" max="6654" width="11" style="84"/>
    <col min="6655" max="6655" width="72.7109375" style="84" customWidth="1"/>
    <col min="6656" max="6656" width="0" style="84" hidden="1" customWidth="1"/>
    <col min="6657" max="6657" width="16.42578125" style="84" customWidth="1"/>
    <col min="6658" max="6658" width="0" style="84" hidden="1" customWidth="1"/>
    <col min="6659" max="6910" width="11" style="84"/>
    <col min="6911" max="6911" width="72.7109375" style="84" customWidth="1"/>
    <col min="6912" max="6912" width="0" style="84" hidden="1" customWidth="1"/>
    <col min="6913" max="6913" width="16.42578125" style="84" customWidth="1"/>
    <col min="6914" max="6914" width="0" style="84" hidden="1" customWidth="1"/>
    <col min="6915" max="7166" width="11" style="84"/>
    <col min="7167" max="7167" width="72.7109375" style="84" customWidth="1"/>
    <col min="7168" max="7168" width="0" style="84" hidden="1" customWidth="1"/>
    <col min="7169" max="7169" width="16.42578125" style="84" customWidth="1"/>
    <col min="7170" max="7170" width="0" style="84" hidden="1" customWidth="1"/>
    <col min="7171" max="7422" width="11" style="84"/>
    <col min="7423" max="7423" width="72.7109375" style="84" customWidth="1"/>
    <col min="7424" max="7424" width="0" style="84" hidden="1" customWidth="1"/>
    <col min="7425" max="7425" width="16.42578125" style="84" customWidth="1"/>
    <col min="7426" max="7426" width="0" style="84" hidden="1" customWidth="1"/>
    <col min="7427" max="7678" width="11" style="84"/>
    <col min="7679" max="7679" width="72.7109375" style="84" customWidth="1"/>
    <col min="7680" max="7680" width="0" style="84" hidden="1" customWidth="1"/>
    <col min="7681" max="7681" width="16.42578125" style="84" customWidth="1"/>
    <col min="7682" max="7682" width="0" style="84" hidden="1" customWidth="1"/>
    <col min="7683" max="7934" width="11" style="84"/>
    <col min="7935" max="7935" width="72.7109375" style="84" customWidth="1"/>
    <col min="7936" max="7936" width="0" style="84" hidden="1" customWidth="1"/>
    <col min="7937" max="7937" width="16.42578125" style="84" customWidth="1"/>
    <col min="7938" max="7938" width="0" style="84" hidden="1" customWidth="1"/>
    <col min="7939" max="8190" width="11" style="84"/>
    <col min="8191" max="8191" width="72.7109375" style="84" customWidth="1"/>
    <col min="8192" max="8192" width="0" style="84" hidden="1" customWidth="1"/>
    <col min="8193" max="8193" width="16.42578125" style="84" customWidth="1"/>
    <col min="8194" max="8194" width="0" style="84" hidden="1" customWidth="1"/>
    <col min="8195" max="8446" width="11" style="84"/>
    <col min="8447" max="8447" width="72.7109375" style="84" customWidth="1"/>
    <col min="8448" max="8448" width="0" style="84" hidden="1" customWidth="1"/>
    <col min="8449" max="8449" width="16.42578125" style="84" customWidth="1"/>
    <col min="8450" max="8450" width="0" style="84" hidden="1" customWidth="1"/>
    <col min="8451" max="8702" width="11" style="84"/>
    <col min="8703" max="8703" width="72.7109375" style="84" customWidth="1"/>
    <col min="8704" max="8704" width="0" style="84" hidden="1" customWidth="1"/>
    <col min="8705" max="8705" width="16.42578125" style="84" customWidth="1"/>
    <col min="8706" max="8706" width="0" style="84" hidden="1" customWidth="1"/>
    <col min="8707" max="8958" width="11" style="84"/>
    <col min="8959" max="8959" width="72.7109375" style="84" customWidth="1"/>
    <col min="8960" max="8960" width="0" style="84" hidden="1" customWidth="1"/>
    <col min="8961" max="8961" width="16.42578125" style="84" customWidth="1"/>
    <col min="8962" max="8962" width="0" style="84" hidden="1" customWidth="1"/>
    <col min="8963" max="9214" width="11" style="84"/>
    <col min="9215" max="9215" width="72.7109375" style="84" customWidth="1"/>
    <col min="9216" max="9216" width="0" style="84" hidden="1" customWidth="1"/>
    <col min="9217" max="9217" width="16.42578125" style="84" customWidth="1"/>
    <col min="9218" max="9218" width="0" style="84" hidden="1" customWidth="1"/>
    <col min="9219" max="9470" width="11" style="84"/>
    <col min="9471" max="9471" width="72.7109375" style="84" customWidth="1"/>
    <col min="9472" max="9472" width="0" style="84" hidden="1" customWidth="1"/>
    <col min="9473" max="9473" width="16.42578125" style="84" customWidth="1"/>
    <col min="9474" max="9474" width="0" style="84" hidden="1" customWidth="1"/>
    <col min="9475" max="9726" width="11" style="84"/>
    <col min="9727" max="9727" width="72.7109375" style="84" customWidth="1"/>
    <col min="9728" max="9728" width="0" style="84" hidden="1" customWidth="1"/>
    <col min="9729" max="9729" width="16.42578125" style="84" customWidth="1"/>
    <col min="9730" max="9730" width="0" style="84" hidden="1" customWidth="1"/>
    <col min="9731" max="9982" width="11" style="84"/>
    <col min="9983" max="9983" width="72.7109375" style="84" customWidth="1"/>
    <col min="9984" max="9984" width="0" style="84" hidden="1" customWidth="1"/>
    <col min="9985" max="9985" width="16.42578125" style="84" customWidth="1"/>
    <col min="9986" max="9986" width="0" style="84" hidden="1" customWidth="1"/>
    <col min="9987" max="10238" width="11" style="84"/>
    <col min="10239" max="10239" width="72.7109375" style="84" customWidth="1"/>
    <col min="10240" max="10240" width="0" style="84" hidden="1" customWidth="1"/>
    <col min="10241" max="10241" width="16.42578125" style="84" customWidth="1"/>
    <col min="10242" max="10242" width="0" style="84" hidden="1" customWidth="1"/>
    <col min="10243" max="10494" width="11" style="84"/>
    <col min="10495" max="10495" width="72.7109375" style="84" customWidth="1"/>
    <col min="10496" max="10496" width="0" style="84" hidden="1" customWidth="1"/>
    <col min="10497" max="10497" width="16.42578125" style="84" customWidth="1"/>
    <col min="10498" max="10498" width="0" style="84" hidden="1" customWidth="1"/>
    <col min="10499" max="10750" width="11" style="84"/>
    <col min="10751" max="10751" width="72.7109375" style="84" customWidth="1"/>
    <col min="10752" max="10752" width="0" style="84" hidden="1" customWidth="1"/>
    <col min="10753" max="10753" width="16.42578125" style="84" customWidth="1"/>
    <col min="10754" max="10754" width="0" style="84" hidden="1" customWidth="1"/>
    <col min="10755" max="11006" width="11" style="84"/>
    <col min="11007" max="11007" width="72.7109375" style="84" customWidth="1"/>
    <col min="11008" max="11008" width="0" style="84" hidden="1" customWidth="1"/>
    <col min="11009" max="11009" width="16.42578125" style="84" customWidth="1"/>
    <col min="11010" max="11010" width="0" style="84" hidden="1" customWidth="1"/>
    <col min="11011" max="11262" width="11" style="84"/>
    <col min="11263" max="11263" width="72.7109375" style="84" customWidth="1"/>
    <col min="11264" max="11264" width="0" style="84" hidden="1" customWidth="1"/>
    <col min="11265" max="11265" width="16.42578125" style="84" customWidth="1"/>
    <col min="11266" max="11266" width="0" style="84" hidden="1" customWidth="1"/>
    <col min="11267" max="11518" width="11" style="84"/>
    <col min="11519" max="11519" width="72.7109375" style="84" customWidth="1"/>
    <col min="11520" max="11520" width="0" style="84" hidden="1" customWidth="1"/>
    <col min="11521" max="11521" width="16.42578125" style="84" customWidth="1"/>
    <col min="11522" max="11522" width="0" style="84" hidden="1" customWidth="1"/>
    <col min="11523" max="11774" width="11" style="84"/>
    <col min="11775" max="11775" width="72.7109375" style="84" customWidth="1"/>
    <col min="11776" max="11776" width="0" style="84" hidden="1" customWidth="1"/>
    <col min="11777" max="11777" width="16.42578125" style="84" customWidth="1"/>
    <col min="11778" max="11778" width="0" style="84" hidden="1" customWidth="1"/>
    <col min="11779" max="12030" width="11" style="84"/>
    <col min="12031" max="12031" width="72.7109375" style="84" customWidth="1"/>
    <col min="12032" max="12032" width="0" style="84" hidden="1" customWidth="1"/>
    <col min="12033" max="12033" width="16.42578125" style="84" customWidth="1"/>
    <col min="12034" max="12034" width="0" style="84" hidden="1" customWidth="1"/>
    <col min="12035" max="12286" width="11" style="84"/>
    <col min="12287" max="12287" width="72.7109375" style="84" customWidth="1"/>
    <col min="12288" max="12288" width="0" style="84" hidden="1" customWidth="1"/>
    <col min="12289" max="12289" width="16.42578125" style="84" customWidth="1"/>
    <col min="12290" max="12290" width="0" style="84" hidden="1" customWidth="1"/>
    <col min="12291" max="12542" width="11" style="84"/>
    <col min="12543" max="12543" width="72.7109375" style="84" customWidth="1"/>
    <col min="12544" max="12544" width="0" style="84" hidden="1" customWidth="1"/>
    <col min="12545" max="12545" width="16.42578125" style="84" customWidth="1"/>
    <col min="12546" max="12546" width="0" style="84" hidden="1" customWidth="1"/>
    <col min="12547" max="12798" width="11" style="84"/>
    <col min="12799" max="12799" width="72.7109375" style="84" customWidth="1"/>
    <col min="12800" max="12800" width="0" style="84" hidden="1" customWidth="1"/>
    <col min="12801" max="12801" width="16.42578125" style="84" customWidth="1"/>
    <col min="12802" max="12802" width="0" style="84" hidden="1" customWidth="1"/>
    <col min="12803" max="13054" width="11" style="84"/>
    <col min="13055" max="13055" width="72.7109375" style="84" customWidth="1"/>
    <col min="13056" max="13056" width="0" style="84" hidden="1" customWidth="1"/>
    <col min="13057" max="13057" width="16.42578125" style="84" customWidth="1"/>
    <col min="13058" max="13058" width="0" style="84" hidden="1" customWidth="1"/>
    <col min="13059" max="13310" width="11" style="84"/>
    <col min="13311" max="13311" width="72.7109375" style="84" customWidth="1"/>
    <col min="13312" max="13312" width="0" style="84" hidden="1" customWidth="1"/>
    <col min="13313" max="13313" width="16.42578125" style="84" customWidth="1"/>
    <col min="13314" max="13314" width="0" style="84" hidden="1" customWidth="1"/>
    <col min="13315" max="13566" width="11" style="84"/>
    <col min="13567" max="13567" width="72.7109375" style="84" customWidth="1"/>
    <col min="13568" max="13568" width="0" style="84" hidden="1" customWidth="1"/>
    <col min="13569" max="13569" width="16.42578125" style="84" customWidth="1"/>
    <col min="13570" max="13570" width="0" style="84" hidden="1" customWidth="1"/>
    <col min="13571" max="13822" width="11" style="84"/>
    <col min="13823" max="13823" width="72.7109375" style="84" customWidth="1"/>
    <col min="13824" max="13824" width="0" style="84" hidden="1" customWidth="1"/>
    <col min="13825" max="13825" width="16.42578125" style="84" customWidth="1"/>
    <col min="13826" max="13826" width="0" style="84" hidden="1" customWidth="1"/>
    <col min="13827" max="14078" width="11" style="84"/>
    <col min="14079" max="14079" width="72.7109375" style="84" customWidth="1"/>
    <col min="14080" max="14080" width="0" style="84" hidden="1" customWidth="1"/>
    <col min="14081" max="14081" width="16.42578125" style="84" customWidth="1"/>
    <col min="14082" max="14082" width="0" style="84" hidden="1" customWidth="1"/>
    <col min="14083" max="14334" width="11" style="84"/>
    <col min="14335" max="14335" width="72.7109375" style="84" customWidth="1"/>
    <col min="14336" max="14336" width="0" style="84" hidden="1" customWidth="1"/>
    <col min="14337" max="14337" width="16.42578125" style="84" customWidth="1"/>
    <col min="14338" max="14338" width="0" style="84" hidden="1" customWidth="1"/>
    <col min="14339" max="14590" width="11" style="84"/>
    <col min="14591" max="14591" width="72.7109375" style="84" customWidth="1"/>
    <col min="14592" max="14592" width="0" style="84" hidden="1" customWidth="1"/>
    <col min="14593" max="14593" width="16.42578125" style="84" customWidth="1"/>
    <col min="14594" max="14594" width="0" style="84" hidden="1" customWidth="1"/>
    <col min="14595" max="14846" width="11" style="84"/>
    <col min="14847" max="14847" width="72.7109375" style="84" customWidth="1"/>
    <col min="14848" max="14848" width="0" style="84" hidden="1" customWidth="1"/>
    <col min="14849" max="14849" width="16.42578125" style="84" customWidth="1"/>
    <col min="14850" max="14850" width="0" style="84" hidden="1" customWidth="1"/>
    <col min="14851" max="15102" width="11" style="84"/>
    <col min="15103" max="15103" width="72.7109375" style="84" customWidth="1"/>
    <col min="15104" max="15104" width="0" style="84" hidden="1" customWidth="1"/>
    <col min="15105" max="15105" width="16.42578125" style="84" customWidth="1"/>
    <col min="15106" max="15106" width="0" style="84" hidden="1" customWidth="1"/>
    <col min="15107" max="15358" width="11" style="84"/>
    <col min="15359" max="15359" width="72.7109375" style="84" customWidth="1"/>
    <col min="15360" max="15360" width="0" style="84" hidden="1" customWidth="1"/>
    <col min="15361" max="15361" width="16.42578125" style="84" customWidth="1"/>
    <col min="15362" max="15362" width="0" style="84" hidden="1" customWidth="1"/>
    <col min="15363" max="15614" width="11" style="84"/>
    <col min="15615" max="15615" width="72.7109375" style="84" customWidth="1"/>
    <col min="15616" max="15616" width="0" style="84" hidden="1" customWidth="1"/>
    <col min="15617" max="15617" width="16.42578125" style="84" customWidth="1"/>
    <col min="15618" max="15618" width="0" style="84" hidden="1" customWidth="1"/>
    <col min="15619" max="15870" width="11" style="84"/>
    <col min="15871" max="15871" width="72.7109375" style="84" customWidth="1"/>
    <col min="15872" max="15872" width="0" style="84" hidden="1" customWidth="1"/>
    <col min="15873" max="15873" width="16.42578125" style="84" customWidth="1"/>
    <col min="15874" max="15874" width="0" style="84" hidden="1" customWidth="1"/>
    <col min="15875" max="16126" width="11" style="84"/>
    <col min="16127" max="16127" width="72.7109375" style="84" customWidth="1"/>
    <col min="16128" max="16128" width="0" style="84" hidden="1" customWidth="1"/>
    <col min="16129" max="16129" width="16.42578125" style="84" customWidth="1"/>
    <col min="16130" max="16130" width="0" style="84" hidden="1" customWidth="1"/>
    <col min="16131" max="16384" width="11" style="84"/>
  </cols>
  <sheetData>
    <row r="3" spans="1:2" x14ac:dyDescent="0.25">
      <c r="B3" s="85" t="s">
        <v>165</v>
      </c>
    </row>
    <row r="4" spans="1:2" x14ac:dyDescent="0.25">
      <c r="B4" s="86" t="s">
        <v>215</v>
      </c>
    </row>
    <row r="5" spans="1:2" x14ac:dyDescent="0.25">
      <c r="B5" s="85" t="s">
        <v>216</v>
      </c>
    </row>
    <row r="8" spans="1:2" x14ac:dyDescent="0.25">
      <c r="A8" s="134" t="s">
        <v>166</v>
      </c>
      <c r="B8" s="134"/>
    </row>
    <row r="9" spans="1:2" x14ac:dyDescent="0.25">
      <c r="A9" s="87"/>
    </row>
    <row r="10" spans="1:2" x14ac:dyDescent="0.25">
      <c r="A10" s="88"/>
    </row>
    <row r="11" spans="1:2" x14ac:dyDescent="0.25">
      <c r="A11" s="135" t="s">
        <v>167</v>
      </c>
      <c r="B11" s="134"/>
    </row>
    <row r="12" spans="1:2" x14ac:dyDescent="0.25">
      <c r="A12" s="134" t="s">
        <v>138</v>
      </c>
      <c r="B12" s="134"/>
    </row>
    <row r="15" spans="1:2" x14ac:dyDescent="0.25">
      <c r="A15" s="89" t="s">
        <v>168</v>
      </c>
      <c r="B15" s="4">
        <f>'KU Annual Depr'!H302</f>
        <v>144441326</v>
      </c>
    </row>
    <row r="16" spans="1:2" x14ac:dyDescent="0.25">
      <c r="A16" s="89"/>
      <c r="B16" s="90"/>
    </row>
    <row r="17" spans="1:2" x14ac:dyDescent="0.25">
      <c r="A17" s="89" t="s">
        <v>169</v>
      </c>
      <c r="B17" s="68">
        <f>'ECR Annual Depr'!D18</f>
        <v>45422676</v>
      </c>
    </row>
    <row r="18" spans="1:2" x14ac:dyDescent="0.25">
      <c r="A18" s="89"/>
      <c r="B18" s="90"/>
    </row>
    <row r="19" spans="1:2" ht="16.5" thickBot="1" x14ac:dyDescent="0.3">
      <c r="A19" s="89" t="s">
        <v>217</v>
      </c>
      <c r="B19" s="91">
        <f>B15+B17</f>
        <v>189864002</v>
      </c>
    </row>
    <row r="20" spans="1:2" ht="16.5" thickTop="1" x14ac:dyDescent="0.25">
      <c r="A20" s="89"/>
      <c r="B20" s="90"/>
    </row>
    <row r="21" spans="1:2" x14ac:dyDescent="0.25">
      <c r="A21" s="123" t="s">
        <v>237</v>
      </c>
      <c r="B21" s="126">
        <v>192192743</v>
      </c>
    </row>
    <row r="22" spans="1:2" x14ac:dyDescent="0.25">
      <c r="A22" s="123" t="s">
        <v>238</v>
      </c>
      <c r="B22" s="127">
        <v>-3077746</v>
      </c>
    </row>
    <row r="23" spans="1:2" x14ac:dyDescent="0.25">
      <c r="A23" s="123" t="s">
        <v>239</v>
      </c>
      <c r="B23" s="130">
        <v>-67948.879999999888</v>
      </c>
    </row>
    <row r="24" spans="1:2" ht="16.5" thickBot="1" x14ac:dyDescent="0.3">
      <c r="A24" s="123" t="s">
        <v>240</v>
      </c>
      <c r="B24" s="128">
        <v>189047048.12</v>
      </c>
    </row>
    <row r="25" spans="1:2" ht="16.5" thickTop="1" x14ac:dyDescent="0.25">
      <c r="A25" s="123"/>
      <c r="B25" s="131"/>
    </row>
    <row r="26" spans="1:2" x14ac:dyDescent="0.25">
      <c r="A26" s="123" t="s">
        <v>241</v>
      </c>
      <c r="B26" s="125"/>
    </row>
    <row r="27" spans="1:2" x14ac:dyDescent="0.25">
      <c r="A27" s="124" t="s">
        <v>242</v>
      </c>
      <c r="B27" s="129">
        <v>816953.87999999523</v>
      </c>
    </row>
    <row r="28" spans="1:2" x14ac:dyDescent="0.25">
      <c r="A28" s="121"/>
      <c r="B28" s="132"/>
    </row>
    <row r="29" spans="1:2" x14ac:dyDescent="0.25">
      <c r="A29" s="123" t="s">
        <v>243</v>
      </c>
      <c r="B29" s="133">
        <v>0.87256545893618898</v>
      </c>
    </row>
    <row r="30" spans="1:2" x14ac:dyDescent="0.25">
      <c r="A30" s="124"/>
      <c r="B30" s="125"/>
    </row>
    <row r="31" spans="1:2" ht="16.5" thickBot="1" x14ac:dyDescent="0.3">
      <c r="A31" s="123" t="s">
        <v>244</v>
      </c>
      <c r="B31" s="128">
        <v>712846</v>
      </c>
    </row>
    <row r="32" spans="1:2" ht="16.5" thickTop="1" x14ac:dyDescent="0.25">
      <c r="A32" s="121"/>
    </row>
    <row r="33" spans="1:1" x14ac:dyDescent="0.25">
      <c r="A33" s="122" t="s">
        <v>245</v>
      </c>
    </row>
    <row r="34" spans="1:1" x14ac:dyDescent="0.25">
      <c r="A34" s="122" t="s">
        <v>246</v>
      </c>
    </row>
  </sheetData>
  <mergeCells count="3">
    <mergeCell ref="A8:B8"/>
    <mergeCell ref="A11:B11"/>
    <mergeCell ref="A12:B12"/>
  </mergeCells>
  <pageMargins left="1.25" right="0.7" top="1" bottom="0.75" header="0.55000000000000004" footer="0.3"/>
  <pageSetup scale="82" orientation="portrait" r:id="rId1"/>
  <headerFooter>
    <oddHeader>&amp;R&amp;"Times New Roman,Bold"&amp;12Attachment to Response to KU PSC-2 Question No. 49(b)
Page &amp;P of &amp;N
Charnas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7"/>
  <sheetViews>
    <sheetView zoomScaleNormal="100" workbookViewId="0">
      <pane ySplit="8" topLeftCell="A24" activePane="bottomLeft" state="frozen"/>
      <selection activeCell="B21" sqref="B21"/>
      <selection pane="bottomLeft" activeCell="B21" sqref="B21"/>
    </sheetView>
  </sheetViews>
  <sheetFormatPr defaultRowHeight="15.75" x14ac:dyDescent="0.25"/>
  <cols>
    <col min="1" max="1" width="7.28515625" style="1" customWidth="1"/>
    <col min="2" max="2" width="59.28515625" style="1" customWidth="1"/>
    <col min="3" max="3" width="1.7109375" style="5" customWidth="1"/>
    <col min="4" max="4" width="21.5703125" style="8" bestFit="1" customWidth="1"/>
    <col min="5" max="5" width="1.7109375" style="1" customWidth="1"/>
    <col min="6" max="6" width="10.85546875" style="9" bestFit="1" customWidth="1"/>
    <col min="7" max="7" width="1.7109375" style="60" customWidth="1"/>
    <col min="8" max="8" width="19.42578125" style="10" bestFit="1" customWidth="1"/>
    <col min="9" max="9" width="17.7109375" style="1" bestFit="1" customWidth="1"/>
    <col min="10" max="16384" width="9.140625" style="1"/>
  </cols>
  <sheetData>
    <row r="1" spans="1:8" x14ac:dyDescent="0.25">
      <c r="A1" s="137" t="s">
        <v>33</v>
      </c>
      <c r="B1" s="137"/>
      <c r="C1" s="137"/>
      <c r="D1" s="137"/>
      <c r="E1" s="137"/>
      <c r="F1" s="137"/>
      <c r="G1" s="137"/>
      <c r="H1" s="137"/>
    </row>
    <row r="2" spans="1:8" x14ac:dyDescent="0.25">
      <c r="A2" s="137" t="s">
        <v>43</v>
      </c>
      <c r="B2" s="137"/>
      <c r="C2" s="137"/>
      <c r="D2" s="137"/>
      <c r="E2" s="137"/>
      <c r="F2" s="137"/>
      <c r="G2" s="137"/>
      <c r="H2" s="137"/>
    </row>
    <row r="3" spans="1:8" x14ac:dyDescent="0.25">
      <c r="A3" s="138" t="s">
        <v>136</v>
      </c>
      <c r="B3" s="138"/>
      <c r="C3" s="138"/>
      <c r="D3" s="138"/>
      <c r="E3" s="138"/>
      <c r="F3" s="138"/>
      <c r="G3" s="138"/>
      <c r="H3" s="138"/>
    </row>
    <row r="4" spans="1:8" x14ac:dyDescent="0.25">
      <c r="A4" s="2"/>
      <c r="B4" s="2"/>
      <c r="C4" s="33"/>
      <c r="D4" s="6"/>
      <c r="E4" s="2"/>
      <c r="H4" s="7"/>
    </row>
    <row r="6" spans="1:8" x14ac:dyDescent="0.25">
      <c r="D6" s="34" t="s">
        <v>1</v>
      </c>
      <c r="E6" s="35"/>
      <c r="F6" s="64" t="s">
        <v>146</v>
      </c>
      <c r="H6" s="67" t="s">
        <v>135</v>
      </c>
    </row>
    <row r="7" spans="1:8" x14ac:dyDescent="0.25">
      <c r="D7" s="34" t="s">
        <v>126</v>
      </c>
      <c r="E7" s="35"/>
      <c r="F7" s="64" t="s">
        <v>45</v>
      </c>
      <c r="H7" s="34" t="s">
        <v>134</v>
      </c>
    </row>
    <row r="8" spans="1:8" x14ac:dyDescent="0.25">
      <c r="A8" s="136" t="s">
        <v>0</v>
      </c>
      <c r="B8" s="136"/>
      <c r="C8" s="38"/>
      <c r="D8" s="58" t="s">
        <v>137</v>
      </c>
      <c r="E8" s="35"/>
      <c r="F8" s="65" t="s">
        <v>44</v>
      </c>
      <c r="H8" s="37" t="s">
        <v>145</v>
      </c>
    </row>
    <row r="9" spans="1:8" x14ac:dyDescent="0.25">
      <c r="A9" s="38"/>
      <c r="B9" s="38"/>
      <c r="C9" s="38"/>
      <c r="D9" s="39"/>
      <c r="E9" s="35"/>
      <c r="H9" s="36"/>
    </row>
    <row r="10" spans="1:8" x14ac:dyDescent="0.25">
      <c r="A10" s="35" t="s">
        <v>31</v>
      </c>
    </row>
    <row r="11" spans="1:8" x14ac:dyDescent="0.25">
      <c r="A11" s="17" t="s">
        <v>114</v>
      </c>
      <c r="B11" s="17" t="s">
        <v>115</v>
      </c>
      <c r="D11" s="3">
        <f>ROUND(44455.58,0)</f>
        <v>44456</v>
      </c>
      <c r="F11" s="9">
        <v>0</v>
      </c>
      <c r="H11" s="3">
        <f>ROUND(D11*F11,0)</f>
        <v>0</v>
      </c>
    </row>
    <row r="12" spans="1:8" x14ac:dyDescent="0.25">
      <c r="A12" s="17" t="s">
        <v>116</v>
      </c>
      <c r="B12" s="17" t="s">
        <v>117</v>
      </c>
      <c r="D12" s="8">
        <f>ROUND(55918.83,0)</f>
        <v>55919</v>
      </c>
      <c r="F12" s="9">
        <v>0.18779999999999999</v>
      </c>
      <c r="H12" s="8">
        <f>ROUND(D12*F12,0)</f>
        <v>10502</v>
      </c>
    </row>
    <row r="13" spans="1:8" x14ac:dyDescent="0.25">
      <c r="A13" s="17" t="s">
        <v>118</v>
      </c>
      <c r="B13" s="17" t="s">
        <v>156</v>
      </c>
      <c r="C13" s="24"/>
      <c r="D13" s="14">
        <f>ROUND(19760083.25,0)</f>
        <v>19760083</v>
      </c>
      <c r="F13" s="9">
        <v>0.15279999999999999</v>
      </c>
      <c r="H13" s="8">
        <f t="shared" ref="H13:H14" si="0">ROUND(D13*F13,0)</f>
        <v>3019341</v>
      </c>
    </row>
    <row r="14" spans="1:8" x14ac:dyDescent="0.25">
      <c r="A14" s="17" t="s">
        <v>119</v>
      </c>
      <c r="B14" s="17" t="s">
        <v>157</v>
      </c>
      <c r="D14" s="12">
        <f>ROUND(40343675.42,0)</f>
        <v>40343675</v>
      </c>
      <c r="F14" s="9">
        <v>9.9400000000000002E-2</v>
      </c>
      <c r="H14" s="8">
        <f t="shared" si="0"/>
        <v>4010161</v>
      </c>
    </row>
    <row r="15" spans="1:8" x14ac:dyDescent="0.25">
      <c r="B15" s="35" t="s">
        <v>37</v>
      </c>
      <c r="D15" s="55">
        <f>ROUND(SUM(D11:D14),0)</f>
        <v>60204133</v>
      </c>
      <c r="H15" s="55">
        <f>ROUND(SUM(H11:H14),0)</f>
        <v>7040004</v>
      </c>
    </row>
    <row r="17" spans="1:8" x14ac:dyDescent="0.25">
      <c r="A17" s="35" t="s">
        <v>2</v>
      </c>
    </row>
    <row r="18" spans="1:8" x14ac:dyDescent="0.25">
      <c r="A18" s="13" t="s">
        <v>53</v>
      </c>
      <c r="B18" s="1" t="s">
        <v>32</v>
      </c>
      <c r="D18" s="3">
        <f>ROUND(10881103.86,0)</f>
        <v>10881104</v>
      </c>
      <c r="F18" s="9">
        <v>0</v>
      </c>
      <c r="H18" s="3">
        <f>ROUND(D18*F18,0)</f>
        <v>0</v>
      </c>
    </row>
    <row r="19" spans="1:8" x14ac:dyDescent="0.25">
      <c r="A19" s="13" t="s">
        <v>54</v>
      </c>
      <c r="B19" s="105" t="s">
        <v>78</v>
      </c>
    </row>
    <row r="20" spans="1:8" x14ac:dyDescent="0.25">
      <c r="B20" s="1" t="s">
        <v>55</v>
      </c>
      <c r="D20" s="8">
        <f>ROUND(5607062.28,0)</f>
        <v>5607062</v>
      </c>
      <c r="F20" s="9">
        <v>0</v>
      </c>
      <c r="H20" s="8">
        <f t="shared" ref="H20:H38" si="1">ROUND(D20*F20,0)</f>
        <v>0</v>
      </c>
    </row>
    <row r="21" spans="1:8" x14ac:dyDescent="0.25">
      <c r="A21" s="13"/>
      <c r="B21" s="1" t="s">
        <v>59</v>
      </c>
      <c r="D21" s="8">
        <f>ROUND(583381.44,0)</f>
        <v>583381</v>
      </c>
      <c r="F21" s="9">
        <v>0</v>
      </c>
      <c r="H21" s="8">
        <f t="shared" si="1"/>
        <v>0</v>
      </c>
    </row>
    <row r="22" spans="1:8" x14ac:dyDescent="0.25">
      <c r="A22" s="13"/>
      <c r="B22" s="1" t="s">
        <v>56</v>
      </c>
      <c r="D22" s="8">
        <f>ROUND(2821436.66,0)</f>
        <v>2821437</v>
      </c>
      <c r="F22" s="9">
        <v>0</v>
      </c>
      <c r="H22" s="8">
        <f t="shared" si="1"/>
        <v>0</v>
      </c>
    </row>
    <row r="23" spans="1:8" x14ac:dyDescent="0.25">
      <c r="A23" s="13"/>
      <c r="B23" s="1" t="s">
        <v>57</v>
      </c>
      <c r="D23" s="8">
        <f>ROUND(5476054.3,0)</f>
        <v>5476054</v>
      </c>
      <c r="F23" s="9">
        <v>7.8E-2</v>
      </c>
      <c r="H23" s="8">
        <f t="shared" si="1"/>
        <v>427132</v>
      </c>
    </row>
    <row r="24" spans="1:8" x14ac:dyDescent="0.25">
      <c r="A24" s="13"/>
      <c r="B24" s="1" t="s">
        <v>58</v>
      </c>
      <c r="D24" s="8">
        <f>ROUND(2560764.18,0)</f>
        <v>2560764</v>
      </c>
      <c r="F24" s="9">
        <v>0</v>
      </c>
      <c r="H24" s="8">
        <f t="shared" si="1"/>
        <v>0</v>
      </c>
    </row>
    <row r="25" spans="1:8" x14ac:dyDescent="0.25">
      <c r="A25" s="13"/>
      <c r="B25" s="1" t="s">
        <v>60</v>
      </c>
      <c r="D25" s="8">
        <f>ROUND(4703189.76,0)</f>
        <v>4703190</v>
      </c>
      <c r="F25" s="9">
        <v>4.5999999999999999E-3</v>
      </c>
      <c r="H25" s="8">
        <f t="shared" si="1"/>
        <v>21635</v>
      </c>
    </row>
    <row r="26" spans="1:8" x14ac:dyDescent="0.25">
      <c r="A26" s="13"/>
      <c r="B26" s="1" t="s">
        <v>61</v>
      </c>
      <c r="D26" s="8">
        <f>ROUND(2208657.37,0)</f>
        <v>2208657</v>
      </c>
      <c r="F26" s="9">
        <v>8.9999999999999993E-3</v>
      </c>
      <c r="H26" s="8">
        <f t="shared" si="1"/>
        <v>19878</v>
      </c>
    </row>
    <row r="27" spans="1:8" x14ac:dyDescent="0.25">
      <c r="A27" s="13"/>
      <c r="B27" s="1" t="s">
        <v>62</v>
      </c>
      <c r="D27" s="8">
        <f>ROUND(21608590.23,0)</f>
        <v>21608590</v>
      </c>
      <c r="F27" s="9">
        <v>1.9E-2</v>
      </c>
      <c r="H27" s="8">
        <f t="shared" si="1"/>
        <v>410563</v>
      </c>
    </row>
    <row r="28" spans="1:8" x14ac:dyDescent="0.25">
      <c r="A28" s="13"/>
      <c r="B28" s="1" t="s">
        <v>147</v>
      </c>
      <c r="D28" s="8">
        <f>ROUND(43955565.78,0)</f>
        <v>43955566</v>
      </c>
      <c r="F28" s="9">
        <v>4.58E-2</v>
      </c>
      <c r="H28" s="8">
        <f t="shared" si="1"/>
        <v>2013165</v>
      </c>
    </row>
    <row r="29" spans="1:8" x14ac:dyDescent="0.25">
      <c r="A29" s="13"/>
      <c r="B29" s="1" t="s">
        <v>69</v>
      </c>
      <c r="D29" s="8">
        <f>ROUND(16204.29,0)</f>
        <v>16204</v>
      </c>
      <c r="F29" s="9">
        <v>0</v>
      </c>
      <c r="H29" s="8">
        <f t="shared" si="1"/>
        <v>0</v>
      </c>
    </row>
    <row r="30" spans="1:8" x14ac:dyDescent="0.25">
      <c r="A30" s="13"/>
      <c r="B30" s="1" t="s">
        <v>63</v>
      </c>
      <c r="D30" s="8">
        <f>ROUND(18818851.8,0)</f>
        <v>18818852</v>
      </c>
      <c r="F30" s="9">
        <v>5.8999999999999999E-3</v>
      </c>
      <c r="H30" s="8">
        <f t="shared" si="1"/>
        <v>111031</v>
      </c>
    </row>
    <row r="31" spans="1:8" x14ac:dyDescent="0.25">
      <c r="A31" s="13"/>
      <c r="B31" s="1" t="s">
        <v>148</v>
      </c>
      <c r="D31" s="8">
        <f>ROUND(8436672.67,0)</f>
        <v>8436673</v>
      </c>
      <c r="F31" s="9">
        <v>1.34E-2</v>
      </c>
      <c r="H31" s="8">
        <f t="shared" si="1"/>
        <v>113051</v>
      </c>
    </row>
    <row r="32" spans="1:8" x14ac:dyDescent="0.25">
      <c r="A32" s="13"/>
      <c r="B32" s="1" t="s">
        <v>64</v>
      </c>
      <c r="D32" s="8">
        <f>ROUND(16011012.98,0)</f>
        <v>16011013</v>
      </c>
      <c r="F32" s="9">
        <v>1.0999999999999999E-2</v>
      </c>
      <c r="H32" s="8">
        <f t="shared" si="1"/>
        <v>176121</v>
      </c>
    </row>
    <row r="33" spans="1:8" x14ac:dyDescent="0.25">
      <c r="A33" s="13"/>
      <c r="B33" s="1" t="s">
        <v>149</v>
      </c>
      <c r="D33" s="8">
        <f>ROUND(15817337.72,0)</f>
        <v>15817338</v>
      </c>
      <c r="F33" s="9">
        <v>1.38E-2</v>
      </c>
      <c r="H33" s="8">
        <f t="shared" si="1"/>
        <v>218279</v>
      </c>
    </row>
    <row r="34" spans="1:8" x14ac:dyDescent="0.25">
      <c r="A34" s="13"/>
      <c r="B34" s="1" t="s">
        <v>65</v>
      </c>
      <c r="D34" s="8">
        <f>ROUND(42177125.67,0)</f>
        <v>42177126</v>
      </c>
      <c r="F34" s="9">
        <v>1.5900000000000001E-2</v>
      </c>
      <c r="H34" s="8">
        <f t="shared" si="1"/>
        <v>670616</v>
      </c>
    </row>
    <row r="35" spans="1:8" x14ac:dyDescent="0.25">
      <c r="A35" s="13"/>
      <c r="B35" s="1" t="s">
        <v>66</v>
      </c>
      <c r="D35" s="8">
        <f>ROUND(31022091.76,0)</f>
        <v>31022092</v>
      </c>
      <c r="F35" s="9">
        <v>2.4799999999999999E-2</v>
      </c>
      <c r="H35" s="8">
        <f t="shared" si="1"/>
        <v>769348</v>
      </c>
    </row>
    <row r="36" spans="1:8" x14ac:dyDescent="0.25">
      <c r="A36" s="13"/>
      <c r="B36" s="1" t="s">
        <v>131</v>
      </c>
      <c r="D36" s="8">
        <f>ROUND(106881880.22,0)</f>
        <v>106881880</v>
      </c>
      <c r="F36" s="9">
        <v>1.9E-2</v>
      </c>
      <c r="H36" s="8">
        <f t="shared" si="1"/>
        <v>2030756</v>
      </c>
    </row>
    <row r="37" spans="1:8" x14ac:dyDescent="0.25">
      <c r="A37" s="13"/>
      <c r="B37" s="1" t="s">
        <v>150</v>
      </c>
      <c r="D37" s="8">
        <f>ROUND(5522306.98,0)</f>
        <v>5522307</v>
      </c>
      <c r="F37" s="9">
        <v>1.3599999999999999E-2</v>
      </c>
      <c r="H37" s="8">
        <f t="shared" si="1"/>
        <v>75103</v>
      </c>
    </row>
    <row r="38" spans="1:8" x14ac:dyDescent="0.25">
      <c r="A38" s="13"/>
      <c r="B38" s="1" t="s">
        <v>67</v>
      </c>
      <c r="D38" s="12">
        <f>ROUND(824968.82,0)</f>
        <v>824969</v>
      </c>
      <c r="F38" s="9">
        <v>9.9000000000000008E-3</v>
      </c>
      <c r="H38" s="12">
        <f t="shared" si="1"/>
        <v>8167</v>
      </c>
    </row>
    <row r="39" spans="1:8" x14ac:dyDescent="0.25">
      <c r="B39" s="57"/>
      <c r="D39" s="3">
        <f>ROUND(SUM(D20:D38),0)</f>
        <v>335053155</v>
      </c>
      <c r="H39" s="3">
        <f>ROUND(SUM(H20:H38),0)</f>
        <v>7064845</v>
      </c>
    </row>
    <row r="40" spans="1:8" x14ac:dyDescent="0.25">
      <c r="A40" s="13" t="s">
        <v>68</v>
      </c>
      <c r="B40" s="1" t="s">
        <v>79</v>
      </c>
    </row>
    <row r="41" spans="1:8" x14ac:dyDescent="0.25">
      <c r="B41" s="1" t="s">
        <v>55</v>
      </c>
      <c r="D41" s="3">
        <f>ROUND(13989313.49,0)</f>
        <v>13989313</v>
      </c>
      <c r="F41" s="9">
        <v>7.7399999999999997E-2</v>
      </c>
      <c r="H41" s="3">
        <f>ROUND(D41*F41,0)</f>
        <v>1082773</v>
      </c>
    </row>
    <row r="42" spans="1:8" x14ac:dyDescent="0.25">
      <c r="A42" s="13"/>
      <c r="B42" s="1" t="s">
        <v>59</v>
      </c>
      <c r="D42" s="8">
        <f>ROUND(421899.96,0)</f>
        <v>421900</v>
      </c>
      <c r="F42" s="9">
        <v>0</v>
      </c>
      <c r="H42" s="8">
        <f t="shared" ref="H42:H60" si="2">ROUND(D42*F42,0)</f>
        <v>0</v>
      </c>
    </row>
    <row r="43" spans="1:8" x14ac:dyDescent="0.25">
      <c r="A43" s="13"/>
      <c r="B43" s="1" t="s">
        <v>56</v>
      </c>
      <c r="D43" s="8">
        <f>ROUND(12145770.44,0)</f>
        <v>12145770</v>
      </c>
      <c r="F43" s="9">
        <v>7.5899999999999995E-2</v>
      </c>
      <c r="H43" s="8">
        <f t="shared" si="2"/>
        <v>921864</v>
      </c>
    </row>
    <row r="44" spans="1:8" x14ac:dyDescent="0.25">
      <c r="A44" s="13"/>
      <c r="B44" s="1" t="s">
        <v>57</v>
      </c>
      <c r="D44" s="8">
        <f>ROUND(25264652.75,0)</f>
        <v>25264653</v>
      </c>
      <c r="F44" s="9">
        <v>7.5700000000000003E-2</v>
      </c>
      <c r="H44" s="8">
        <f t="shared" si="2"/>
        <v>1912534</v>
      </c>
    </row>
    <row r="45" spans="1:8" x14ac:dyDescent="0.25">
      <c r="A45" s="13"/>
      <c r="B45" s="1" t="s">
        <v>58</v>
      </c>
      <c r="D45" s="8">
        <f>ROUND(349297.88,0)</f>
        <v>349298</v>
      </c>
      <c r="F45" s="9">
        <v>0</v>
      </c>
      <c r="H45" s="8">
        <f t="shared" si="2"/>
        <v>0</v>
      </c>
    </row>
    <row r="46" spans="1:8" x14ac:dyDescent="0.25">
      <c r="A46" s="13"/>
      <c r="B46" s="1" t="s">
        <v>60</v>
      </c>
      <c r="D46" s="8">
        <f>ROUND(45946144.5,0)</f>
        <v>45946145</v>
      </c>
      <c r="F46" s="9">
        <v>3.2500000000000001E-2</v>
      </c>
      <c r="H46" s="8">
        <f t="shared" si="2"/>
        <v>1493250</v>
      </c>
    </row>
    <row r="47" spans="1:8" x14ac:dyDescent="0.25">
      <c r="A47" s="13"/>
      <c r="B47" s="1" t="s">
        <v>61</v>
      </c>
      <c r="D47" s="8">
        <f>ROUND(40993123.07,0)</f>
        <v>40993123</v>
      </c>
      <c r="F47" s="9">
        <v>2.98E-2</v>
      </c>
      <c r="H47" s="8">
        <f t="shared" si="2"/>
        <v>1221595</v>
      </c>
    </row>
    <row r="48" spans="1:8" x14ac:dyDescent="0.25">
      <c r="A48" s="13"/>
      <c r="B48" s="1" t="s">
        <v>62</v>
      </c>
      <c r="D48" s="8">
        <f>ROUND(144532013.38,0)</f>
        <v>144532013</v>
      </c>
      <c r="F48" s="9">
        <v>2.6700000000000002E-2</v>
      </c>
      <c r="H48" s="8">
        <f t="shared" si="2"/>
        <v>3859005</v>
      </c>
    </row>
    <row r="49" spans="1:9" x14ac:dyDescent="0.25">
      <c r="A49" s="13"/>
      <c r="B49" s="1" t="s">
        <v>147</v>
      </c>
      <c r="D49" s="8">
        <f>ROUND(332297548.3,0)</f>
        <v>332297548</v>
      </c>
      <c r="F49" s="9">
        <v>4.58E-2</v>
      </c>
      <c r="H49" s="8">
        <f t="shared" si="2"/>
        <v>15219228</v>
      </c>
    </row>
    <row r="50" spans="1:9" x14ac:dyDescent="0.25">
      <c r="A50" s="13"/>
      <c r="B50" s="1" t="s">
        <v>69</v>
      </c>
      <c r="D50" s="8">
        <f>ROUND(236470.42,0)</f>
        <v>236470</v>
      </c>
      <c r="F50" s="9">
        <v>0</v>
      </c>
      <c r="H50" s="8">
        <f t="shared" si="2"/>
        <v>0</v>
      </c>
    </row>
    <row r="51" spans="1:9" x14ac:dyDescent="0.25">
      <c r="A51" s="13"/>
      <c r="B51" s="1" t="s">
        <v>148</v>
      </c>
      <c r="D51" s="8">
        <f>ROUND(138565707,0)</f>
        <v>138565707</v>
      </c>
      <c r="F51" s="9">
        <v>4.02E-2</v>
      </c>
      <c r="H51" s="8">
        <f t="shared" si="2"/>
        <v>5570341</v>
      </c>
    </row>
    <row r="52" spans="1:9" x14ac:dyDescent="0.25">
      <c r="A52" s="13"/>
      <c r="B52" s="1" t="s">
        <v>63</v>
      </c>
      <c r="D52" s="8">
        <f>ROUND(200261496.93,0)</f>
        <v>200261497</v>
      </c>
      <c r="F52" s="9">
        <v>2.93E-2</v>
      </c>
      <c r="H52" s="8">
        <f t="shared" si="2"/>
        <v>5867662</v>
      </c>
    </row>
    <row r="53" spans="1:9" x14ac:dyDescent="0.25">
      <c r="A53" s="13"/>
      <c r="B53" s="1" t="s">
        <v>64</v>
      </c>
      <c r="D53" s="8">
        <f>ROUND(124543857.38,0)</f>
        <v>124543857</v>
      </c>
      <c r="F53" s="9">
        <v>1.8100000000000002E-2</v>
      </c>
      <c r="H53" s="8">
        <f t="shared" si="2"/>
        <v>2254244</v>
      </c>
    </row>
    <row r="54" spans="1:9" x14ac:dyDescent="0.25">
      <c r="A54" s="13"/>
      <c r="B54" s="17" t="s">
        <v>149</v>
      </c>
      <c r="C54" s="24"/>
      <c r="D54" s="8">
        <f>ROUND(67966247.75,0)</f>
        <v>67966248</v>
      </c>
      <c r="F54" s="9">
        <v>2.4299999999999999E-2</v>
      </c>
      <c r="H54" s="8">
        <f t="shared" si="2"/>
        <v>1651580</v>
      </c>
    </row>
    <row r="55" spans="1:9" x14ac:dyDescent="0.25">
      <c r="A55" s="13"/>
      <c r="B55" s="1" t="s">
        <v>65</v>
      </c>
      <c r="D55" s="8">
        <f>ROUND(251295254.15,0)</f>
        <v>251295254</v>
      </c>
      <c r="F55" s="9">
        <v>2.3099999999999999E-2</v>
      </c>
      <c r="H55" s="8">
        <f t="shared" si="2"/>
        <v>5804920</v>
      </c>
    </row>
    <row r="56" spans="1:9" x14ac:dyDescent="0.25">
      <c r="A56" s="13"/>
      <c r="B56" s="1" t="s">
        <v>132</v>
      </c>
      <c r="D56" s="14">
        <f>ROUND(127988949.01,0)</f>
        <v>127988949</v>
      </c>
      <c r="F56" s="9">
        <v>3.7400000000000003E-2</v>
      </c>
      <c r="H56" s="8">
        <f t="shared" si="2"/>
        <v>4786787</v>
      </c>
    </row>
    <row r="57" spans="1:9" x14ac:dyDescent="0.25">
      <c r="A57" s="13"/>
      <c r="B57" s="1" t="s">
        <v>66</v>
      </c>
      <c r="D57" s="8">
        <f>ROUND(302158439.27,0)</f>
        <v>302158439</v>
      </c>
      <c r="F57" s="9">
        <v>2.5999999999999999E-2</v>
      </c>
      <c r="H57" s="8">
        <f t="shared" si="2"/>
        <v>7856119</v>
      </c>
    </row>
    <row r="58" spans="1:9" x14ac:dyDescent="0.25">
      <c r="A58" s="13"/>
      <c r="B58" s="17" t="s">
        <v>151</v>
      </c>
      <c r="C58" s="24"/>
      <c r="D58" s="8">
        <f>ROUND(253256787.5,0)</f>
        <v>253256788</v>
      </c>
      <c r="F58" s="9">
        <v>3.8300000000000001E-2</v>
      </c>
      <c r="H58" s="8">
        <f t="shared" si="2"/>
        <v>9699735</v>
      </c>
    </row>
    <row r="59" spans="1:9" x14ac:dyDescent="0.25">
      <c r="A59" s="13"/>
      <c r="B59" s="1" t="s">
        <v>131</v>
      </c>
      <c r="C59" s="24"/>
      <c r="D59" s="8">
        <f>ROUND(506708710.15,0)</f>
        <v>506708710</v>
      </c>
      <c r="F59" s="9">
        <v>2.1899999999999999E-2</v>
      </c>
      <c r="H59" s="8">
        <f t="shared" si="2"/>
        <v>11096921</v>
      </c>
    </row>
    <row r="60" spans="1:9" x14ac:dyDescent="0.25">
      <c r="A60" s="13"/>
      <c r="B60" s="1" t="s">
        <v>150</v>
      </c>
      <c r="C60" s="24"/>
      <c r="D60" s="12">
        <f>ROUND(72147225.64,0)</f>
        <v>72147226</v>
      </c>
      <c r="F60" s="9">
        <v>2.06E-2</v>
      </c>
      <c r="H60" s="12">
        <f t="shared" si="2"/>
        <v>1486233</v>
      </c>
    </row>
    <row r="61" spans="1:9" x14ac:dyDescent="0.25">
      <c r="A61" s="13"/>
      <c r="B61" s="15"/>
      <c r="C61" s="40"/>
      <c r="D61" s="3">
        <f>ROUND(SUM(D41:D60),0)</f>
        <v>2661068908</v>
      </c>
      <c r="H61" s="3">
        <f>ROUND(SUM(H41:H60),0)</f>
        <v>81784791</v>
      </c>
      <c r="I61" s="66"/>
    </row>
    <row r="62" spans="1:9" x14ac:dyDescent="0.25">
      <c r="A62" s="13" t="s">
        <v>70</v>
      </c>
      <c r="B62" s="1" t="s">
        <v>80</v>
      </c>
    </row>
    <row r="63" spans="1:9" x14ac:dyDescent="0.25">
      <c r="B63" s="1" t="s">
        <v>55</v>
      </c>
      <c r="D63" s="3">
        <f>ROUND(4805513.66,0)</f>
        <v>4805514</v>
      </c>
      <c r="F63" s="9">
        <v>7.7100000000000002E-2</v>
      </c>
      <c r="H63" s="3">
        <f>ROUND(D63*F63,0)</f>
        <v>370505</v>
      </c>
    </row>
    <row r="64" spans="1:9" x14ac:dyDescent="0.25">
      <c r="A64" s="13"/>
      <c r="B64" s="1" t="s">
        <v>59</v>
      </c>
      <c r="D64" s="8">
        <f>ROUND(68205.72,0)</f>
        <v>68206</v>
      </c>
      <c r="F64" s="9">
        <v>0</v>
      </c>
      <c r="H64" s="8">
        <f t="shared" ref="H64:H74" si="3">ROUND(D64*F64,0)</f>
        <v>0</v>
      </c>
    </row>
    <row r="65" spans="1:8" x14ac:dyDescent="0.25">
      <c r="A65" s="13"/>
      <c r="B65" s="1" t="s">
        <v>56</v>
      </c>
      <c r="D65" s="8">
        <f>ROUND(4562206.79,0)</f>
        <v>4562207</v>
      </c>
      <c r="F65" s="9">
        <v>5.2900000000000003E-2</v>
      </c>
      <c r="H65" s="8">
        <f t="shared" si="3"/>
        <v>241341</v>
      </c>
    </row>
    <row r="66" spans="1:8" x14ac:dyDescent="0.25">
      <c r="A66" s="13"/>
      <c r="B66" s="1" t="s">
        <v>57</v>
      </c>
      <c r="D66" s="8">
        <f>ROUND(10390499.18,0)</f>
        <v>10390499</v>
      </c>
      <c r="F66" s="9">
        <v>4.5499999999999999E-2</v>
      </c>
      <c r="H66" s="8">
        <f t="shared" si="3"/>
        <v>472768</v>
      </c>
    </row>
    <row r="67" spans="1:8" x14ac:dyDescent="0.25">
      <c r="A67" s="13"/>
      <c r="B67" s="1" t="s">
        <v>60</v>
      </c>
      <c r="D67" s="8">
        <f>ROUND(7512848.56,0)</f>
        <v>7512849</v>
      </c>
      <c r="F67" s="9">
        <v>2.87E-2</v>
      </c>
      <c r="H67" s="8">
        <f t="shared" si="3"/>
        <v>215619</v>
      </c>
    </row>
    <row r="68" spans="1:8" x14ac:dyDescent="0.25">
      <c r="A68" s="13"/>
      <c r="B68" s="1" t="s">
        <v>61</v>
      </c>
      <c r="D68" s="8">
        <f>ROUND(12531796.5,0)</f>
        <v>12531797</v>
      </c>
      <c r="F68" s="9">
        <v>1.8599999999999998E-2</v>
      </c>
      <c r="H68" s="8">
        <f t="shared" si="3"/>
        <v>233091</v>
      </c>
    </row>
    <row r="69" spans="1:8" x14ac:dyDescent="0.25">
      <c r="A69" s="13"/>
      <c r="B69" s="1" t="s">
        <v>62</v>
      </c>
      <c r="D69" s="8">
        <f>ROUND(29370579.69,0)</f>
        <v>29370580</v>
      </c>
      <c r="F69" s="9">
        <v>1.8599999999999998E-2</v>
      </c>
      <c r="H69" s="8">
        <f t="shared" si="3"/>
        <v>546293</v>
      </c>
    </row>
    <row r="70" spans="1:8" x14ac:dyDescent="0.25">
      <c r="A70" s="13"/>
      <c r="B70" s="1" t="s">
        <v>63</v>
      </c>
      <c r="D70" s="8">
        <f>ROUND(36687332.47,0)</f>
        <v>36687332</v>
      </c>
      <c r="F70" s="9">
        <v>2.6700000000000002E-2</v>
      </c>
      <c r="H70" s="8">
        <f t="shared" si="3"/>
        <v>979552</v>
      </c>
    </row>
    <row r="71" spans="1:8" x14ac:dyDescent="0.25">
      <c r="A71" s="13"/>
      <c r="B71" s="1" t="s">
        <v>64</v>
      </c>
      <c r="D71" s="8">
        <f>ROUND(30417602.86,0)</f>
        <v>30417603</v>
      </c>
      <c r="F71" s="9">
        <v>2.24E-2</v>
      </c>
      <c r="H71" s="8">
        <f t="shared" si="3"/>
        <v>681354</v>
      </c>
    </row>
    <row r="72" spans="1:8" x14ac:dyDescent="0.25">
      <c r="A72" s="13"/>
      <c r="B72" s="1" t="s">
        <v>65</v>
      </c>
      <c r="D72" s="8">
        <f>ROUND(42547916.58,0)</f>
        <v>42547917</v>
      </c>
      <c r="F72" s="9">
        <v>2.0799999999999999E-2</v>
      </c>
      <c r="H72" s="8">
        <f t="shared" si="3"/>
        <v>884997</v>
      </c>
    </row>
    <row r="73" spans="1:8" x14ac:dyDescent="0.25">
      <c r="A73" s="13"/>
      <c r="B73" s="1" t="s">
        <v>66</v>
      </c>
      <c r="D73" s="14">
        <f>ROUND(57036984.21,0)</f>
        <v>57036984</v>
      </c>
      <c r="F73" s="9">
        <v>2.4299999999999999E-2</v>
      </c>
      <c r="H73" s="8">
        <f t="shared" si="3"/>
        <v>1385999</v>
      </c>
    </row>
    <row r="74" spans="1:8" x14ac:dyDescent="0.25">
      <c r="A74" s="13"/>
      <c r="B74" s="1" t="s">
        <v>131</v>
      </c>
      <c r="D74" s="12">
        <f>ROUND(84288843.48,0)</f>
        <v>84288843</v>
      </c>
      <c r="F74" s="9">
        <v>2.1899999999999999E-2</v>
      </c>
      <c r="H74" s="12">
        <f t="shared" si="3"/>
        <v>1845926</v>
      </c>
    </row>
    <row r="75" spans="1:8" x14ac:dyDescent="0.25">
      <c r="A75" s="13"/>
      <c r="B75" s="15"/>
      <c r="C75" s="40"/>
      <c r="D75" s="3">
        <f>ROUND(SUM(D63:D74),0)</f>
        <v>320220331</v>
      </c>
      <c r="H75" s="3">
        <f>ROUND(SUM(H63:H74),0)</f>
        <v>7857445</v>
      </c>
    </row>
    <row r="76" spans="1:8" x14ac:dyDescent="0.25">
      <c r="A76" s="13" t="s">
        <v>71</v>
      </c>
      <c r="B76" s="1" t="s">
        <v>81</v>
      </c>
    </row>
    <row r="77" spans="1:8" x14ac:dyDescent="0.25">
      <c r="A77" s="13"/>
      <c r="B77" s="1" t="s">
        <v>55</v>
      </c>
      <c r="D77" s="3">
        <f>ROUND(2081692.71,0)</f>
        <v>2081693</v>
      </c>
      <c r="F77" s="9">
        <v>0.14649999999999999</v>
      </c>
      <c r="H77" s="3">
        <f>ROUND(D77*F77,0)</f>
        <v>304968</v>
      </c>
    </row>
    <row r="78" spans="1:8" x14ac:dyDescent="0.25">
      <c r="A78" s="13"/>
      <c r="B78" s="1" t="s">
        <v>59</v>
      </c>
      <c r="D78" s="8">
        <f>ROUND(99210.72,0)</f>
        <v>99211</v>
      </c>
      <c r="F78" s="9">
        <v>0</v>
      </c>
      <c r="H78" s="8">
        <f t="shared" ref="H78:H94" si="4">ROUND(D78*F78,0)</f>
        <v>0</v>
      </c>
    </row>
    <row r="79" spans="1:8" x14ac:dyDescent="0.25">
      <c r="A79" s="13"/>
      <c r="B79" s="1" t="s">
        <v>56</v>
      </c>
      <c r="D79" s="8">
        <f>ROUND(1205362.18,0)</f>
        <v>1205362</v>
      </c>
      <c r="F79" s="9">
        <v>0.16159999999999999</v>
      </c>
      <c r="H79" s="8">
        <f t="shared" si="4"/>
        <v>194786</v>
      </c>
    </row>
    <row r="80" spans="1:8" x14ac:dyDescent="0.25">
      <c r="A80" s="13"/>
      <c r="B80" s="1" t="s">
        <v>57</v>
      </c>
      <c r="D80" s="8">
        <f>ROUND(2695328.66,0)</f>
        <v>2695329</v>
      </c>
      <c r="F80" s="9">
        <v>0.1053</v>
      </c>
      <c r="H80" s="8">
        <f t="shared" si="4"/>
        <v>283818</v>
      </c>
    </row>
    <row r="81" spans="1:8" x14ac:dyDescent="0.25">
      <c r="A81" s="13"/>
      <c r="B81" s="1" t="s">
        <v>60</v>
      </c>
      <c r="D81" s="8">
        <f>ROUND(3847278.89,0)</f>
        <v>3847279</v>
      </c>
      <c r="F81" s="9">
        <v>1.61E-2</v>
      </c>
      <c r="H81" s="8">
        <f t="shared" si="4"/>
        <v>61941</v>
      </c>
    </row>
    <row r="82" spans="1:8" x14ac:dyDescent="0.25">
      <c r="A82" s="13"/>
      <c r="B82" s="1" t="s">
        <v>61</v>
      </c>
      <c r="D82" s="8">
        <f>ROUND(2485858.25,0)</f>
        <v>2485858</v>
      </c>
      <c r="F82" s="9">
        <v>2.1999999999999999E-2</v>
      </c>
      <c r="H82" s="8">
        <f t="shared" si="4"/>
        <v>54689</v>
      </c>
    </row>
    <row r="83" spans="1:8" x14ac:dyDescent="0.25">
      <c r="A83" s="13"/>
      <c r="B83" s="1" t="s">
        <v>62</v>
      </c>
      <c r="D83" s="8">
        <f>ROUND(8761313.65,0)</f>
        <v>8761314</v>
      </c>
      <c r="F83" s="9">
        <v>1.49E-2</v>
      </c>
      <c r="H83" s="8">
        <f t="shared" si="4"/>
        <v>130544</v>
      </c>
    </row>
    <row r="84" spans="1:8" x14ac:dyDescent="0.25">
      <c r="A84" s="13"/>
      <c r="B84" s="1" t="s">
        <v>147</v>
      </c>
      <c r="D84" s="8">
        <f>ROUND(29503821.45,0)</f>
        <v>29503821</v>
      </c>
      <c r="F84" s="9">
        <v>4.5499999999999999E-2</v>
      </c>
      <c r="H84" s="8">
        <f t="shared" si="4"/>
        <v>1342424</v>
      </c>
    </row>
    <row r="85" spans="1:8" x14ac:dyDescent="0.25">
      <c r="A85" s="13"/>
      <c r="B85" s="1" t="s">
        <v>148</v>
      </c>
      <c r="D85" s="8">
        <f>ROUND(12144071.97,0)</f>
        <v>12144072</v>
      </c>
      <c r="F85" s="9">
        <v>3.8899999999999997E-2</v>
      </c>
      <c r="H85" s="8">
        <f t="shared" si="4"/>
        <v>472404</v>
      </c>
    </row>
    <row r="86" spans="1:8" x14ac:dyDescent="0.25">
      <c r="A86" s="13"/>
      <c r="B86" s="1" t="s">
        <v>63</v>
      </c>
      <c r="D86" s="8">
        <f>ROUND(8872543.26,0)</f>
        <v>8872543</v>
      </c>
      <c r="F86" s="9">
        <v>8.6999999999999994E-3</v>
      </c>
      <c r="H86" s="8">
        <f t="shared" si="4"/>
        <v>77191</v>
      </c>
    </row>
    <row r="87" spans="1:8" x14ac:dyDescent="0.25">
      <c r="A87" s="13"/>
      <c r="B87" s="1" t="s">
        <v>64</v>
      </c>
      <c r="D87" s="8">
        <f>ROUND(13858388.53,0)</f>
        <v>13858389</v>
      </c>
      <c r="F87" s="9">
        <v>1.6500000000000001E-2</v>
      </c>
      <c r="H87" s="8">
        <f t="shared" si="4"/>
        <v>228663</v>
      </c>
    </row>
    <row r="88" spans="1:8" x14ac:dyDescent="0.25">
      <c r="A88" s="13"/>
      <c r="B88" s="17" t="s">
        <v>149</v>
      </c>
      <c r="C88" s="24"/>
      <c r="D88" s="8">
        <f>ROUND(941942.32,0)</f>
        <v>941942</v>
      </c>
      <c r="F88" s="9">
        <v>4.7E-2</v>
      </c>
      <c r="H88" s="8">
        <f t="shared" si="4"/>
        <v>44271</v>
      </c>
    </row>
    <row r="89" spans="1:8" x14ac:dyDescent="0.25">
      <c r="A89" s="13"/>
      <c r="B89" s="1" t="s">
        <v>65</v>
      </c>
      <c r="D89" s="8">
        <f>ROUND(30932405.42,0)</f>
        <v>30932405</v>
      </c>
      <c r="F89" s="9">
        <v>1.5900000000000001E-2</v>
      </c>
      <c r="H89" s="8">
        <f t="shared" si="4"/>
        <v>491825</v>
      </c>
    </row>
    <row r="90" spans="1:8" x14ac:dyDescent="0.25">
      <c r="A90" s="13"/>
      <c r="B90" s="1" t="s">
        <v>152</v>
      </c>
      <c r="D90" s="14">
        <f>ROUND(12041998.28,0)</f>
        <v>12041998</v>
      </c>
      <c r="F90" s="9">
        <v>3.7499999999999999E-2</v>
      </c>
      <c r="H90" s="8">
        <f t="shared" si="4"/>
        <v>451575</v>
      </c>
    </row>
    <row r="91" spans="1:8" x14ac:dyDescent="0.25">
      <c r="A91" s="13"/>
      <c r="B91" s="1" t="s">
        <v>66</v>
      </c>
      <c r="D91" s="8">
        <f>ROUND(24412796.92,0)</f>
        <v>24412797</v>
      </c>
      <c r="F91" s="9">
        <v>1.7600000000000001E-2</v>
      </c>
      <c r="H91" s="8">
        <f t="shared" si="4"/>
        <v>429665</v>
      </c>
    </row>
    <row r="92" spans="1:8" x14ac:dyDescent="0.25">
      <c r="A92" s="13"/>
      <c r="B92" s="17" t="s">
        <v>153</v>
      </c>
      <c r="C92" s="24"/>
      <c r="D92" s="14">
        <f>ROUND(15148041.55,0)</f>
        <v>15148042</v>
      </c>
      <c r="E92" s="5"/>
      <c r="F92" s="9">
        <v>3.8600000000000002E-2</v>
      </c>
      <c r="H92" s="8">
        <f t="shared" si="4"/>
        <v>584714</v>
      </c>
    </row>
    <row r="93" spans="1:8" x14ac:dyDescent="0.25">
      <c r="A93" s="13"/>
      <c r="B93" s="1" t="s">
        <v>131</v>
      </c>
      <c r="C93" s="24"/>
      <c r="D93" s="14">
        <f>ROUND(42182157.56,0)</f>
        <v>42182158</v>
      </c>
      <c r="F93" s="9">
        <v>2.01E-2</v>
      </c>
      <c r="H93" s="8">
        <f t="shared" si="4"/>
        <v>847861</v>
      </c>
    </row>
    <row r="94" spans="1:8" x14ac:dyDescent="0.25">
      <c r="A94" s="13"/>
      <c r="B94" s="1" t="s">
        <v>150</v>
      </c>
      <c r="C94" s="24"/>
      <c r="D94" s="12">
        <f>ROUND(1415469.1,0)</f>
        <v>1415469</v>
      </c>
      <c r="F94" s="9">
        <v>1.5599999999999999E-2</v>
      </c>
      <c r="H94" s="12">
        <f t="shared" si="4"/>
        <v>22081</v>
      </c>
    </row>
    <row r="95" spans="1:8" x14ac:dyDescent="0.25">
      <c r="A95" s="13"/>
      <c r="B95" s="15"/>
      <c r="C95" s="40"/>
      <c r="D95" s="3">
        <f>ROUND(SUM(D77:D94),0)</f>
        <v>212629682</v>
      </c>
      <c r="H95" s="3">
        <f>ROUND(SUM(H77:H94),0)</f>
        <v>6023420</v>
      </c>
    </row>
    <row r="96" spans="1:8" x14ac:dyDescent="0.25">
      <c r="A96" s="13" t="s">
        <v>72</v>
      </c>
      <c r="B96" s="1" t="s">
        <v>82</v>
      </c>
    </row>
    <row r="97" spans="1:8" x14ac:dyDescent="0.25">
      <c r="A97" s="13"/>
      <c r="B97" s="1" t="s">
        <v>55</v>
      </c>
      <c r="D97" s="3">
        <f>ROUND(553355.01,0)</f>
        <v>553355</v>
      </c>
      <c r="F97" s="9">
        <v>0.1628</v>
      </c>
      <c r="H97" s="3">
        <f>ROUND(D97*F97,0)</f>
        <v>90086</v>
      </c>
    </row>
    <row r="98" spans="1:8" x14ac:dyDescent="0.25">
      <c r="A98" s="13"/>
      <c r="B98" s="1" t="s">
        <v>59</v>
      </c>
      <c r="D98" s="8">
        <f>ROUND(50126.84,0)</f>
        <v>50127</v>
      </c>
      <c r="F98" s="9">
        <v>0</v>
      </c>
      <c r="H98" s="8">
        <f t="shared" ref="H98:H111" si="5">ROUND(D98*F98,0)</f>
        <v>0</v>
      </c>
    </row>
    <row r="99" spans="1:8" x14ac:dyDescent="0.25">
      <c r="A99" s="13"/>
      <c r="B99" s="1" t="s">
        <v>56</v>
      </c>
      <c r="D99" s="8">
        <f>ROUND(152146.47,0)</f>
        <v>152146</v>
      </c>
      <c r="F99" s="9">
        <v>0.1087</v>
      </c>
      <c r="H99" s="8">
        <f t="shared" si="5"/>
        <v>16538</v>
      </c>
    </row>
    <row r="100" spans="1:8" x14ac:dyDescent="0.25">
      <c r="A100" s="13"/>
      <c r="B100" s="1" t="s">
        <v>57</v>
      </c>
      <c r="D100" s="8">
        <f>ROUND(2408142.84,0)</f>
        <v>2408143</v>
      </c>
      <c r="F100" s="9">
        <v>0.12870000000000001</v>
      </c>
      <c r="H100" s="8">
        <f t="shared" si="5"/>
        <v>309928</v>
      </c>
    </row>
    <row r="101" spans="1:8" x14ac:dyDescent="0.25">
      <c r="A101" s="13"/>
      <c r="B101" s="1" t="s">
        <v>58</v>
      </c>
      <c r="D101" s="8">
        <f>ROUND(84749.53,0)</f>
        <v>84750</v>
      </c>
      <c r="F101" s="9">
        <v>0</v>
      </c>
      <c r="H101" s="8">
        <f t="shared" si="5"/>
        <v>0</v>
      </c>
    </row>
    <row r="102" spans="1:8" x14ac:dyDescent="0.25">
      <c r="A102" s="13"/>
      <c r="B102" s="1" t="s">
        <v>60</v>
      </c>
      <c r="D102" s="8">
        <f>ROUND(432577.58,0)</f>
        <v>432578</v>
      </c>
      <c r="F102" s="9">
        <v>1.8599999999999998E-2</v>
      </c>
      <c r="H102" s="8">
        <f t="shared" si="5"/>
        <v>8046</v>
      </c>
    </row>
    <row r="103" spans="1:8" x14ac:dyDescent="0.25">
      <c r="A103" s="13"/>
      <c r="B103" s="1" t="s">
        <v>61</v>
      </c>
      <c r="D103" s="8">
        <f>ROUND(106658.32,0)</f>
        <v>106658</v>
      </c>
      <c r="F103" s="9">
        <v>3.7000000000000002E-3</v>
      </c>
      <c r="H103" s="8">
        <f t="shared" si="5"/>
        <v>395</v>
      </c>
    </row>
    <row r="104" spans="1:8" x14ac:dyDescent="0.25">
      <c r="A104" s="13"/>
      <c r="B104" s="1" t="s">
        <v>62</v>
      </c>
      <c r="D104" s="8">
        <f>ROUND(5159550.33,0)</f>
        <v>5159550</v>
      </c>
      <c r="F104" s="9">
        <v>2.4E-2</v>
      </c>
      <c r="H104" s="8">
        <f t="shared" si="5"/>
        <v>123829</v>
      </c>
    </row>
    <row r="105" spans="1:8" x14ac:dyDescent="0.25">
      <c r="A105" s="13"/>
      <c r="B105" s="1" t="s">
        <v>148</v>
      </c>
      <c r="D105" s="8">
        <f>ROUND(1033027.09,0)</f>
        <v>1033027</v>
      </c>
      <c r="F105" s="9">
        <v>1.46E-2</v>
      </c>
      <c r="H105" s="8">
        <f t="shared" si="5"/>
        <v>15082</v>
      </c>
    </row>
    <row r="106" spans="1:8" x14ac:dyDescent="0.25">
      <c r="A106" s="13"/>
      <c r="B106" s="1" t="s">
        <v>63</v>
      </c>
      <c r="D106" s="8">
        <f>ROUND(1747526.86,0)</f>
        <v>1747527</v>
      </c>
      <c r="F106" s="9">
        <v>1.03E-2</v>
      </c>
      <c r="H106" s="8">
        <f t="shared" si="5"/>
        <v>18000</v>
      </c>
    </row>
    <row r="107" spans="1:8" x14ac:dyDescent="0.25">
      <c r="A107" s="13"/>
      <c r="B107" s="1" t="s">
        <v>64</v>
      </c>
      <c r="D107" s="8">
        <f>ROUND(1500525.31,0)</f>
        <v>1500525</v>
      </c>
      <c r="F107" s="9">
        <v>9.1999999999999998E-3</v>
      </c>
      <c r="H107" s="8">
        <f t="shared" si="5"/>
        <v>13805</v>
      </c>
    </row>
    <row r="108" spans="1:8" x14ac:dyDescent="0.25">
      <c r="A108" s="13"/>
      <c r="B108" s="1" t="s">
        <v>65</v>
      </c>
      <c r="D108" s="8">
        <f>ROUND(3150437.55,0)</f>
        <v>3150438</v>
      </c>
      <c r="F108" s="9">
        <v>1.3599999999999999E-2</v>
      </c>
      <c r="H108" s="8">
        <f t="shared" si="5"/>
        <v>42846</v>
      </c>
    </row>
    <row r="109" spans="1:8" x14ac:dyDescent="0.25">
      <c r="A109" s="13"/>
      <c r="B109" s="1" t="s">
        <v>66</v>
      </c>
      <c r="D109" s="8">
        <f>ROUND(7838123.7,0)</f>
        <v>7838124</v>
      </c>
      <c r="F109" s="9">
        <v>2.98E-2</v>
      </c>
      <c r="H109" s="8">
        <f t="shared" si="5"/>
        <v>233576</v>
      </c>
    </row>
    <row r="110" spans="1:8" x14ac:dyDescent="0.25">
      <c r="A110" s="13"/>
      <c r="B110" s="1" t="s">
        <v>131</v>
      </c>
      <c r="D110" s="8">
        <f>ROUND(3796552.3,0)</f>
        <v>3796552</v>
      </c>
      <c r="F110" s="9">
        <v>2.3099999999999999E-2</v>
      </c>
      <c r="H110" s="8">
        <f t="shared" si="5"/>
        <v>87700</v>
      </c>
    </row>
    <row r="111" spans="1:8" x14ac:dyDescent="0.25">
      <c r="A111" s="13"/>
      <c r="B111" s="1" t="s">
        <v>67</v>
      </c>
      <c r="D111" s="12">
        <f>ROUND(2793691.47,0)</f>
        <v>2793691</v>
      </c>
      <c r="F111" s="9">
        <v>2.7E-2</v>
      </c>
      <c r="H111" s="12">
        <f t="shared" si="5"/>
        <v>75430</v>
      </c>
    </row>
    <row r="112" spans="1:8" x14ac:dyDescent="0.25">
      <c r="A112" s="13"/>
      <c r="D112" s="3">
        <f>ROUND(SUM(D97:D111),0)</f>
        <v>30807191</v>
      </c>
      <c r="H112" s="3">
        <f>ROUND(SUM(H97:H111),0)</f>
        <v>1035261</v>
      </c>
    </row>
    <row r="113" spans="1:8" x14ac:dyDescent="0.25">
      <c r="A113" s="13"/>
    </row>
    <row r="114" spans="1:8" ht="18.75" x14ac:dyDescent="0.3">
      <c r="A114" s="13" t="s">
        <v>73</v>
      </c>
      <c r="B114" s="1" t="s">
        <v>112</v>
      </c>
      <c r="D114" s="8">
        <f>ROUND(56489771.46,0)</f>
        <v>56489771</v>
      </c>
    </row>
    <row r="115" spans="1:8" x14ac:dyDescent="0.25">
      <c r="A115" s="13"/>
    </row>
    <row r="116" spans="1:8" x14ac:dyDescent="0.25">
      <c r="A116" s="13"/>
      <c r="B116" s="35" t="s">
        <v>74</v>
      </c>
      <c r="D116" s="55">
        <f>ROUND(D114+D112+D95+D75+D61+D39+D18,0)</f>
        <v>3627150142</v>
      </c>
      <c r="H116" s="55">
        <f>H114+H112+H95+H75+H61+H39+H18</f>
        <v>103765762</v>
      </c>
    </row>
    <row r="117" spans="1:8" x14ac:dyDescent="0.25">
      <c r="B117" s="15"/>
      <c r="C117" s="40"/>
    </row>
    <row r="118" spans="1:8" x14ac:dyDescent="0.25">
      <c r="A118" s="35" t="s">
        <v>3</v>
      </c>
    </row>
    <row r="119" spans="1:8" x14ac:dyDescent="0.25">
      <c r="B119" s="35" t="s">
        <v>75</v>
      </c>
    </row>
    <row r="120" spans="1:8" x14ac:dyDescent="0.25">
      <c r="B120" s="1" t="s">
        <v>46</v>
      </c>
      <c r="D120" s="3">
        <f>ROUND(879311.47,0)</f>
        <v>879311</v>
      </c>
      <c r="F120" s="9">
        <v>0</v>
      </c>
      <c r="H120" s="3">
        <f>ROUND(D120*F120,0)</f>
        <v>0</v>
      </c>
    </row>
    <row r="121" spans="1:8" x14ac:dyDescent="0.25">
      <c r="B121" s="1" t="s">
        <v>47</v>
      </c>
      <c r="D121" s="8">
        <f>ROUND(616526.69,0)</f>
        <v>616527</v>
      </c>
      <c r="F121" s="9">
        <v>1.7399999999999999E-2</v>
      </c>
      <c r="H121" s="8">
        <f t="shared" ref="H121:H127" si="6">ROUND(D121*F121,0)</f>
        <v>10728</v>
      </c>
    </row>
    <row r="122" spans="1:8" x14ac:dyDescent="0.25">
      <c r="B122" s="1" t="s">
        <v>48</v>
      </c>
      <c r="D122" s="8">
        <f>ROUND(21601870.11,0)</f>
        <v>21601870</v>
      </c>
      <c r="F122" s="9">
        <v>2.5899999999999999E-2</v>
      </c>
      <c r="H122" s="8">
        <f t="shared" si="6"/>
        <v>559488</v>
      </c>
    </row>
    <row r="123" spans="1:8" x14ac:dyDescent="0.25">
      <c r="B123" s="1" t="s">
        <v>49</v>
      </c>
      <c r="D123" s="8">
        <f>ROUND(4549436.12,0)</f>
        <v>4549436</v>
      </c>
      <c r="F123" s="9">
        <v>3.7699999999999997E-2</v>
      </c>
      <c r="H123" s="8">
        <f t="shared" si="6"/>
        <v>171514</v>
      </c>
    </row>
    <row r="124" spans="1:8" x14ac:dyDescent="0.25">
      <c r="B124" s="1" t="s">
        <v>50</v>
      </c>
      <c r="D124" s="8">
        <f>ROUND(578333.28,0)</f>
        <v>578333</v>
      </c>
      <c r="F124" s="9">
        <v>3.6499999999999998E-2</v>
      </c>
      <c r="H124" s="8">
        <f t="shared" si="6"/>
        <v>21109</v>
      </c>
    </row>
    <row r="125" spans="1:8" x14ac:dyDescent="0.25">
      <c r="B125" s="1" t="s">
        <v>51</v>
      </c>
      <c r="D125" s="8">
        <f>ROUND(297023.86,0)</f>
        <v>297024</v>
      </c>
      <c r="F125" s="9">
        <v>4.5600000000000002E-2</v>
      </c>
      <c r="H125" s="8">
        <f t="shared" si="6"/>
        <v>13544</v>
      </c>
    </row>
    <row r="126" spans="1:8" x14ac:dyDescent="0.25">
      <c r="B126" s="1" t="s">
        <v>52</v>
      </c>
      <c r="D126" s="8">
        <f>ROUND(176359.59,0)</f>
        <v>176360</v>
      </c>
      <c r="F126" s="9">
        <v>4.19E-2</v>
      </c>
      <c r="H126" s="8">
        <f t="shared" si="6"/>
        <v>7389</v>
      </c>
    </row>
    <row r="127" spans="1:8" ht="18.75" x14ac:dyDescent="0.3">
      <c r="B127" s="17" t="s">
        <v>122</v>
      </c>
      <c r="D127" s="8">
        <f>ROUND(57608.88,0)</f>
        <v>57609</v>
      </c>
      <c r="H127" s="8">
        <f t="shared" si="6"/>
        <v>0</v>
      </c>
    </row>
    <row r="128" spans="1:8" x14ac:dyDescent="0.25">
      <c r="B128" s="43" t="s">
        <v>120</v>
      </c>
      <c r="D128" s="55">
        <f>ROUND(SUM(D120:D127),0)</f>
        <v>28756470</v>
      </c>
      <c r="H128" s="55">
        <f>ROUND(SUM(H120:H127),0)</f>
        <v>783772</v>
      </c>
    </row>
    <row r="129" spans="1:8" x14ac:dyDescent="0.25">
      <c r="H129" s="16"/>
    </row>
    <row r="130" spans="1:8" x14ac:dyDescent="0.25">
      <c r="A130" s="35" t="s">
        <v>4</v>
      </c>
      <c r="H130" s="16"/>
    </row>
    <row r="131" spans="1:8" x14ac:dyDescent="0.25">
      <c r="A131" s="13" t="s">
        <v>76</v>
      </c>
      <c r="B131" s="1" t="s">
        <v>83</v>
      </c>
      <c r="D131" s="3">
        <f>ROUND(176409.31,0)</f>
        <v>176409</v>
      </c>
      <c r="F131" s="9">
        <v>2.24E-2</v>
      </c>
      <c r="H131" s="3">
        <f>ROUND(D131*F131,0)</f>
        <v>3952</v>
      </c>
    </row>
    <row r="132" spans="1:8" x14ac:dyDescent="0.25">
      <c r="A132" s="13" t="s">
        <v>108</v>
      </c>
      <c r="B132" s="1" t="s">
        <v>109</v>
      </c>
      <c r="D132" s="8">
        <f>ROUND(118514.41,0)</f>
        <v>118514</v>
      </c>
      <c r="F132" s="9">
        <v>0</v>
      </c>
      <c r="H132" s="14">
        <f>D132*F132</f>
        <v>0</v>
      </c>
    </row>
    <row r="133" spans="1:8" x14ac:dyDescent="0.25">
      <c r="A133" s="13" t="s">
        <v>84</v>
      </c>
      <c r="B133" s="1" t="s">
        <v>78</v>
      </c>
      <c r="H133" s="16"/>
    </row>
    <row r="134" spans="1:8" x14ac:dyDescent="0.25">
      <c r="A134" s="13"/>
      <c r="B134" s="1" t="s">
        <v>154</v>
      </c>
      <c r="D134" s="8">
        <f>ROUND(1910327.76,0)</f>
        <v>1910328</v>
      </c>
      <c r="F134" s="9">
        <v>3.8800000000000001E-2</v>
      </c>
      <c r="H134" s="8">
        <f t="shared" ref="H134:H148" si="7">ROUND(D134*F134,0)</f>
        <v>74121</v>
      </c>
    </row>
    <row r="135" spans="1:8" x14ac:dyDescent="0.25">
      <c r="A135" s="13"/>
      <c r="B135" s="1" t="s">
        <v>85</v>
      </c>
      <c r="D135" s="8">
        <f>ROUND(775081.85,0)</f>
        <v>775082</v>
      </c>
      <c r="F135" s="9">
        <v>3.8800000000000001E-2</v>
      </c>
      <c r="H135" s="8">
        <f t="shared" si="7"/>
        <v>30073</v>
      </c>
    </row>
    <row r="136" spans="1:8" x14ac:dyDescent="0.25">
      <c r="A136" s="13"/>
      <c r="B136" s="1" t="s">
        <v>86</v>
      </c>
      <c r="D136" s="8">
        <f>ROUND(192814.02,0)</f>
        <v>192814</v>
      </c>
      <c r="F136" s="9">
        <v>4.2500000000000003E-2</v>
      </c>
      <c r="H136" s="8">
        <f t="shared" si="7"/>
        <v>8195</v>
      </c>
    </row>
    <row r="137" spans="1:8" x14ac:dyDescent="0.25">
      <c r="A137" s="13"/>
      <c r="B137" s="1" t="s">
        <v>87</v>
      </c>
      <c r="D137" s="8">
        <f>ROUND(544965.97,0)</f>
        <v>544966</v>
      </c>
      <c r="F137" s="9">
        <v>4.1099999999999998E-2</v>
      </c>
      <c r="H137" s="8">
        <f t="shared" si="7"/>
        <v>22398</v>
      </c>
    </row>
    <row r="138" spans="1:8" x14ac:dyDescent="0.25">
      <c r="A138" s="13"/>
      <c r="B138" s="1" t="s">
        <v>88</v>
      </c>
      <c r="D138" s="8">
        <f>ROUND(2012654.95,0)</f>
        <v>2012655</v>
      </c>
      <c r="F138" s="9">
        <v>3.7999999999999999E-2</v>
      </c>
      <c r="H138" s="8">
        <f t="shared" si="7"/>
        <v>76481</v>
      </c>
    </row>
    <row r="139" spans="1:8" x14ac:dyDescent="0.25">
      <c r="A139" s="13"/>
      <c r="B139" s="1" t="s">
        <v>89</v>
      </c>
      <c r="D139" s="8">
        <f>ROUND(4641054.86,0)</f>
        <v>4641055</v>
      </c>
      <c r="F139" s="9">
        <v>2.81E-2</v>
      </c>
      <c r="H139" s="8">
        <f t="shared" si="7"/>
        <v>130414</v>
      </c>
    </row>
    <row r="140" spans="1:8" x14ac:dyDescent="0.25">
      <c r="A140" s="13"/>
      <c r="B140" s="1" t="s">
        <v>90</v>
      </c>
      <c r="D140" s="8">
        <f>ROUND(1865718.2,0)</f>
        <v>1865718</v>
      </c>
      <c r="F140" s="9">
        <v>0.03</v>
      </c>
      <c r="H140" s="8">
        <f t="shared" si="7"/>
        <v>55972</v>
      </c>
    </row>
    <row r="141" spans="1:8" x14ac:dyDescent="0.25">
      <c r="A141" s="13"/>
      <c r="B141" s="1" t="s">
        <v>91</v>
      </c>
      <c r="D141" s="8">
        <f>ROUND(1895013.5,0)</f>
        <v>1895014</v>
      </c>
      <c r="F141" s="9">
        <v>0.04</v>
      </c>
      <c r="H141" s="8">
        <f t="shared" si="7"/>
        <v>75801</v>
      </c>
    </row>
    <row r="142" spans="1:8" x14ac:dyDescent="0.25">
      <c r="A142" s="13"/>
      <c r="B142" s="1" t="s">
        <v>92</v>
      </c>
      <c r="D142" s="8">
        <f>ROUND(3740231.32,0)</f>
        <v>3740231</v>
      </c>
      <c r="F142" s="9">
        <v>3.8699999999999998E-2</v>
      </c>
      <c r="H142" s="8">
        <f t="shared" si="7"/>
        <v>144747</v>
      </c>
    </row>
    <row r="143" spans="1:8" x14ac:dyDescent="0.25">
      <c r="A143" s="13"/>
      <c r="B143" s="1" t="s">
        <v>93</v>
      </c>
      <c r="D143" s="8">
        <f>ROUND(3588684.24,0)</f>
        <v>3588684</v>
      </c>
      <c r="F143" s="9">
        <v>3.8600000000000002E-2</v>
      </c>
      <c r="H143" s="8">
        <f t="shared" si="7"/>
        <v>138523</v>
      </c>
    </row>
    <row r="144" spans="1:8" x14ac:dyDescent="0.25">
      <c r="A144" s="13"/>
      <c r="B144" s="1" t="s">
        <v>95</v>
      </c>
      <c r="D144" s="8">
        <f>ROUND(3559154.97,0)</f>
        <v>3559155</v>
      </c>
      <c r="F144" s="9">
        <v>3.7999999999999999E-2</v>
      </c>
      <c r="H144" s="8">
        <f t="shared" si="7"/>
        <v>135248</v>
      </c>
    </row>
    <row r="145" spans="1:8" x14ac:dyDescent="0.25">
      <c r="A145" s="13"/>
      <c r="B145" s="1" t="s">
        <v>96</v>
      </c>
      <c r="D145" s="8">
        <f>ROUND(3548851.71,0)</f>
        <v>3548852</v>
      </c>
      <c r="F145" s="9">
        <v>3.7999999999999999E-2</v>
      </c>
      <c r="H145" s="8">
        <f t="shared" si="7"/>
        <v>134856</v>
      </c>
    </row>
    <row r="146" spans="1:8" x14ac:dyDescent="0.25">
      <c r="A146" s="13"/>
      <c r="B146" s="1" t="s">
        <v>97</v>
      </c>
      <c r="D146" s="8">
        <f>ROUND(3655976.41,0)</f>
        <v>3655976</v>
      </c>
      <c r="F146" s="9">
        <v>3.8199999999999998E-2</v>
      </c>
      <c r="H146" s="8">
        <f t="shared" si="7"/>
        <v>139658</v>
      </c>
    </row>
    <row r="147" spans="1:8" x14ac:dyDescent="0.25">
      <c r="A147" s="13"/>
      <c r="B147" s="1" t="s">
        <v>98</v>
      </c>
      <c r="D147" s="8">
        <f>ROUND(3653029.99,0)</f>
        <v>3653030</v>
      </c>
      <c r="F147" s="9">
        <v>3.8199999999999998E-2</v>
      </c>
      <c r="H147" s="8">
        <f t="shared" si="7"/>
        <v>139546</v>
      </c>
    </row>
    <row r="148" spans="1:8" x14ac:dyDescent="0.25">
      <c r="A148" s="13"/>
      <c r="B148" s="1" t="s">
        <v>155</v>
      </c>
      <c r="D148" s="12">
        <f>ROUND(434853.46,0)</f>
        <v>434853</v>
      </c>
      <c r="F148" s="9">
        <v>0.1024</v>
      </c>
      <c r="H148" s="12">
        <f t="shared" si="7"/>
        <v>44529</v>
      </c>
    </row>
    <row r="149" spans="1:8" x14ac:dyDescent="0.25">
      <c r="A149" s="13"/>
      <c r="D149" s="3">
        <f>ROUND(SUM(D134:D148),0)</f>
        <v>36018413</v>
      </c>
      <c r="H149" s="3">
        <f>ROUND(SUM(H134:H148),0)</f>
        <v>1350562</v>
      </c>
    </row>
    <row r="150" spans="1:8" x14ac:dyDescent="0.25">
      <c r="A150" s="13" t="s">
        <v>99</v>
      </c>
      <c r="B150" s="1" t="s">
        <v>100</v>
      </c>
      <c r="H150" s="16"/>
    </row>
    <row r="151" spans="1:8" x14ac:dyDescent="0.25">
      <c r="A151" s="13"/>
      <c r="B151" s="1" t="s">
        <v>154</v>
      </c>
      <c r="D151" s="3">
        <f>ROUND(1995101.02,0)</f>
        <v>1995101</v>
      </c>
      <c r="F151" s="9">
        <v>3.7999999999999999E-2</v>
      </c>
      <c r="H151" s="3">
        <f>ROUND(D151*F151,0)</f>
        <v>75814</v>
      </c>
    </row>
    <row r="152" spans="1:8" x14ac:dyDescent="0.25">
      <c r="A152" s="13"/>
      <c r="B152" s="1" t="s">
        <v>85</v>
      </c>
      <c r="D152" s="8">
        <f>ROUND(795787.89,0)</f>
        <v>795788</v>
      </c>
      <c r="F152" s="9">
        <v>4.7800000000000002E-2</v>
      </c>
      <c r="H152" s="8">
        <f t="shared" ref="H152:H167" si="8">ROUND(D152*F152,0)</f>
        <v>38039</v>
      </c>
    </row>
    <row r="153" spans="1:8" x14ac:dyDescent="0.25">
      <c r="A153" s="13"/>
      <c r="B153" s="1" t="s">
        <v>86</v>
      </c>
      <c r="D153" s="8">
        <f>ROUND(406460.01,0)</f>
        <v>406460</v>
      </c>
      <c r="F153" s="9">
        <v>5.9200000000000003E-2</v>
      </c>
      <c r="H153" s="8">
        <f t="shared" si="8"/>
        <v>24062</v>
      </c>
    </row>
    <row r="154" spans="1:8" x14ac:dyDescent="0.25">
      <c r="A154" s="13"/>
      <c r="B154" s="1" t="s">
        <v>87</v>
      </c>
      <c r="D154" s="8">
        <f>ROUND(405870.95,0)</f>
        <v>405871</v>
      </c>
      <c r="F154" s="9">
        <v>5.9900000000000002E-2</v>
      </c>
      <c r="H154" s="8">
        <f t="shared" si="8"/>
        <v>24312</v>
      </c>
    </row>
    <row r="155" spans="1:8" x14ac:dyDescent="0.25">
      <c r="A155" s="13"/>
      <c r="B155" s="1" t="s">
        <v>88</v>
      </c>
      <c r="D155" s="8">
        <f>ROUND(252005.73,0)</f>
        <v>252006</v>
      </c>
      <c r="F155" s="9">
        <v>7.2499999999999995E-2</v>
      </c>
      <c r="H155" s="8">
        <f t="shared" si="8"/>
        <v>18270</v>
      </c>
    </row>
    <row r="156" spans="1:8" x14ac:dyDescent="0.25">
      <c r="A156" s="13"/>
      <c r="B156" s="1" t="s">
        <v>89</v>
      </c>
      <c r="D156" s="8">
        <f>ROUND(2018753.68,0)</f>
        <v>2018754</v>
      </c>
      <c r="F156" s="9">
        <v>3.3300000000000003E-2</v>
      </c>
      <c r="H156" s="8">
        <f t="shared" si="8"/>
        <v>67225</v>
      </c>
    </row>
    <row r="157" spans="1:8" x14ac:dyDescent="0.25">
      <c r="A157" s="13"/>
      <c r="B157" s="1" t="s">
        <v>90</v>
      </c>
      <c r="D157" s="8">
        <f>ROUND(264130.81,0)</f>
        <v>264131</v>
      </c>
      <c r="F157" s="9">
        <v>4.9599999999999998E-2</v>
      </c>
      <c r="H157" s="8">
        <f t="shared" si="8"/>
        <v>13101</v>
      </c>
    </row>
    <row r="158" spans="1:8" x14ac:dyDescent="0.25">
      <c r="A158" s="13"/>
      <c r="B158" s="1" t="s">
        <v>91</v>
      </c>
      <c r="D158" s="8">
        <f>ROUND(284822.69,0)</f>
        <v>284823</v>
      </c>
      <c r="F158" s="9">
        <v>6.4299999999999996E-2</v>
      </c>
      <c r="H158" s="8">
        <f t="shared" si="8"/>
        <v>18314</v>
      </c>
    </row>
    <row r="159" spans="1:8" x14ac:dyDescent="0.25">
      <c r="A159" s="13"/>
      <c r="B159" s="1" t="s">
        <v>77</v>
      </c>
      <c r="D159" s="8">
        <f>ROUND(8106130.66,0)</f>
        <v>8106131</v>
      </c>
      <c r="F159" s="9">
        <v>2.87E-2</v>
      </c>
      <c r="H159" s="8">
        <f t="shared" si="8"/>
        <v>232646</v>
      </c>
    </row>
    <row r="160" spans="1:8" x14ac:dyDescent="0.25">
      <c r="A160" s="13"/>
      <c r="B160" s="1" t="s">
        <v>92</v>
      </c>
      <c r="D160" s="8">
        <f>ROUND(239584.43,0)</f>
        <v>239584</v>
      </c>
      <c r="F160" s="9">
        <v>3.78E-2</v>
      </c>
      <c r="H160" s="8">
        <f t="shared" si="8"/>
        <v>9056</v>
      </c>
    </row>
    <row r="161" spans="1:8" x14ac:dyDescent="0.25">
      <c r="A161" s="13"/>
      <c r="B161" s="1" t="s">
        <v>93</v>
      </c>
      <c r="D161" s="8">
        <f>ROUND(239245.54,0)</f>
        <v>239246</v>
      </c>
      <c r="F161" s="9">
        <v>3.78E-2</v>
      </c>
      <c r="H161" s="8">
        <f t="shared" si="8"/>
        <v>9043</v>
      </c>
    </row>
    <row r="162" spans="1:8" x14ac:dyDescent="0.25">
      <c r="A162" s="13"/>
      <c r="B162" s="1" t="s">
        <v>94</v>
      </c>
      <c r="D162" s="8">
        <f>ROUND(4850114.73,0)</f>
        <v>4850115</v>
      </c>
      <c r="F162" s="9">
        <v>3.44E-2</v>
      </c>
      <c r="H162" s="8">
        <f t="shared" si="8"/>
        <v>166844</v>
      </c>
    </row>
    <row r="163" spans="1:8" x14ac:dyDescent="0.25">
      <c r="A163" s="13"/>
      <c r="B163" s="1" t="s">
        <v>95</v>
      </c>
      <c r="D163" s="8">
        <f>ROUND(578059.38,0)</f>
        <v>578059</v>
      </c>
      <c r="F163" s="9">
        <v>3.7199999999999997E-2</v>
      </c>
      <c r="H163" s="8">
        <f t="shared" si="8"/>
        <v>21504</v>
      </c>
    </row>
    <row r="164" spans="1:8" x14ac:dyDescent="0.25">
      <c r="A164" s="13"/>
      <c r="B164" s="1" t="s">
        <v>96</v>
      </c>
      <c r="D164" s="8">
        <f>ROUND(576385.74,0)</f>
        <v>576386</v>
      </c>
      <c r="F164" s="9">
        <v>3.7199999999999997E-2</v>
      </c>
      <c r="H164" s="8">
        <f t="shared" si="8"/>
        <v>21442</v>
      </c>
    </row>
    <row r="165" spans="1:8" x14ac:dyDescent="0.25">
      <c r="A165" s="13"/>
      <c r="B165" s="1" t="s">
        <v>97</v>
      </c>
      <c r="D165" s="8">
        <f>ROUND(593786.01,0)</f>
        <v>593786</v>
      </c>
      <c r="F165" s="9">
        <v>3.73E-2</v>
      </c>
      <c r="H165" s="8">
        <f t="shared" si="8"/>
        <v>22148</v>
      </c>
    </row>
    <row r="166" spans="1:8" x14ac:dyDescent="0.25">
      <c r="A166" s="13"/>
      <c r="B166" s="1" t="s">
        <v>98</v>
      </c>
      <c r="D166" s="8">
        <f>ROUND(622872.6,0)</f>
        <v>622873</v>
      </c>
      <c r="F166" s="9">
        <v>3.7400000000000003E-2</v>
      </c>
      <c r="H166" s="8">
        <f t="shared" si="8"/>
        <v>23295</v>
      </c>
    </row>
    <row r="167" spans="1:8" x14ac:dyDescent="0.25">
      <c r="A167" s="13"/>
      <c r="B167" s="1" t="s">
        <v>155</v>
      </c>
      <c r="D167" s="12">
        <f>ROUND(518705.04,0)</f>
        <v>518705</v>
      </c>
      <c r="F167" s="9">
        <v>0.1062</v>
      </c>
      <c r="H167" s="12">
        <f t="shared" si="8"/>
        <v>55086</v>
      </c>
    </row>
    <row r="168" spans="1:8" x14ac:dyDescent="0.25">
      <c r="A168" s="13"/>
      <c r="D168" s="3">
        <f>ROUND(SUM(D151:D167),0)</f>
        <v>22747819</v>
      </c>
      <c r="H168" s="3">
        <f>ROUND(SUM(H151:H167),0)</f>
        <v>840201</v>
      </c>
    </row>
    <row r="169" spans="1:8" x14ac:dyDescent="0.25">
      <c r="A169" s="13" t="s">
        <v>101</v>
      </c>
      <c r="B169" s="1" t="s">
        <v>102</v>
      </c>
      <c r="H169" s="16"/>
    </row>
    <row r="170" spans="1:8" x14ac:dyDescent="0.25">
      <c r="A170" s="13"/>
      <c r="B170" s="1" t="s">
        <v>154</v>
      </c>
      <c r="D170" s="3">
        <f>ROUND(18174144.39,0)</f>
        <v>18174144</v>
      </c>
      <c r="F170" s="9">
        <v>4.53E-2</v>
      </c>
      <c r="H170" s="3">
        <f>ROUND(D170*F170,0)</f>
        <v>823289</v>
      </c>
    </row>
    <row r="171" spans="1:8" x14ac:dyDescent="0.25">
      <c r="A171" s="13"/>
      <c r="B171" s="1" t="s">
        <v>85</v>
      </c>
      <c r="D171" s="8">
        <f>ROUND(14666936.33,0)</f>
        <v>14666936</v>
      </c>
      <c r="F171" s="9">
        <v>4.3299999999999998E-2</v>
      </c>
      <c r="H171" s="8">
        <f t="shared" ref="H171:H183" si="9">ROUND(D171*F171,0)</f>
        <v>635078</v>
      </c>
    </row>
    <row r="172" spans="1:8" x14ac:dyDescent="0.25">
      <c r="A172" s="13"/>
      <c r="B172" s="1" t="s">
        <v>86</v>
      </c>
      <c r="D172" s="8">
        <f>ROUND(34600149.28,0)</f>
        <v>34600149</v>
      </c>
      <c r="F172" s="9">
        <v>5.2400000000000002E-2</v>
      </c>
      <c r="H172" s="8">
        <f t="shared" si="9"/>
        <v>1813048</v>
      </c>
    </row>
    <row r="173" spans="1:8" x14ac:dyDescent="0.25">
      <c r="A173" s="13"/>
      <c r="B173" s="1" t="s">
        <v>87</v>
      </c>
      <c r="D173" s="8">
        <f>ROUND(31657718.92,0)</f>
        <v>31657719</v>
      </c>
      <c r="F173" s="9">
        <v>5.1499999999999997E-2</v>
      </c>
      <c r="H173" s="8">
        <f t="shared" si="9"/>
        <v>1630373</v>
      </c>
    </row>
    <row r="174" spans="1:8" x14ac:dyDescent="0.25">
      <c r="A174" s="13"/>
      <c r="B174" s="1" t="s">
        <v>88</v>
      </c>
      <c r="D174" s="8">
        <f>ROUND(26710989.99,0)</f>
        <v>26710990</v>
      </c>
      <c r="F174" s="9">
        <v>5.45E-2</v>
      </c>
      <c r="H174" s="8">
        <f t="shared" si="9"/>
        <v>1455749</v>
      </c>
    </row>
    <row r="175" spans="1:8" x14ac:dyDescent="0.25">
      <c r="A175" s="13"/>
      <c r="B175" s="1" t="s">
        <v>89</v>
      </c>
      <c r="D175" s="8">
        <f>ROUND(23335363.18,0)</f>
        <v>23335363</v>
      </c>
      <c r="F175" s="9">
        <v>3.4299999999999997E-2</v>
      </c>
      <c r="H175" s="8">
        <f t="shared" si="9"/>
        <v>800403</v>
      </c>
    </row>
    <row r="176" spans="1:8" x14ac:dyDescent="0.25">
      <c r="A176" s="13"/>
      <c r="B176" s="1" t="s">
        <v>90</v>
      </c>
      <c r="D176" s="8">
        <f>ROUND(20074765.96,0)</f>
        <v>20074766</v>
      </c>
      <c r="F176" s="9">
        <v>3.49E-2</v>
      </c>
      <c r="H176" s="8">
        <f t="shared" si="9"/>
        <v>700609</v>
      </c>
    </row>
    <row r="177" spans="1:8" x14ac:dyDescent="0.25">
      <c r="A177" s="13"/>
      <c r="B177" s="1" t="s">
        <v>91</v>
      </c>
      <c r="D177" s="8">
        <f>ROUND(34794971.17,0)</f>
        <v>34794971</v>
      </c>
      <c r="F177" s="9">
        <v>4.65E-2</v>
      </c>
      <c r="H177" s="8">
        <f t="shared" si="9"/>
        <v>1617966</v>
      </c>
    </row>
    <row r="178" spans="1:8" x14ac:dyDescent="0.25">
      <c r="A178" s="13"/>
      <c r="B178" s="1" t="s">
        <v>92</v>
      </c>
      <c r="D178" s="8">
        <f>ROUND(32965167.96,0)</f>
        <v>32965168</v>
      </c>
      <c r="F178" s="9">
        <v>4.0399999999999998E-2</v>
      </c>
      <c r="H178" s="8">
        <f t="shared" si="9"/>
        <v>1331793</v>
      </c>
    </row>
    <row r="179" spans="1:8" x14ac:dyDescent="0.25">
      <c r="A179" s="13"/>
      <c r="B179" s="1" t="s">
        <v>93</v>
      </c>
      <c r="D179" s="8">
        <f>ROUND(32853640.12,0)</f>
        <v>32853640</v>
      </c>
      <c r="F179" s="9">
        <v>4.4299999999999999E-2</v>
      </c>
      <c r="H179" s="8">
        <f t="shared" si="9"/>
        <v>1455416</v>
      </c>
    </row>
    <row r="180" spans="1:8" x14ac:dyDescent="0.25">
      <c r="A180" s="13"/>
      <c r="B180" s="1" t="s">
        <v>95</v>
      </c>
      <c r="D180" s="8">
        <f>ROUND(23953735.38,0)</f>
        <v>23953735</v>
      </c>
      <c r="F180" s="9">
        <v>3.9899999999999998E-2</v>
      </c>
      <c r="H180" s="8">
        <f t="shared" si="9"/>
        <v>955754</v>
      </c>
    </row>
    <row r="181" spans="1:8" x14ac:dyDescent="0.25">
      <c r="A181" s="13"/>
      <c r="B181" s="1" t="s">
        <v>96</v>
      </c>
      <c r="D181" s="8">
        <f>ROUND(23765360.4,0)</f>
        <v>23765360</v>
      </c>
      <c r="F181" s="9">
        <v>3.9899999999999998E-2</v>
      </c>
      <c r="H181" s="8">
        <f t="shared" si="9"/>
        <v>948238</v>
      </c>
    </row>
    <row r="182" spans="1:8" x14ac:dyDescent="0.25">
      <c r="A182" s="13"/>
      <c r="B182" s="1" t="s">
        <v>97</v>
      </c>
      <c r="D182" s="8">
        <f>ROUND(23632815.31,0)</f>
        <v>23632815</v>
      </c>
      <c r="F182" s="9">
        <v>4.0399999999999998E-2</v>
      </c>
      <c r="H182" s="8">
        <f t="shared" si="9"/>
        <v>954766</v>
      </c>
    </row>
    <row r="183" spans="1:8" x14ac:dyDescent="0.25">
      <c r="A183" s="13"/>
      <c r="B183" s="1" t="s">
        <v>98</v>
      </c>
      <c r="D183" s="12">
        <f>ROUND(23581342.23,0)</f>
        <v>23581342</v>
      </c>
      <c r="F183" s="9">
        <v>4.0399999999999998E-2</v>
      </c>
      <c r="H183" s="12">
        <f t="shared" si="9"/>
        <v>952686</v>
      </c>
    </row>
    <row r="184" spans="1:8" x14ac:dyDescent="0.25">
      <c r="A184" s="13"/>
      <c r="D184" s="3">
        <f>ROUND(SUM(D170:D183),0)</f>
        <v>364767098</v>
      </c>
      <c r="H184" s="3">
        <f>ROUND(SUM(H170:H183),0)</f>
        <v>16075168</v>
      </c>
    </row>
    <row r="185" spans="1:8" x14ac:dyDescent="0.25">
      <c r="A185" s="13" t="s">
        <v>103</v>
      </c>
      <c r="B185" s="1" t="s">
        <v>104</v>
      </c>
      <c r="H185" s="16"/>
    </row>
    <row r="186" spans="1:8" x14ac:dyDescent="0.25">
      <c r="A186" s="13"/>
      <c r="B186" s="1" t="s">
        <v>154</v>
      </c>
      <c r="D186" s="3">
        <f>ROUND(5185636.11,0)</f>
        <v>5185636</v>
      </c>
      <c r="F186" s="9">
        <v>3.6400000000000002E-2</v>
      </c>
      <c r="H186" s="3">
        <f>ROUND(D186*F186,0)</f>
        <v>188757</v>
      </c>
    </row>
    <row r="187" spans="1:8" x14ac:dyDescent="0.25">
      <c r="A187" s="13"/>
      <c r="B187" s="1" t="s">
        <v>85</v>
      </c>
      <c r="D187" s="8">
        <f>ROUND(2858147.66,0)</f>
        <v>2858148</v>
      </c>
      <c r="F187" s="9">
        <v>3.73E-2</v>
      </c>
      <c r="H187" s="8">
        <f t="shared" ref="H187:H200" si="10">ROUND(D187*F187,0)</f>
        <v>106609</v>
      </c>
    </row>
    <row r="188" spans="1:8" x14ac:dyDescent="0.25">
      <c r="A188" s="13"/>
      <c r="B188" s="1" t="s">
        <v>86</v>
      </c>
      <c r="D188" s="8">
        <f>ROUND(3712619.52,0)</f>
        <v>3712620</v>
      </c>
      <c r="F188" s="9">
        <v>3.73E-2</v>
      </c>
      <c r="H188" s="8">
        <f t="shared" si="10"/>
        <v>138481</v>
      </c>
    </row>
    <row r="189" spans="1:8" x14ac:dyDescent="0.25">
      <c r="A189" s="13"/>
      <c r="B189" s="1" t="s">
        <v>87</v>
      </c>
      <c r="D189" s="8">
        <f>ROUND(3722788.46,0)</f>
        <v>3722788</v>
      </c>
      <c r="F189" s="9">
        <v>3.78E-2</v>
      </c>
      <c r="H189" s="8">
        <f t="shared" si="10"/>
        <v>140721</v>
      </c>
    </row>
    <row r="190" spans="1:8" x14ac:dyDescent="0.25">
      <c r="A190" s="13"/>
      <c r="B190" s="1" t="s">
        <v>88</v>
      </c>
      <c r="D190" s="8">
        <f>ROUND(4953960.72,0)</f>
        <v>4953961</v>
      </c>
      <c r="F190" s="9">
        <v>3.61E-2</v>
      </c>
      <c r="H190" s="8">
        <f t="shared" si="10"/>
        <v>178838</v>
      </c>
    </row>
    <row r="191" spans="1:8" x14ac:dyDescent="0.25">
      <c r="A191" s="13"/>
      <c r="B191" s="1" t="s">
        <v>89</v>
      </c>
      <c r="D191" s="8">
        <f>ROUND(5452040.97,0)</f>
        <v>5452041</v>
      </c>
      <c r="F191" s="9">
        <v>2.5499999999999998E-2</v>
      </c>
      <c r="H191" s="8">
        <f t="shared" si="10"/>
        <v>139027</v>
      </c>
    </row>
    <row r="192" spans="1:8" x14ac:dyDescent="0.25">
      <c r="A192" s="13"/>
      <c r="B192" s="1" t="s">
        <v>90</v>
      </c>
      <c r="D192" s="8">
        <f>ROUND(4944422.71,0)</f>
        <v>4944423</v>
      </c>
      <c r="F192" s="9">
        <v>2.7199999999999998E-2</v>
      </c>
      <c r="H192" s="8">
        <f t="shared" si="10"/>
        <v>134488</v>
      </c>
    </row>
    <row r="193" spans="1:8" x14ac:dyDescent="0.25">
      <c r="A193" s="13"/>
      <c r="B193" s="1" t="s">
        <v>91</v>
      </c>
      <c r="D193" s="8">
        <f>ROUND(5187040.3,0)</f>
        <v>5187040</v>
      </c>
      <c r="F193" s="9">
        <v>3.6499999999999998E-2</v>
      </c>
      <c r="H193" s="8">
        <f t="shared" si="10"/>
        <v>189327</v>
      </c>
    </row>
    <row r="194" spans="1:8" x14ac:dyDescent="0.25">
      <c r="A194" s="13"/>
      <c r="B194" s="1" t="s">
        <v>92</v>
      </c>
      <c r="D194" s="8">
        <f>ROUND(3763274.51,0)</f>
        <v>3763275</v>
      </c>
      <c r="F194" s="9">
        <v>3.6200000000000003E-2</v>
      </c>
      <c r="H194" s="8">
        <f t="shared" si="10"/>
        <v>136231</v>
      </c>
    </row>
    <row r="195" spans="1:8" x14ac:dyDescent="0.25">
      <c r="A195" s="13"/>
      <c r="B195" s="1" t="s">
        <v>93</v>
      </c>
      <c r="D195" s="8">
        <f>ROUND(3757946.57,0)</f>
        <v>3757947</v>
      </c>
      <c r="F195" s="9">
        <v>3.6200000000000003E-2</v>
      </c>
      <c r="H195" s="8">
        <f t="shared" si="10"/>
        <v>136038</v>
      </c>
    </row>
    <row r="196" spans="1:8" x14ac:dyDescent="0.25">
      <c r="A196" s="13"/>
      <c r="B196" s="1" t="s">
        <v>95</v>
      </c>
      <c r="D196" s="8">
        <f>ROUND(2950282.37,0)</f>
        <v>2950282</v>
      </c>
      <c r="F196" s="9">
        <v>3.56E-2</v>
      </c>
      <c r="H196" s="8">
        <f t="shared" si="10"/>
        <v>105030</v>
      </c>
    </row>
    <row r="197" spans="1:8" x14ac:dyDescent="0.25">
      <c r="A197" s="13"/>
      <c r="B197" s="1" t="s">
        <v>96</v>
      </c>
      <c r="D197" s="8">
        <f>ROUND(2937930.22,0)</f>
        <v>2937930</v>
      </c>
      <c r="F197" s="9">
        <v>3.56E-2</v>
      </c>
      <c r="H197" s="8">
        <f t="shared" si="10"/>
        <v>104590</v>
      </c>
    </row>
    <row r="198" spans="1:8" x14ac:dyDescent="0.25">
      <c r="A198" s="13"/>
      <c r="B198" s="1" t="s">
        <v>97</v>
      </c>
      <c r="D198" s="8">
        <f>ROUND(2957520.12,0)</f>
        <v>2957520</v>
      </c>
      <c r="F198" s="9">
        <v>3.5700000000000003E-2</v>
      </c>
      <c r="H198" s="8">
        <f t="shared" si="10"/>
        <v>105583</v>
      </c>
    </row>
    <row r="199" spans="1:8" x14ac:dyDescent="0.25">
      <c r="A199" s="13"/>
      <c r="B199" s="1" t="s">
        <v>98</v>
      </c>
      <c r="D199" s="8">
        <f>ROUND(2954148.53,0)</f>
        <v>2954149</v>
      </c>
      <c r="F199" s="9">
        <v>3.5700000000000003E-2</v>
      </c>
      <c r="H199" s="8">
        <f t="shared" si="10"/>
        <v>105463</v>
      </c>
    </row>
    <row r="200" spans="1:8" x14ac:dyDescent="0.25">
      <c r="A200" s="13"/>
      <c r="B200" s="1" t="s">
        <v>155</v>
      </c>
      <c r="D200" s="12">
        <f>ROUND(4023002.37,0)</f>
        <v>4023002</v>
      </c>
      <c r="F200" s="9">
        <v>2.3099999999999999E-2</v>
      </c>
      <c r="H200" s="12">
        <f t="shared" si="10"/>
        <v>92931</v>
      </c>
    </row>
    <row r="201" spans="1:8" x14ac:dyDescent="0.25">
      <c r="A201" s="13"/>
      <c r="D201" s="3">
        <f>ROUND(SUM(D186:D200),0)</f>
        <v>59360762</v>
      </c>
      <c r="H201" s="3">
        <f>ROUND(SUM(H186:H200),0)</f>
        <v>2002114</v>
      </c>
    </row>
    <row r="202" spans="1:8" x14ac:dyDescent="0.25">
      <c r="A202" s="13" t="s">
        <v>105</v>
      </c>
      <c r="B202" s="1" t="s">
        <v>106</v>
      </c>
      <c r="H202" s="16"/>
    </row>
    <row r="203" spans="1:8" x14ac:dyDescent="0.25">
      <c r="A203" s="13"/>
      <c r="B203" s="1" t="s">
        <v>154</v>
      </c>
      <c r="D203" s="3">
        <f>ROUND(2456320.01,0)</f>
        <v>2456320</v>
      </c>
      <c r="F203" s="9">
        <v>3.78E-2</v>
      </c>
      <c r="H203" s="3">
        <f>ROUND(D203*F203,0)</f>
        <v>92849</v>
      </c>
    </row>
    <row r="204" spans="1:8" x14ac:dyDescent="0.25">
      <c r="A204" s="13"/>
      <c r="B204" s="1" t="s">
        <v>85</v>
      </c>
      <c r="D204" s="8">
        <f>ROUND(2479493.26,0)</f>
        <v>2479493</v>
      </c>
      <c r="F204" s="9">
        <v>4.0599999999999997E-2</v>
      </c>
      <c r="H204" s="8">
        <f t="shared" ref="H204:H217" si="11">ROUND(D204*F204,0)</f>
        <v>100667</v>
      </c>
    </row>
    <row r="205" spans="1:8" x14ac:dyDescent="0.25">
      <c r="A205" s="13"/>
      <c r="B205" s="1" t="s">
        <v>86</v>
      </c>
      <c r="D205" s="8">
        <f>ROUND(1975216.41,0)</f>
        <v>1975216</v>
      </c>
      <c r="F205" s="9">
        <v>4.1700000000000001E-2</v>
      </c>
      <c r="H205" s="8">
        <f t="shared" si="11"/>
        <v>82367</v>
      </c>
    </row>
    <row r="206" spans="1:8" x14ac:dyDescent="0.25">
      <c r="A206" s="13"/>
      <c r="B206" s="1" t="s">
        <v>87</v>
      </c>
      <c r="D206" s="8">
        <f>ROUND(1935781.98,0)</f>
        <v>1935782</v>
      </c>
      <c r="F206" s="9">
        <v>4.1799999999999997E-2</v>
      </c>
      <c r="H206" s="8">
        <f t="shared" si="11"/>
        <v>80916</v>
      </c>
    </row>
    <row r="207" spans="1:8" x14ac:dyDescent="0.25">
      <c r="A207" s="13"/>
      <c r="B207" s="1" t="s">
        <v>88</v>
      </c>
      <c r="D207" s="8">
        <f>ROUND(2908499.05,0)</f>
        <v>2908499</v>
      </c>
      <c r="F207" s="9">
        <v>4.2599999999999999E-2</v>
      </c>
      <c r="H207" s="8">
        <f t="shared" si="11"/>
        <v>123902</v>
      </c>
    </row>
    <row r="208" spans="1:8" x14ac:dyDescent="0.25">
      <c r="A208" s="13"/>
      <c r="B208" s="1" t="s">
        <v>89</v>
      </c>
      <c r="D208" s="8">
        <f>ROUND(4205847.29,0)</f>
        <v>4205847</v>
      </c>
      <c r="F208" s="9">
        <v>3.1899999999999998E-2</v>
      </c>
      <c r="H208" s="8">
        <f t="shared" si="11"/>
        <v>134167</v>
      </c>
    </row>
    <row r="209" spans="1:8" x14ac:dyDescent="0.25">
      <c r="A209" s="13"/>
      <c r="B209" s="1" t="s">
        <v>90</v>
      </c>
      <c r="D209" s="8">
        <f>ROUND(2744492.7,0)</f>
        <v>2744493</v>
      </c>
      <c r="F209" s="9">
        <v>3.1699999999999999E-2</v>
      </c>
      <c r="H209" s="8">
        <f t="shared" si="11"/>
        <v>87000</v>
      </c>
    </row>
    <row r="210" spans="1:8" x14ac:dyDescent="0.25">
      <c r="A210" s="13"/>
      <c r="B210" s="1" t="s">
        <v>91</v>
      </c>
      <c r="D210" s="8">
        <f>ROUND(1987867.04,0)</f>
        <v>1987867</v>
      </c>
      <c r="F210" s="9">
        <v>4.5499999999999999E-2</v>
      </c>
      <c r="H210" s="8">
        <f t="shared" si="11"/>
        <v>90448</v>
      </c>
    </row>
    <row r="211" spans="1:8" x14ac:dyDescent="0.25">
      <c r="A211" s="13"/>
      <c r="B211" s="1" t="s">
        <v>92</v>
      </c>
      <c r="D211" s="8">
        <f>ROUND(1737628.13,0)</f>
        <v>1737628</v>
      </c>
      <c r="F211" s="9">
        <v>3.7999999999999999E-2</v>
      </c>
      <c r="H211" s="8">
        <f t="shared" si="11"/>
        <v>66030</v>
      </c>
    </row>
    <row r="212" spans="1:8" x14ac:dyDescent="0.25">
      <c r="A212" s="13"/>
      <c r="B212" s="1" t="s">
        <v>93</v>
      </c>
      <c r="D212" s="8">
        <f>ROUND(4324591.46,0)</f>
        <v>4324591</v>
      </c>
      <c r="F212" s="9">
        <v>4.1200000000000001E-2</v>
      </c>
      <c r="H212" s="8">
        <f t="shared" si="11"/>
        <v>178173</v>
      </c>
    </row>
    <row r="213" spans="1:8" x14ac:dyDescent="0.25">
      <c r="A213" s="13"/>
      <c r="B213" s="1" t="s">
        <v>95</v>
      </c>
      <c r="D213" s="8">
        <f>ROUND(3148439.35,0)</f>
        <v>3148439</v>
      </c>
      <c r="F213" s="9">
        <v>3.6900000000000002E-2</v>
      </c>
      <c r="H213" s="8">
        <f t="shared" si="11"/>
        <v>116177</v>
      </c>
    </row>
    <row r="214" spans="1:8" x14ac:dyDescent="0.25">
      <c r="A214" s="13"/>
      <c r="B214" s="1" t="s">
        <v>96</v>
      </c>
      <c r="D214" s="8">
        <f>ROUND(3139331.68,0)</f>
        <v>3139332</v>
      </c>
      <c r="F214" s="9">
        <v>3.6900000000000002E-2</v>
      </c>
      <c r="H214" s="8">
        <f t="shared" si="11"/>
        <v>115841</v>
      </c>
    </row>
    <row r="215" spans="1:8" x14ac:dyDescent="0.25">
      <c r="A215" s="13"/>
      <c r="B215" s="1" t="s">
        <v>97</v>
      </c>
      <c r="D215" s="8">
        <f>ROUND(3234031.47,0)</f>
        <v>3234031</v>
      </c>
      <c r="F215" s="9">
        <v>3.7100000000000001E-2</v>
      </c>
      <c r="H215" s="8">
        <f t="shared" si="11"/>
        <v>119983</v>
      </c>
    </row>
    <row r="216" spans="1:8" x14ac:dyDescent="0.25">
      <c r="A216" s="13"/>
      <c r="B216" s="1" t="s">
        <v>98</v>
      </c>
      <c r="D216" s="8">
        <f>ROUND(7196618.34,0)</f>
        <v>7196618</v>
      </c>
      <c r="F216" s="9">
        <v>3.9199999999999999E-2</v>
      </c>
      <c r="H216" s="8">
        <f t="shared" si="11"/>
        <v>282107</v>
      </c>
    </row>
    <row r="217" spans="1:8" x14ac:dyDescent="0.25">
      <c r="A217" s="13"/>
      <c r="B217" s="1" t="s">
        <v>155</v>
      </c>
      <c r="D217" s="12">
        <f>ROUND(1333945.65,0)</f>
        <v>1333946</v>
      </c>
      <c r="F217" s="9">
        <v>8.0500000000000002E-2</v>
      </c>
      <c r="H217" s="12">
        <f t="shared" si="11"/>
        <v>107383</v>
      </c>
    </row>
    <row r="218" spans="1:8" x14ac:dyDescent="0.25">
      <c r="A218" s="13"/>
      <c r="D218" s="3">
        <f>ROUND(SUM(D203:D217),0)</f>
        <v>44808102</v>
      </c>
      <c r="H218" s="3">
        <f>ROUND(SUM(H203:H217),0)</f>
        <v>1778010</v>
      </c>
    </row>
    <row r="219" spans="1:8" x14ac:dyDescent="0.25">
      <c r="A219" s="13" t="s">
        <v>107</v>
      </c>
      <c r="B219" s="1" t="s">
        <v>82</v>
      </c>
      <c r="H219" s="16"/>
    </row>
    <row r="220" spans="1:8" x14ac:dyDescent="0.25">
      <c r="A220" s="13"/>
      <c r="B220" s="1" t="s">
        <v>154</v>
      </c>
      <c r="D220" s="3">
        <f>ROUND(1089550.03,0)</f>
        <v>1089550</v>
      </c>
      <c r="F220" s="9">
        <v>4.0399999999999998E-2</v>
      </c>
      <c r="H220" s="3">
        <f>ROUND(D220*F220,0)</f>
        <v>44018</v>
      </c>
    </row>
    <row r="221" spans="1:8" x14ac:dyDescent="0.25">
      <c r="A221" s="13"/>
      <c r="B221" s="1" t="s">
        <v>85</v>
      </c>
      <c r="D221" s="8">
        <f>ROUND(2139352.61,0)</f>
        <v>2139353</v>
      </c>
      <c r="F221" s="9">
        <v>4.0599999999999997E-2</v>
      </c>
      <c r="H221" s="8">
        <f t="shared" ref="H221:H233" si="12">ROUND(D221*F221,0)</f>
        <v>86858</v>
      </c>
    </row>
    <row r="222" spans="1:8" x14ac:dyDescent="0.25">
      <c r="A222" s="13"/>
      <c r="B222" s="1" t="s">
        <v>86</v>
      </c>
      <c r="D222" s="8">
        <f>ROUND(53748.85,0)</f>
        <v>53749</v>
      </c>
      <c r="F222" s="9">
        <v>4.4699999999999997E-2</v>
      </c>
      <c r="H222" s="8">
        <f t="shared" si="12"/>
        <v>2403</v>
      </c>
    </row>
    <row r="223" spans="1:8" x14ac:dyDescent="0.25">
      <c r="A223" s="13"/>
      <c r="B223" s="1" t="s">
        <v>87</v>
      </c>
      <c r="D223" s="8">
        <f>ROUND(35647.39,0)</f>
        <v>35647</v>
      </c>
      <c r="F223" s="9">
        <v>4.2500000000000003E-2</v>
      </c>
      <c r="H223" s="8">
        <f t="shared" si="12"/>
        <v>1515</v>
      </c>
    </row>
    <row r="224" spans="1:8" x14ac:dyDescent="0.25">
      <c r="A224" s="13"/>
      <c r="B224" s="1" t="s">
        <v>88</v>
      </c>
      <c r="D224" s="8">
        <f>ROUND(291226.01,0)</f>
        <v>291226</v>
      </c>
      <c r="F224" s="9">
        <v>4.7E-2</v>
      </c>
      <c r="H224" s="8">
        <f t="shared" si="12"/>
        <v>13688</v>
      </c>
    </row>
    <row r="225" spans="1:8" x14ac:dyDescent="0.25">
      <c r="A225" s="13"/>
      <c r="B225" s="1" t="s">
        <v>89</v>
      </c>
      <c r="D225" s="8">
        <f>ROUND(760255.37,0)</f>
        <v>760255</v>
      </c>
      <c r="F225" s="9">
        <v>2.9899999999999999E-2</v>
      </c>
      <c r="H225" s="8">
        <f t="shared" si="12"/>
        <v>22732</v>
      </c>
    </row>
    <row r="226" spans="1:8" x14ac:dyDescent="0.25">
      <c r="A226" s="13"/>
      <c r="B226" s="1" t="s">
        <v>90</v>
      </c>
      <c r="D226" s="8">
        <f>ROUND(274390.87,0)</f>
        <v>274391</v>
      </c>
      <c r="F226" s="9">
        <v>3.4000000000000002E-2</v>
      </c>
      <c r="H226" s="8">
        <f t="shared" si="12"/>
        <v>9329</v>
      </c>
    </row>
    <row r="227" spans="1:8" x14ac:dyDescent="0.25">
      <c r="A227" s="13"/>
      <c r="B227" s="1" t="s">
        <v>91</v>
      </c>
      <c r="D227" s="8">
        <f>ROUND(590562.82,0)</f>
        <v>590563</v>
      </c>
      <c r="F227" s="9">
        <v>5.04E-2</v>
      </c>
      <c r="H227" s="8">
        <f t="shared" si="12"/>
        <v>29764</v>
      </c>
    </row>
    <row r="228" spans="1:8" x14ac:dyDescent="0.25">
      <c r="A228" s="13"/>
      <c r="B228" s="1" t="s">
        <v>92</v>
      </c>
      <c r="D228" s="8">
        <f>ROUND(28963.63,0)</f>
        <v>28964</v>
      </c>
      <c r="F228" s="9">
        <v>4.0399999999999998E-2</v>
      </c>
      <c r="H228" s="8">
        <f t="shared" si="12"/>
        <v>1170</v>
      </c>
    </row>
    <row r="229" spans="1:8" x14ac:dyDescent="0.25">
      <c r="A229" s="13"/>
      <c r="B229" s="1" t="s">
        <v>95</v>
      </c>
      <c r="D229" s="8">
        <f>ROUND(8888.93,0)</f>
        <v>8889</v>
      </c>
      <c r="F229" s="9">
        <v>3.9699999999999999E-2</v>
      </c>
      <c r="H229" s="8">
        <f t="shared" si="12"/>
        <v>353</v>
      </c>
    </row>
    <row r="230" spans="1:8" x14ac:dyDescent="0.25">
      <c r="A230" s="13"/>
      <c r="B230" s="1" t="s">
        <v>96</v>
      </c>
      <c r="D230" s="8">
        <f>ROUND(8861.01,0)</f>
        <v>8861</v>
      </c>
      <c r="F230" s="9">
        <v>3.9699999999999999E-2</v>
      </c>
      <c r="H230" s="8">
        <f t="shared" si="12"/>
        <v>352</v>
      </c>
    </row>
    <row r="231" spans="1:8" x14ac:dyDescent="0.25">
      <c r="A231" s="13"/>
      <c r="B231" s="1" t="s">
        <v>97</v>
      </c>
      <c r="D231" s="8">
        <f>ROUND(9113.52,0)</f>
        <v>9114</v>
      </c>
      <c r="F231" s="9">
        <v>3.9800000000000002E-2</v>
      </c>
      <c r="H231" s="8">
        <f t="shared" si="12"/>
        <v>363</v>
      </c>
    </row>
    <row r="232" spans="1:8" x14ac:dyDescent="0.25">
      <c r="A232" s="13"/>
      <c r="B232" s="1" t="s">
        <v>98</v>
      </c>
      <c r="D232" s="8">
        <f>ROUND(41868.51,0)</f>
        <v>41869</v>
      </c>
      <c r="F232" s="9">
        <v>4.5900000000000003E-2</v>
      </c>
      <c r="H232" s="8">
        <f t="shared" si="12"/>
        <v>1922</v>
      </c>
    </row>
    <row r="233" spans="1:8" x14ac:dyDescent="0.25">
      <c r="A233" s="13"/>
      <c r="B233" s="1" t="s">
        <v>155</v>
      </c>
      <c r="D233" s="12">
        <f>ROUND(35805.2,0)</f>
        <v>35805</v>
      </c>
      <c r="F233" s="9">
        <v>1.67E-2</v>
      </c>
      <c r="H233" s="12">
        <f t="shared" si="12"/>
        <v>598</v>
      </c>
    </row>
    <row r="234" spans="1:8" x14ac:dyDescent="0.25">
      <c r="A234" s="13"/>
      <c r="D234" s="3">
        <f>ROUND(SUM(D220:D233),0)</f>
        <v>5368236</v>
      </c>
      <c r="H234" s="3">
        <f>ROUND(SUM(H220:H233),0)</f>
        <v>215065</v>
      </c>
    </row>
    <row r="235" spans="1:8" x14ac:dyDescent="0.25">
      <c r="A235" s="13"/>
      <c r="H235" s="16"/>
    </row>
    <row r="236" spans="1:8" ht="18.75" x14ac:dyDescent="0.3">
      <c r="A236" s="13" t="s">
        <v>110</v>
      </c>
      <c r="B236" s="17" t="s">
        <v>123</v>
      </c>
      <c r="D236" s="8">
        <f>ROUND(17790.81,0)</f>
        <v>17791</v>
      </c>
      <c r="H236" s="16"/>
    </row>
    <row r="237" spans="1:8" x14ac:dyDescent="0.25">
      <c r="A237" s="13"/>
      <c r="H237" s="16"/>
    </row>
    <row r="238" spans="1:8" x14ac:dyDescent="0.25">
      <c r="A238" s="13"/>
      <c r="B238" s="35" t="s">
        <v>111</v>
      </c>
      <c r="D238" s="55">
        <f>ROUND(D236+D234+D218+D201+D184+D168+D149+D132+D131,0)</f>
        <v>533383144</v>
      </c>
      <c r="H238" s="55">
        <f>ROUND(H236+H234+H218+H201+H184+H168+H149+H132+H131,0)</f>
        <v>22265072</v>
      </c>
    </row>
    <row r="239" spans="1:8" x14ac:dyDescent="0.25">
      <c r="A239" s="13"/>
      <c r="H239" s="16"/>
    </row>
    <row r="240" spans="1:8" x14ac:dyDescent="0.25">
      <c r="A240" s="35" t="s">
        <v>5</v>
      </c>
    </row>
    <row r="241" spans="1:8" x14ac:dyDescent="0.25">
      <c r="B241" s="1" t="s">
        <v>6</v>
      </c>
      <c r="D241" s="3">
        <f>ROUND(23414570.93,0)</f>
        <v>23414571</v>
      </c>
      <c r="F241" s="9">
        <v>9.5999999999999992E-3</v>
      </c>
      <c r="H241" s="3">
        <f>ROUND(D241*F241,0)</f>
        <v>224780</v>
      </c>
    </row>
    <row r="242" spans="1:8" x14ac:dyDescent="0.25">
      <c r="B242" s="1" t="s">
        <v>40</v>
      </c>
      <c r="D242" s="8">
        <f>ROUND(2199383.04,0)</f>
        <v>2199383</v>
      </c>
      <c r="F242" s="9">
        <v>0</v>
      </c>
      <c r="H242" s="8">
        <f t="shared" ref="H242:H251" si="13">ROUND(D242*F242,0)</f>
        <v>0</v>
      </c>
    </row>
    <row r="243" spans="1:8" x14ac:dyDescent="0.25">
      <c r="B243" s="1" t="s">
        <v>160</v>
      </c>
      <c r="D243" s="8">
        <f>ROUND(18029820.6,0)</f>
        <v>18029821</v>
      </c>
      <c r="F243" s="9">
        <v>1.7500000000000002E-2</v>
      </c>
      <c r="H243" s="8">
        <f t="shared" si="13"/>
        <v>315522</v>
      </c>
    </row>
    <row r="244" spans="1:8" x14ac:dyDescent="0.25">
      <c r="B244" s="1" t="s">
        <v>159</v>
      </c>
      <c r="D244" s="8">
        <f>ROUND(195113.93,0)</f>
        <v>195114</v>
      </c>
      <c r="F244" s="9">
        <v>1.5800000000000002E-2</v>
      </c>
      <c r="H244" s="8">
        <f t="shared" si="13"/>
        <v>3083</v>
      </c>
    </row>
    <row r="245" spans="1:8" x14ac:dyDescent="0.25">
      <c r="B245" s="1" t="s">
        <v>7</v>
      </c>
      <c r="D245" s="8">
        <f>ROUND(193380994.73,0)</f>
        <v>193380995</v>
      </c>
      <c r="F245" s="9">
        <v>1.67E-2</v>
      </c>
      <c r="H245" s="8">
        <f t="shared" si="13"/>
        <v>3229463</v>
      </c>
    </row>
    <row r="246" spans="1:8" x14ac:dyDescent="0.25">
      <c r="B246" s="1" t="s">
        <v>158</v>
      </c>
      <c r="D246" s="8">
        <f>ROUND(14668403.51,0)</f>
        <v>14668404</v>
      </c>
      <c r="F246" s="9">
        <v>0</v>
      </c>
      <c r="H246" s="8">
        <f t="shared" si="13"/>
        <v>0</v>
      </c>
    </row>
    <row r="247" spans="1:8" x14ac:dyDescent="0.25">
      <c r="B247" s="17" t="s">
        <v>35</v>
      </c>
      <c r="C247" s="24"/>
      <c r="D247" s="8">
        <f>ROUND(94800534.93,0)</f>
        <v>94800535</v>
      </c>
      <c r="F247" s="9">
        <v>1.3599999999999999E-2</v>
      </c>
      <c r="H247" s="8">
        <f t="shared" si="13"/>
        <v>1289287</v>
      </c>
    </row>
    <row r="248" spans="1:8" x14ac:dyDescent="0.25">
      <c r="B248" s="17" t="s">
        <v>36</v>
      </c>
      <c r="C248" s="24"/>
      <c r="D248" s="8">
        <f>ROUND(151316031.21,0)</f>
        <v>151316031</v>
      </c>
      <c r="F248" s="9">
        <v>2.3400000000000001E-2</v>
      </c>
      <c r="H248" s="8">
        <f t="shared" si="13"/>
        <v>3540795</v>
      </c>
    </row>
    <row r="249" spans="1:8" x14ac:dyDescent="0.25">
      <c r="B249" s="1" t="s">
        <v>8</v>
      </c>
      <c r="D249" s="8">
        <f>ROUND(167790822.43,0)</f>
        <v>167790822</v>
      </c>
      <c r="F249" s="9">
        <v>1.9400000000000001E-2</v>
      </c>
      <c r="H249" s="8">
        <f t="shared" si="13"/>
        <v>3255142</v>
      </c>
    </row>
    <row r="250" spans="1:8" x14ac:dyDescent="0.25">
      <c r="B250" s="1" t="s">
        <v>9</v>
      </c>
      <c r="D250" s="8">
        <f>ROUND(448760.26,0)</f>
        <v>448760</v>
      </c>
      <c r="F250" s="9">
        <v>2.2700000000000001E-2</v>
      </c>
      <c r="H250" s="8">
        <f t="shared" si="13"/>
        <v>10187</v>
      </c>
    </row>
    <row r="251" spans="1:8" x14ac:dyDescent="0.25">
      <c r="B251" s="17" t="s">
        <v>34</v>
      </c>
      <c r="C251" s="24"/>
      <c r="D251" s="8">
        <f>ROUND(1161549.29,0)</f>
        <v>1161549</v>
      </c>
      <c r="F251" s="9">
        <v>9.7999999999999997E-3</v>
      </c>
      <c r="H251" s="8">
        <f t="shared" si="13"/>
        <v>11383</v>
      </c>
    </row>
    <row r="252" spans="1:8" x14ac:dyDescent="0.25">
      <c r="B252" s="17" t="s">
        <v>125</v>
      </c>
      <c r="C252" s="24"/>
      <c r="D252" s="12">
        <f>ROUND(86951.5+453047.99,0)</f>
        <v>539999</v>
      </c>
      <c r="H252" s="18"/>
    </row>
    <row r="253" spans="1:8" x14ac:dyDescent="0.25">
      <c r="B253" s="35" t="s">
        <v>10</v>
      </c>
      <c r="D253" s="55">
        <f>ROUND(SUM(D241:D252),0)</f>
        <v>667945984</v>
      </c>
      <c r="H253" s="55">
        <f>ROUND(SUM(H241:H252),0)</f>
        <v>11879642</v>
      </c>
    </row>
    <row r="254" spans="1:8" x14ac:dyDescent="0.25">
      <c r="H254" s="16"/>
    </row>
    <row r="255" spans="1:8" x14ac:dyDescent="0.25">
      <c r="A255" s="35" t="s">
        <v>11</v>
      </c>
      <c r="H255" s="16"/>
    </row>
    <row r="256" spans="1:8" x14ac:dyDescent="0.25">
      <c r="B256" s="17" t="s">
        <v>12</v>
      </c>
      <c r="C256" s="24"/>
      <c r="D256" s="3">
        <f>ROUND(2039033.29,0)</f>
        <v>2039033</v>
      </c>
      <c r="F256" s="9">
        <v>5.7999999999999996E-3</v>
      </c>
      <c r="H256" s="3">
        <f>ROUND(D256*F256,0)</f>
        <v>11826</v>
      </c>
    </row>
    <row r="257" spans="2:8" x14ac:dyDescent="0.25">
      <c r="B257" s="19" t="s">
        <v>41</v>
      </c>
      <c r="C257" s="23"/>
      <c r="D257" s="8">
        <f>ROUND(3271807.48,0)</f>
        <v>3271807</v>
      </c>
      <c r="E257" s="11"/>
      <c r="F257" s="9">
        <v>0</v>
      </c>
      <c r="H257" s="8">
        <f t="shared" ref="H257:H269" si="14">ROUND(D257*F257,0)</f>
        <v>0</v>
      </c>
    </row>
    <row r="258" spans="2:8" x14ac:dyDescent="0.25">
      <c r="B258" s="19" t="s">
        <v>133</v>
      </c>
      <c r="C258" s="23"/>
      <c r="D258" s="8">
        <f>ROUND(792599.21,0)</f>
        <v>792599</v>
      </c>
      <c r="E258" s="11"/>
      <c r="F258" s="9">
        <v>0</v>
      </c>
      <c r="H258" s="8">
        <f t="shared" si="14"/>
        <v>0</v>
      </c>
    </row>
    <row r="259" spans="2:8" x14ac:dyDescent="0.25">
      <c r="B259" s="17" t="s">
        <v>13</v>
      </c>
      <c r="C259" s="24"/>
      <c r="D259" s="8">
        <f>ROUND(7665069.65,0)</f>
        <v>7665070</v>
      </c>
      <c r="F259" s="9">
        <v>0.02</v>
      </c>
      <c r="H259" s="8">
        <f t="shared" si="14"/>
        <v>153301</v>
      </c>
    </row>
    <row r="260" spans="2:8" x14ac:dyDescent="0.25">
      <c r="B260" s="17" t="s">
        <v>14</v>
      </c>
      <c r="C260" s="24"/>
      <c r="D260" s="8">
        <f>ROUND(145362873.63,0)</f>
        <v>145362874</v>
      </c>
      <c r="F260" s="9">
        <v>2.2700000000000001E-2</v>
      </c>
      <c r="H260" s="8">
        <f t="shared" si="14"/>
        <v>3299737</v>
      </c>
    </row>
    <row r="261" spans="2:8" x14ac:dyDescent="0.25">
      <c r="B261" s="17" t="s">
        <v>15</v>
      </c>
      <c r="C261" s="24"/>
      <c r="D261" s="8">
        <f>ROUND(297218364.42,0)</f>
        <v>297218364</v>
      </c>
      <c r="F261" s="9">
        <v>2.3300000000000001E-2</v>
      </c>
      <c r="H261" s="8">
        <f t="shared" si="14"/>
        <v>6925188</v>
      </c>
    </row>
    <row r="262" spans="2:8" x14ac:dyDescent="0.25">
      <c r="B262" s="17" t="s">
        <v>16</v>
      </c>
      <c r="C262" s="24"/>
      <c r="D262" s="8">
        <f>ROUND(283505699.61,0)</f>
        <v>283505700</v>
      </c>
      <c r="F262" s="9">
        <v>3.2300000000000002E-2</v>
      </c>
      <c r="H262" s="8">
        <f t="shared" si="14"/>
        <v>9157234</v>
      </c>
    </row>
    <row r="263" spans="2:8" x14ac:dyDescent="0.25">
      <c r="B263" s="17" t="s">
        <v>17</v>
      </c>
      <c r="C263" s="24"/>
      <c r="D263" s="8">
        <f>ROUND(1831865.07,0)</f>
        <v>1831865</v>
      </c>
      <c r="F263" s="9">
        <v>2.7E-2</v>
      </c>
      <c r="H263" s="8">
        <f t="shared" si="14"/>
        <v>49460</v>
      </c>
    </row>
    <row r="264" spans="2:8" x14ac:dyDescent="0.25">
      <c r="B264" s="17" t="s">
        <v>18</v>
      </c>
      <c r="C264" s="24"/>
      <c r="D264" s="8">
        <f>ROUND(142273183.01,0)</f>
        <v>142273183</v>
      </c>
      <c r="F264" s="9">
        <v>2.3699999999999999E-2</v>
      </c>
      <c r="H264" s="8">
        <f t="shared" si="14"/>
        <v>3371874</v>
      </c>
    </row>
    <row r="265" spans="2:8" x14ac:dyDescent="0.25">
      <c r="B265" s="1" t="s">
        <v>19</v>
      </c>
      <c r="D265" s="8">
        <f>ROUND(287943911.44,0)</f>
        <v>287943911</v>
      </c>
      <c r="F265" s="9">
        <v>2.4500000000000001E-2</v>
      </c>
      <c r="H265" s="8">
        <f t="shared" si="14"/>
        <v>7054626</v>
      </c>
    </row>
    <row r="266" spans="2:8" x14ac:dyDescent="0.25">
      <c r="B266" s="1" t="s">
        <v>20</v>
      </c>
      <c r="D266" s="8">
        <f>ROUND(89683318,0)</f>
        <v>89683318</v>
      </c>
      <c r="F266" s="9">
        <v>2.0299999999999999E-2</v>
      </c>
      <c r="H266" s="8">
        <f t="shared" si="14"/>
        <v>1820571</v>
      </c>
    </row>
    <row r="267" spans="2:8" x14ac:dyDescent="0.25">
      <c r="B267" s="17" t="s">
        <v>21</v>
      </c>
      <c r="C267" s="24"/>
      <c r="D267" s="8">
        <f>ROUND(70922417.27,0)</f>
        <v>70922417</v>
      </c>
      <c r="F267" s="9">
        <v>2.29E-2</v>
      </c>
      <c r="H267" s="8">
        <f t="shared" si="14"/>
        <v>1624123</v>
      </c>
    </row>
    <row r="268" spans="2:8" x14ac:dyDescent="0.25">
      <c r="B268" s="1" t="s">
        <v>22</v>
      </c>
      <c r="D268" s="8">
        <f>ROUND(18240915.88,0)</f>
        <v>18240916</v>
      </c>
      <c r="F268" s="9">
        <v>8.0999999999999996E-3</v>
      </c>
      <c r="H268" s="8">
        <f t="shared" si="14"/>
        <v>147751</v>
      </c>
    </row>
    <row r="269" spans="2:8" x14ac:dyDescent="0.25">
      <c r="B269" s="1" t="s">
        <v>23</v>
      </c>
      <c r="D269" s="14">
        <f>ROUND(83014243.35,0)</f>
        <v>83014243</v>
      </c>
      <c r="E269" s="5"/>
      <c r="F269" s="9">
        <v>0.04</v>
      </c>
      <c r="H269" s="8">
        <f t="shared" si="14"/>
        <v>3320570</v>
      </c>
    </row>
    <row r="270" spans="2:8" ht="18.75" x14ac:dyDescent="0.3">
      <c r="B270" s="17" t="s">
        <v>124</v>
      </c>
      <c r="D270" s="12">
        <f>ROUND(287375.79+499578.76,0)</f>
        <v>786955</v>
      </c>
      <c r="H270" s="18"/>
    </row>
    <row r="271" spans="2:8" x14ac:dyDescent="0.25">
      <c r="B271" s="35" t="s">
        <v>24</v>
      </c>
      <c r="D271" s="55">
        <f>ROUND(SUM(D256:D270),0)</f>
        <v>1434552255</v>
      </c>
      <c r="H271" s="55">
        <f>ROUND(SUM(H256:H270),0)</f>
        <v>36936261</v>
      </c>
    </row>
    <row r="272" spans="2:8" x14ac:dyDescent="0.25">
      <c r="H272" s="16"/>
    </row>
    <row r="273" spans="1:8" x14ac:dyDescent="0.25">
      <c r="A273" s="35" t="s">
        <v>25</v>
      </c>
      <c r="H273" s="16"/>
    </row>
    <row r="274" spans="1:8" x14ac:dyDescent="0.25">
      <c r="B274" s="1" t="s">
        <v>42</v>
      </c>
      <c r="D274" s="3">
        <f>ROUND(2629527.62,0)</f>
        <v>2629528</v>
      </c>
      <c r="F274" s="9">
        <v>0</v>
      </c>
      <c r="H274" s="3">
        <f>ROUND(D274*F274,0)</f>
        <v>0</v>
      </c>
    </row>
    <row r="275" spans="1:8" x14ac:dyDescent="0.25">
      <c r="B275" s="1" t="s">
        <v>27</v>
      </c>
      <c r="D275" s="8">
        <f>ROUND(46194179.07,0)</f>
        <v>46194179</v>
      </c>
      <c r="F275" s="9">
        <v>2.01E-2</v>
      </c>
      <c r="H275" s="8">
        <f t="shared" ref="H275:H287" si="15">ROUND(D275*F275,0)</f>
        <v>928503</v>
      </c>
    </row>
    <row r="276" spans="1:8" x14ac:dyDescent="0.25">
      <c r="B276" s="1" t="s">
        <v>38</v>
      </c>
      <c r="D276" s="8">
        <f>ROUND(531973.44,0)</f>
        <v>531973</v>
      </c>
      <c r="E276" s="21"/>
      <c r="F276" s="9">
        <v>1.72E-2</v>
      </c>
      <c r="H276" s="8">
        <f t="shared" si="15"/>
        <v>9150</v>
      </c>
    </row>
    <row r="277" spans="1:8" x14ac:dyDescent="0.25">
      <c r="B277" s="1" t="s">
        <v>26</v>
      </c>
      <c r="D277" s="8">
        <f>ROUND(7806961.56,0)</f>
        <v>7806962</v>
      </c>
      <c r="F277" s="9">
        <v>4.4600000000000001E-2</v>
      </c>
      <c r="H277" s="8">
        <f t="shared" si="15"/>
        <v>348191</v>
      </c>
    </row>
    <row r="278" spans="1:8" x14ac:dyDescent="0.25">
      <c r="B278" s="1" t="s">
        <v>39</v>
      </c>
      <c r="D278" s="8">
        <f>ROUND(18399981.27,0)</f>
        <v>18399981</v>
      </c>
      <c r="F278" s="9">
        <v>0.21579999999999999</v>
      </c>
      <c r="H278" s="8">
        <f t="shared" si="15"/>
        <v>3970716</v>
      </c>
    </row>
    <row r="279" spans="1:8" x14ac:dyDescent="0.25">
      <c r="B279" s="17" t="s">
        <v>161</v>
      </c>
      <c r="C279" s="24"/>
      <c r="D279" s="8">
        <f>ROUND(6648038.12,0)</f>
        <v>6648038</v>
      </c>
      <c r="F279" s="9">
        <v>8.9300000000000004E-2</v>
      </c>
      <c r="H279" s="8">
        <f t="shared" si="15"/>
        <v>593670</v>
      </c>
    </row>
    <row r="280" spans="1:8" x14ac:dyDescent="0.25">
      <c r="B280" s="17" t="s">
        <v>170</v>
      </c>
      <c r="D280" s="8">
        <v>1865090.97</v>
      </c>
      <c r="F280" s="9">
        <v>2.4400000000000002E-2</v>
      </c>
      <c r="H280" s="8">
        <f t="shared" si="15"/>
        <v>45508</v>
      </c>
    </row>
    <row r="281" spans="1:8" x14ac:dyDescent="0.25">
      <c r="B281" s="17" t="s">
        <v>140</v>
      </c>
      <c r="D281" s="8">
        <f>14101987.63+2876.22</f>
        <v>14104863.850000001</v>
      </c>
      <c r="F281" s="9">
        <v>5.4000000000000003E-3</v>
      </c>
      <c r="H281" s="8">
        <f t="shared" si="15"/>
        <v>76166</v>
      </c>
    </row>
    <row r="282" spans="1:8" x14ac:dyDescent="0.25">
      <c r="B282" s="1" t="s">
        <v>28</v>
      </c>
      <c r="D282" s="8">
        <f>ROUND(551794.27,0)</f>
        <v>551794</v>
      </c>
      <c r="F282" s="9">
        <v>5.0700000000000002E-2</v>
      </c>
      <c r="H282" s="8">
        <f t="shared" si="15"/>
        <v>27976</v>
      </c>
    </row>
    <row r="283" spans="1:8" x14ac:dyDescent="0.25">
      <c r="B283" s="1" t="s">
        <v>29</v>
      </c>
      <c r="D283" s="8">
        <f>ROUND(8221696.52,0)</f>
        <v>8221697</v>
      </c>
      <c r="F283" s="9">
        <v>4.2700000000000002E-2</v>
      </c>
      <c r="H283" s="8">
        <f t="shared" si="15"/>
        <v>351066</v>
      </c>
    </row>
    <row r="284" spans="1:8" x14ac:dyDescent="0.25">
      <c r="B284" s="17" t="s">
        <v>141</v>
      </c>
      <c r="D284" s="8">
        <f>ROUND(1188992.94,0)</f>
        <v>1188993</v>
      </c>
      <c r="F284" s="9">
        <v>8.8900000000000007E-2</v>
      </c>
      <c r="H284" s="8">
        <f t="shared" si="15"/>
        <v>105701</v>
      </c>
    </row>
    <row r="285" spans="1:8" x14ac:dyDescent="0.25">
      <c r="B285" s="17" t="s">
        <v>212</v>
      </c>
      <c r="C285" s="24"/>
      <c r="D285" s="8">
        <v>10171295.9</v>
      </c>
      <c r="F285" s="9">
        <v>5.7000000000000002E-2</v>
      </c>
      <c r="H285" s="8">
        <f t="shared" si="15"/>
        <v>579764</v>
      </c>
    </row>
    <row r="286" spans="1:8" x14ac:dyDescent="0.25">
      <c r="B286" s="17" t="s">
        <v>213</v>
      </c>
      <c r="C286" s="24"/>
      <c r="D286" s="8">
        <v>20920746</v>
      </c>
      <c r="F286" s="9">
        <v>3.7499999999999999E-2</v>
      </c>
      <c r="H286" s="8">
        <f t="shared" si="15"/>
        <v>784528</v>
      </c>
    </row>
    <row r="287" spans="1:8" x14ac:dyDescent="0.25">
      <c r="B287" s="17" t="s">
        <v>214</v>
      </c>
      <c r="C287" s="24"/>
      <c r="D287" s="8">
        <v>786233.2</v>
      </c>
      <c r="F287" s="9">
        <v>0</v>
      </c>
      <c r="H287" s="8">
        <f t="shared" si="15"/>
        <v>0</v>
      </c>
    </row>
    <row r="288" spans="1:8" x14ac:dyDescent="0.25">
      <c r="B288" s="35" t="s">
        <v>30</v>
      </c>
      <c r="D288" s="55">
        <f>ROUND(SUM(D274:D287),0)</f>
        <v>140021375</v>
      </c>
      <c r="H288" s="55">
        <f>ROUND(SUM(H274:H287),0)</f>
        <v>7820939</v>
      </c>
    </row>
    <row r="289" spans="1:8" x14ac:dyDescent="0.25">
      <c r="D289" s="4"/>
      <c r="E289" s="5"/>
      <c r="H289" s="16"/>
    </row>
    <row r="290" spans="1:8" ht="16.5" thickBot="1" x14ac:dyDescent="0.3">
      <c r="A290" s="30" t="s">
        <v>121</v>
      </c>
      <c r="D290" s="56">
        <f>ROUND(D288+D271+D253+D238+D128+D116+D15,0)</f>
        <v>6492013503</v>
      </c>
    </row>
    <row r="291" spans="1:8" ht="16.5" thickTop="1" x14ac:dyDescent="0.25">
      <c r="H291" s="27"/>
    </row>
    <row r="292" spans="1:8" ht="16.5" thickBot="1" x14ac:dyDescent="0.3">
      <c r="A292" s="30" t="s">
        <v>129</v>
      </c>
      <c r="H292" s="56">
        <f>ROUND(H288+H271+H253+H238+H128+H116+H15,0)</f>
        <v>190491452</v>
      </c>
    </row>
    <row r="293" spans="1:8" ht="17.25" thickTop="1" thickBot="1" x14ac:dyDescent="0.3">
      <c r="H293" s="27"/>
    </row>
    <row r="294" spans="1:8" x14ac:dyDescent="0.25">
      <c r="A294" s="45" t="s">
        <v>127</v>
      </c>
      <c r="B294" s="46"/>
      <c r="C294" s="46"/>
      <c r="D294" s="47"/>
      <c r="E294" s="46"/>
      <c r="F294" s="48"/>
      <c r="G294" s="62"/>
      <c r="H294" s="78"/>
    </row>
    <row r="295" spans="1:8" x14ac:dyDescent="0.25">
      <c r="A295" s="49"/>
      <c r="B295" s="5"/>
      <c r="D295" s="14"/>
      <c r="E295" s="5"/>
      <c r="F295" s="20"/>
      <c r="G295" s="61"/>
      <c r="H295" s="79"/>
    </row>
    <row r="296" spans="1:8" x14ac:dyDescent="0.25">
      <c r="A296" s="49"/>
      <c r="B296" s="5" t="str">
        <f>B159</f>
        <v>5645 Brown CT 9 Gas Pipeline</v>
      </c>
      <c r="D296" s="14"/>
      <c r="E296" s="5"/>
      <c r="F296" s="20"/>
      <c r="G296" s="61"/>
      <c r="H296" s="83">
        <f>-H159-H131</f>
        <v>-236598</v>
      </c>
    </row>
    <row r="297" spans="1:8" x14ac:dyDescent="0.25">
      <c r="A297" s="49"/>
      <c r="B297" s="5" t="str">
        <f>B162</f>
        <v>0473 Trimble County CT Pipeline</v>
      </c>
      <c r="D297" s="14"/>
      <c r="E297" s="5"/>
      <c r="F297" s="20"/>
      <c r="G297" s="61"/>
      <c r="H297" s="79">
        <f>-H162</f>
        <v>-166844</v>
      </c>
    </row>
    <row r="298" spans="1:8" x14ac:dyDescent="0.25">
      <c r="A298" s="49"/>
      <c r="B298" s="5" t="str">
        <f>B280</f>
        <v>392.10 Transportation Equipment - Cars &amp; Light Trucks</v>
      </c>
      <c r="D298" s="14"/>
      <c r="E298" s="5"/>
      <c r="F298" s="20"/>
      <c r="G298" s="61"/>
      <c r="H298" s="79">
        <f>-H280</f>
        <v>-45508</v>
      </c>
    </row>
    <row r="299" spans="1:8" x14ac:dyDescent="0.25">
      <c r="A299" s="49"/>
      <c r="B299" s="41"/>
      <c r="C299" s="41"/>
      <c r="D299" s="14"/>
      <c r="E299" s="5"/>
      <c r="F299" s="20"/>
      <c r="G299" s="61"/>
      <c r="H299" s="80"/>
    </row>
    <row r="300" spans="1:8" x14ac:dyDescent="0.25">
      <c r="A300" s="50" t="s">
        <v>128</v>
      </c>
      <c r="B300" s="5"/>
      <c r="C300" s="24"/>
      <c r="D300" s="14"/>
      <c r="E300" s="5"/>
      <c r="F300" s="20"/>
      <c r="G300" s="61"/>
      <c r="H300" s="79">
        <f>-'ECR Annual Depr'!D29</f>
        <v>-45601176</v>
      </c>
    </row>
    <row r="301" spans="1:8" x14ac:dyDescent="0.25">
      <c r="A301" s="49"/>
      <c r="B301" s="5"/>
      <c r="D301" s="14"/>
      <c r="E301" s="5"/>
      <c r="F301" s="20"/>
      <c r="G301" s="61"/>
      <c r="H301" s="80"/>
    </row>
    <row r="302" spans="1:8" ht="16.5" thickBot="1" x14ac:dyDescent="0.3">
      <c r="A302" s="50" t="s">
        <v>130</v>
      </c>
      <c r="B302" s="5"/>
      <c r="C302" s="24"/>
      <c r="D302" s="14"/>
      <c r="E302" s="5"/>
      <c r="F302" s="20"/>
      <c r="G302" s="61"/>
      <c r="H302" s="81">
        <f>H292+H296+H297+H298+H300</f>
        <v>144441326</v>
      </c>
    </row>
    <row r="303" spans="1:8" ht="17.25" thickTop="1" thickBot="1" x14ac:dyDescent="0.3">
      <c r="A303" s="51"/>
      <c r="B303" s="52"/>
      <c r="C303" s="53"/>
      <c r="D303" s="44"/>
      <c r="E303" s="52"/>
      <c r="F303" s="54"/>
      <c r="G303" s="63"/>
      <c r="H303" s="82"/>
    </row>
    <row r="304" spans="1:8" x14ac:dyDescent="0.25">
      <c r="A304" s="32"/>
      <c r="B304" s="5"/>
      <c r="C304" s="24"/>
      <c r="D304" s="14"/>
      <c r="E304" s="5"/>
      <c r="H304" s="59"/>
    </row>
    <row r="305" spans="2:8" x14ac:dyDescent="0.25">
      <c r="B305" s="17"/>
      <c r="C305" s="24"/>
    </row>
    <row r="306" spans="2:8" ht="18.75" x14ac:dyDescent="0.3">
      <c r="B306" s="31" t="s">
        <v>113</v>
      </c>
      <c r="C306" s="42"/>
      <c r="H306" s="22"/>
    </row>
    <row r="307" spans="2:8" s="5" customFormat="1" x14ac:dyDescent="0.25">
      <c r="B307" s="24"/>
      <c r="C307" s="24"/>
      <c r="D307" s="14"/>
      <c r="F307" s="20"/>
      <c r="G307" s="61"/>
      <c r="H307" s="16"/>
    </row>
    <row r="308" spans="2:8" s="5" customFormat="1" x14ac:dyDescent="0.25">
      <c r="B308" s="24"/>
      <c r="C308" s="24"/>
      <c r="D308" s="14"/>
      <c r="F308" s="20"/>
      <c r="G308" s="61"/>
      <c r="H308" s="16"/>
    </row>
    <row r="309" spans="2:8" s="5" customFormat="1" x14ac:dyDescent="0.25">
      <c r="B309" s="25"/>
      <c r="C309" s="25"/>
      <c r="D309" s="14"/>
      <c r="F309" s="20"/>
      <c r="G309" s="61"/>
      <c r="H309" s="10"/>
    </row>
    <row r="310" spans="2:8" x14ac:dyDescent="0.25">
      <c r="D310" s="1"/>
      <c r="H310" s="16"/>
    </row>
    <row r="311" spans="2:8" x14ac:dyDescent="0.25">
      <c r="B311" s="26"/>
      <c r="C311" s="26"/>
      <c r="D311" s="14"/>
      <c r="E311" s="5"/>
      <c r="H311" s="27"/>
    </row>
    <row r="312" spans="2:8" x14ac:dyDescent="0.25">
      <c r="B312" s="28"/>
      <c r="C312" s="28"/>
      <c r="D312" s="14"/>
      <c r="E312" s="5"/>
      <c r="H312" s="27"/>
    </row>
    <row r="313" spans="2:8" x14ac:dyDescent="0.25">
      <c r="B313" s="25"/>
      <c r="C313" s="25"/>
      <c r="D313" s="14"/>
      <c r="E313" s="5"/>
      <c r="H313" s="27"/>
    </row>
    <row r="314" spans="2:8" x14ac:dyDescent="0.25">
      <c r="B314" s="29"/>
      <c r="C314" s="29"/>
      <c r="D314" s="14"/>
      <c r="E314" s="5"/>
      <c r="H314" s="27"/>
    </row>
    <row r="315" spans="2:8" x14ac:dyDescent="0.25">
      <c r="B315" s="5"/>
      <c r="D315" s="14"/>
      <c r="E315" s="5"/>
      <c r="H315" s="27"/>
    </row>
    <row r="316" spans="2:8" x14ac:dyDescent="0.25">
      <c r="B316" s="26"/>
      <c r="C316" s="26"/>
      <c r="D316" s="14"/>
      <c r="E316" s="5"/>
      <c r="H316" s="27"/>
    </row>
    <row r="317" spans="2:8" x14ac:dyDescent="0.25">
      <c r="B317" s="5"/>
      <c r="D317" s="14"/>
      <c r="E317" s="5"/>
      <c r="H317" s="27"/>
    </row>
  </sheetData>
  <mergeCells count="4">
    <mergeCell ref="A8:B8"/>
    <mergeCell ref="A1:H1"/>
    <mergeCell ref="A2:H2"/>
    <mergeCell ref="A3:H3"/>
  </mergeCells>
  <printOptions horizontalCentered="1"/>
  <pageMargins left="1.25" right="0.25" top="1" bottom="0.5" header="0.5" footer="0.5"/>
  <pageSetup scale="72" fitToHeight="5" orientation="portrait" r:id="rId1"/>
  <headerFooter alignWithMargins="0">
    <oddHeader>&amp;R&amp;"Times New Roman,Bold"&amp;12Attachment to Response to KU PSC-2  Question No. 49(b)
Page &amp;P of &amp;N
Charnas</oddHeader>
  </headerFooter>
  <rowBreaks count="7" manualBreakCount="7">
    <brk id="39" max="16383" man="1"/>
    <brk id="75" max="16383" man="1"/>
    <brk id="117" max="16383" man="1"/>
    <brk id="149" max="16383" man="1"/>
    <brk id="184" max="16383" man="1"/>
    <brk id="218" max="16383" man="1"/>
    <brk id="2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workbookViewId="0">
      <selection activeCell="B21" sqref="B21:D21"/>
    </sheetView>
  </sheetViews>
  <sheetFormatPr defaultRowHeight="15.75" x14ac:dyDescent="0.25"/>
  <cols>
    <col min="1" max="1" width="3.85546875" style="116" customWidth="1"/>
    <col min="2" max="2" width="9.140625" style="116"/>
    <col min="3" max="3" width="43.140625" style="116" customWidth="1"/>
    <col min="4" max="4" width="19.85546875" style="116" customWidth="1"/>
    <col min="5" max="16384" width="9.140625" style="116"/>
  </cols>
  <sheetData>
    <row r="1" spans="2:5" x14ac:dyDescent="0.25">
      <c r="B1" s="140" t="s">
        <v>33</v>
      </c>
      <c r="C1" s="140"/>
      <c r="D1" s="140"/>
    </row>
    <row r="2" spans="2:5" x14ac:dyDescent="0.25">
      <c r="B2" s="139" t="s">
        <v>234</v>
      </c>
      <c r="C2" s="139"/>
      <c r="D2" s="139"/>
    </row>
    <row r="3" spans="2:5" x14ac:dyDescent="0.25">
      <c r="B3" s="117"/>
      <c r="C3" s="117"/>
      <c r="D3" s="117"/>
    </row>
    <row r="4" spans="2:5" ht="20.25" x14ac:dyDescent="0.55000000000000004">
      <c r="B4" s="141" t="s">
        <v>236</v>
      </c>
      <c r="C4" s="141"/>
      <c r="D4" s="141"/>
      <c r="E4" s="118"/>
    </row>
    <row r="5" spans="2:5" ht="20.25" x14ac:dyDescent="0.55000000000000004">
      <c r="B5" s="108"/>
      <c r="C5" s="108"/>
      <c r="D5" s="108"/>
    </row>
    <row r="6" spans="2:5" x14ac:dyDescent="0.25">
      <c r="B6" s="110" t="s">
        <v>230</v>
      </c>
      <c r="C6" s="105"/>
      <c r="D6" s="3">
        <f>ROUND('ECR Depreciation'!F41,0)</f>
        <v>3471415</v>
      </c>
    </row>
    <row r="7" spans="2:5" x14ac:dyDescent="0.25">
      <c r="B7" s="111" t="s">
        <v>218</v>
      </c>
      <c r="C7" s="105"/>
      <c r="D7" s="12">
        <f>ROUND(-40521.24,0)</f>
        <v>-40521</v>
      </c>
    </row>
    <row r="8" spans="2:5" x14ac:dyDescent="0.25">
      <c r="B8" s="111" t="s">
        <v>224</v>
      </c>
      <c r="C8" s="105"/>
      <c r="D8" s="4">
        <f>D6+D7</f>
        <v>3430894</v>
      </c>
    </row>
    <row r="9" spans="2:5" x14ac:dyDescent="0.25">
      <c r="B9" s="111"/>
      <c r="C9" s="105" t="s">
        <v>219</v>
      </c>
      <c r="D9" s="12">
        <v>12</v>
      </c>
    </row>
    <row r="10" spans="2:5" x14ac:dyDescent="0.25">
      <c r="B10" s="112" t="s">
        <v>220</v>
      </c>
      <c r="C10" s="105"/>
      <c r="D10" s="55">
        <f>D8*D9</f>
        <v>41170728</v>
      </c>
    </row>
    <row r="11" spans="2:5" x14ac:dyDescent="0.25">
      <c r="B11" s="109"/>
      <c r="C11" s="105"/>
      <c r="D11" s="57"/>
    </row>
    <row r="12" spans="2:5" x14ac:dyDescent="0.25">
      <c r="B12" s="110" t="s">
        <v>231</v>
      </c>
      <c r="C12" s="105"/>
      <c r="D12" s="57">
        <f>ROUND('ECR Depreciation'!F63,0)</f>
        <v>355462</v>
      </c>
    </row>
    <row r="13" spans="2:5" x14ac:dyDescent="0.25">
      <c r="B13" s="111" t="s">
        <v>221</v>
      </c>
      <c r="C13" s="105"/>
      <c r="D13" s="12">
        <f>ROUND(-1133.45,0)</f>
        <v>-1133</v>
      </c>
    </row>
    <row r="14" spans="2:5" x14ac:dyDescent="0.25">
      <c r="B14" s="111" t="s">
        <v>225</v>
      </c>
      <c r="C14" s="105"/>
      <c r="D14" s="4">
        <f>D12+D13</f>
        <v>354329</v>
      </c>
    </row>
    <row r="15" spans="2:5" x14ac:dyDescent="0.25">
      <c r="B15" s="109"/>
      <c r="C15" s="105" t="s">
        <v>219</v>
      </c>
      <c r="D15" s="12">
        <v>12</v>
      </c>
    </row>
    <row r="16" spans="2:5" x14ac:dyDescent="0.25">
      <c r="B16" s="112" t="s">
        <v>222</v>
      </c>
      <c r="C16" s="105"/>
      <c r="D16" s="120">
        <f>D14*D15</f>
        <v>4251948</v>
      </c>
    </row>
    <row r="17" spans="2:4" x14ac:dyDescent="0.25">
      <c r="B17" s="109"/>
      <c r="C17" s="105"/>
      <c r="D17" s="57"/>
    </row>
    <row r="18" spans="2:4" ht="16.5" thickBot="1" x14ac:dyDescent="0.3">
      <c r="B18" s="110" t="s">
        <v>223</v>
      </c>
      <c r="C18" s="105"/>
      <c r="D18" s="113">
        <f>D16+D10</f>
        <v>45422676</v>
      </c>
    </row>
    <row r="19" spans="2:4" ht="16.5" thickTop="1" x14ac:dyDescent="0.25">
      <c r="B19" s="109"/>
      <c r="C19" s="105"/>
      <c r="D19" s="114"/>
    </row>
    <row r="20" spans="2:4" x14ac:dyDescent="0.25">
      <c r="B20" s="109"/>
      <c r="C20" s="105"/>
      <c r="D20" s="114"/>
    </row>
    <row r="21" spans="2:4" ht="20.25" x14ac:dyDescent="0.55000000000000004">
      <c r="B21" s="141" t="s">
        <v>235</v>
      </c>
      <c r="C21" s="141"/>
      <c r="D21" s="141"/>
    </row>
    <row r="22" spans="2:4" x14ac:dyDescent="0.25">
      <c r="B22" s="109"/>
      <c r="C22" s="105"/>
      <c r="D22" s="57"/>
    </row>
    <row r="23" spans="2:4" x14ac:dyDescent="0.25">
      <c r="B23" s="110" t="s">
        <v>233</v>
      </c>
      <c r="C23" s="105"/>
      <c r="D23" s="119">
        <f>D18</f>
        <v>45422676</v>
      </c>
    </row>
    <row r="24" spans="2:4" x14ac:dyDescent="0.25">
      <c r="B24" s="109"/>
      <c r="C24" s="105"/>
      <c r="D24" s="57"/>
    </row>
    <row r="25" spans="2:4" x14ac:dyDescent="0.25">
      <c r="B25" s="110" t="s">
        <v>232</v>
      </c>
      <c r="C25" s="105"/>
      <c r="D25" s="57">
        <f>ROUND('ECR Depreciation'!F66-1,0)</f>
        <v>14875</v>
      </c>
    </row>
    <row r="26" spans="2:4" x14ac:dyDescent="0.25">
      <c r="B26" s="109"/>
      <c r="C26" s="105" t="s">
        <v>219</v>
      </c>
      <c r="D26" s="12">
        <v>12</v>
      </c>
    </row>
    <row r="27" spans="2:4" x14ac:dyDescent="0.25">
      <c r="B27" s="112" t="s">
        <v>227</v>
      </c>
      <c r="C27" s="105"/>
      <c r="D27" s="55">
        <f>D25*D26</f>
        <v>178500</v>
      </c>
    </row>
    <row r="28" spans="2:4" x14ac:dyDescent="0.25">
      <c r="B28" s="109"/>
      <c r="C28" s="105"/>
      <c r="D28" s="14"/>
    </row>
    <row r="29" spans="2:4" ht="16.5" thickBot="1" x14ac:dyDescent="0.3">
      <c r="B29" s="112" t="s">
        <v>226</v>
      </c>
      <c r="C29" s="105"/>
      <c r="D29" s="115">
        <f>D23+D27</f>
        <v>45601176</v>
      </c>
    </row>
    <row r="30" spans="2:4" ht="16.5" thickTop="1" x14ac:dyDescent="0.25"/>
  </sheetData>
  <mergeCells count="4">
    <mergeCell ref="B2:D2"/>
    <mergeCell ref="B1:D1"/>
    <mergeCell ref="B4:D4"/>
    <mergeCell ref="B21:D21"/>
  </mergeCells>
  <conditionalFormatting sqref="B6 D7">
    <cfRule type="cellIs" dxfId="5" priority="5" stopIfTrue="1" operator="equal">
      <formula>0</formula>
    </cfRule>
  </conditionalFormatting>
  <conditionalFormatting sqref="B12">
    <cfRule type="cellIs" dxfId="4" priority="4" stopIfTrue="1" operator="equal">
      <formula>0</formula>
    </cfRule>
  </conditionalFormatting>
  <conditionalFormatting sqref="B18">
    <cfRule type="cellIs" dxfId="3" priority="3" stopIfTrue="1" operator="equal">
      <formula>0</formula>
    </cfRule>
  </conditionalFormatting>
  <conditionalFormatting sqref="B25">
    <cfRule type="cellIs" dxfId="2" priority="2" stopIfTrue="1" operator="equal">
      <formula>0</formula>
    </cfRule>
  </conditionalFormatting>
  <conditionalFormatting sqref="B23">
    <cfRule type="cellIs" dxfId="1" priority="1" stopIfTrue="1" operator="equal">
      <formula>0</formula>
    </cfRule>
  </conditionalFormatting>
  <pageMargins left="1.25" right="0.7" top="1" bottom="0.75" header="0.3" footer="0.3"/>
  <pageSetup orientation="portrait" r:id="rId1"/>
  <headerFooter>
    <oddHeader>&amp;R&amp;"Times New Roman,Bold"&amp;12Attachment to Response to KU PSC-2 Question No. 49(b)
Page &amp;P of &amp;N
Charnas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topLeftCell="A43" zoomScaleNormal="100" workbookViewId="0">
      <selection activeCell="B21" sqref="B21"/>
    </sheetView>
  </sheetViews>
  <sheetFormatPr defaultRowHeight="15.75" x14ac:dyDescent="0.25"/>
  <cols>
    <col min="1" max="1" width="7" style="106" customWidth="1"/>
    <col min="2" max="2" width="57.7109375" style="1" bestFit="1" customWidth="1"/>
    <col min="3" max="3" width="18.7109375" style="60" bestFit="1" customWidth="1"/>
    <col min="4" max="4" width="12.28515625" style="2" customWidth="1"/>
    <col min="5" max="5" width="10.7109375" style="1" bestFit="1" customWidth="1"/>
    <col min="6" max="6" width="15.7109375" style="1" bestFit="1" customWidth="1"/>
    <col min="7" max="7" width="9.140625" style="1" customWidth="1"/>
    <col min="8" max="16384" width="9.140625" style="1"/>
  </cols>
  <sheetData>
    <row r="1" spans="1:7" x14ac:dyDescent="0.25">
      <c r="A1" s="137" t="s">
        <v>33</v>
      </c>
      <c r="B1" s="137"/>
      <c r="C1" s="137"/>
      <c r="D1" s="137"/>
      <c r="E1" s="137"/>
      <c r="F1" s="137"/>
    </row>
    <row r="2" spans="1:7" x14ac:dyDescent="0.25">
      <c r="A2" s="137" t="s">
        <v>164</v>
      </c>
      <c r="B2" s="137"/>
      <c r="C2" s="137"/>
      <c r="D2" s="137"/>
      <c r="E2" s="137"/>
      <c r="F2" s="137"/>
    </row>
    <row r="3" spans="1:7" x14ac:dyDescent="0.25">
      <c r="A3" s="142">
        <v>40999</v>
      </c>
      <c r="B3" s="142"/>
      <c r="C3" s="142"/>
      <c r="D3" s="142"/>
      <c r="E3" s="142"/>
      <c r="F3" s="142"/>
    </row>
    <row r="5" spans="1:7" ht="49.5" customHeight="1" x14ac:dyDescent="0.25">
      <c r="A5" s="69" t="s">
        <v>142</v>
      </c>
      <c r="B5" s="69" t="s">
        <v>143</v>
      </c>
      <c r="C5" s="70" t="s">
        <v>144</v>
      </c>
      <c r="D5" s="69" t="s">
        <v>139</v>
      </c>
      <c r="E5" s="71" t="s">
        <v>162</v>
      </c>
      <c r="F5" s="70" t="s">
        <v>163</v>
      </c>
    </row>
    <row r="6" spans="1:7" x14ac:dyDescent="0.25">
      <c r="A6" s="97">
        <v>2005</v>
      </c>
      <c r="B6" s="72" t="s">
        <v>186</v>
      </c>
      <c r="C6" s="99">
        <v>398915</v>
      </c>
      <c r="D6" s="101">
        <v>312</v>
      </c>
      <c r="E6" s="75">
        <v>2.5999999999999999E-2</v>
      </c>
      <c r="F6" s="99">
        <f t="shared" ref="F6:F65" si="0">(C6*E6)/12</f>
        <v>864.31583333333322</v>
      </c>
    </row>
    <row r="7" spans="1:7" x14ac:dyDescent="0.25">
      <c r="A7" s="97">
        <v>2005</v>
      </c>
      <c r="B7" s="72" t="s">
        <v>189</v>
      </c>
      <c r="C7" s="74">
        <v>436130.89</v>
      </c>
      <c r="D7" s="101">
        <v>312</v>
      </c>
      <c r="E7" s="75">
        <v>2.5999999999999999E-2</v>
      </c>
      <c r="F7" s="76">
        <f t="shared" si="0"/>
        <v>944.95026166666673</v>
      </c>
      <c r="G7" s="77"/>
    </row>
    <row r="8" spans="1:7" x14ac:dyDescent="0.25">
      <c r="A8" s="97">
        <v>2005</v>
      </c>
      <c r="B8" s="72" t="s">
        <v>229</v>
      </c>
      <c r="C8" s="74">
        <v>3043828.7199999997</v>
      </c>
      <c r="D8" s="101">
        <v>355</v>
      </c>
      <c r="E8" s="75">
        <v>2.3400000000000001E-2</v>
      </c>
      <c r="F8" s="76">
        <f t="shared" si="0"/>
        <v>5935.466003999999</v>
      </c>
    </row>
    <row r="9" spans="1:7" x14ac:dyDescent="0.25">
      <c r="A9" s="97">
        <v>2005</v>
      </c>
      <c r="B9" s="72" t="s">
        <v>229</v>
      </c>
      <c r="C9" s="74">
        <v>2879512.19</v>
      </c>
      <c r="D9" s="101">
        <v>356</v>
      </c>
      <c r="E9" s="75">
        <v>1.9400000000000001E-2</v>
      </c>
      <c r="F9" s="76">
        <f t="shared" si="0"/>
        <v>4655.2113738333328</v>
      </c>
    </row>
    <row r="10" spans="1:7" x14ac:dyDescent="0.25">
      <c r="A10" s="97">
        <v>2005</v>
      </c>
      <c r="B10" s="72" t="s">
        <v>171</v>
      </c>
      <c r="C10" s="74">
        <v>1606687.43</v>
      </c>
      <c r="D10" s="101">
        <v>312</v>
      </c>
      <c r="E10" s="75">
        <v>3.2500000000000001E-2</v>
      </c>
      <c r="F10" s="76">
        <f t="shared" si="0"/>
        <v>4351.4451229166671</v>
      </c>
    </row>
    <row r="11" spans="1:7" x14ac:dyDescent="0.25">
      <c r="A11" s="97">
        <v>2005</v>
      </c>
      <c r="B11" s="72" t="s">
        <v>174</v>
      </c>
      <c r="C11" s="74">
        <v>1397099.04</v>
      </c>
      <c r="D11" s="101">
        <v>312</v>
      </c>
      <c r="E11" s="75">
        <v>2.98E-2</v>
      </c>
      <c r="F11" s="76">
        <f t="shared" si="0"/>
        <v>3469.4626160000003</v>
      </c>
    </row>
    <row r="12" spans="1:7" x14ac:dyDescent="0.25">
      <c r="A12" s="97">
        <v>2005</v>
      </c>
      <c r="B12" s="72" t="s">
        <v>174</v>
      </c>
      <c r="C12" s="74">
        <v>166696.69</v>
      </c>
      <c r="D12" s="101">
        <v>315</v>
      </c>
      <c r="E12" s="75">
        <v>2.1999999999999999E-2</v>
      </c>
      <c r="F12" s="76">
        <f t="shared" si="0"/>
        <v>305.61059833333331</v>
      </c>
    </row>
    <row r="13" spans="1:7" x14ac:dyDescent="0.25">
      <c r="A13" s="97">
        <v>2005</v>
      </c>
      <c r="B13" s="72" t="s">
        <v>175</v>
      </c>
      <c r="C13" s="74">
        <v>27653977.66</v>
      </c>
      <c r="D13" s="101">
        <v>312</v>
      </c>
      <c r="E13" s="75">
        <v>2.6700000000000002E-2</v>
      </c>
      <c r="F13" s="76">
        <f t="shared" si="0"/>
        <v>61530.1002935</v>
      </c>
    </row>
    <row r="14" spans="1:7" x14ac:dyDescent="0.25">
      <c r="A14" s="97">
        <v>2005</v>
      </c>
      <c r="B14" s="72" t="s">
        <v>175</v>
      </c>
      <c r="C14" s="74">
        <v>691222.1</v>
      </c>
      <c r="D14" s="101">
        <v>315</v>
      </c>
      <c r="E14" s="75">
        <v>1.49E-2</v>
      </c>
      <c r="F14" s="76">
        <f t="shared" si="0"/>
        <v>858.26744083333324</v>
      </c>
    </row>
    <row r="15" spans="1:7" x14ac:dyDescent="0.25">
      <c r="A15" s="97">
        <v>2005</v>
      </c>
      <c r="B15" s="73" t="s">
        <v>184</v>
      </c>
      <c r="C15" s="74">
        <v>127217232.63</v>
      </c>
      <c r="D15" s="101">
        <v>312</v>
      </c>
      <c r="E15" s="75">
        <v>3.7400000000000003E-2</v>
      </c>
      <c r="F15" s="76">
        <f t="shared" si="0"/>
        <v>396493.70836350002</v>
      </c>
    </row>
    <row r="16" spans="1:7" x14ac:dyDescent="0.25">
      <c r="A16" s="97">
        <v>2005</v>
      </c>
      <c r="B16" s="73" t="s">
        <v>184</v>
      </c>
      <c r="C16" s="74">
        <v>11993351.470000001</v>
      </c>
      <c r="D16" s="101">
        <v>315</v>
      </c>
      <c r="E16" s="75">
        <v>3.7499999999999999E-2</v>
      </c>
      <c r="F16" s="76">
        <f t="shared" si="0"/>
        <v>37479.223343750004</v>
      </c>
    </row>
    <row r="17" spans="1:6" x14ac:dyDescent="0.25">
      <c r="A17" s="97">
        <v>2005</v>
      </c>
      <c r="B17" s="73" t="s">
        <v>184</v>
      </c>
      <c r="C17" s="74">
        <v>69178</v>
      </c>
      <c r="D17" s="101">
        <v>392.1</v>
      </c>
      <c r="E17" s="75">
        <v>2.4400000000000002E-2</v>
      </c>
      <c r="F17" s="76">
        <f t="shared" si="0"/>
        <v>140.66193333333334</v>
      </c>
    </row>
    <row r="18" spans="1:6" x14ac:dyDescent="0.25">
      <c r="A18" s="97">
        <v>2005</v>
      </c>
      <c r="B18" s="73" t="s">
        <v>208</v>
      </c>
      <c r="C18" s="74">
        <v>7103212.7000000002</v>
      </c>
      <c r="D18" s="101">
        <v>311</v>
      </c>
      <c r="E18" s="75">
        <v>2.4799999999999999E-2</v>
      </c>
      <c r="F18" s="76">
        <f t="shared" si="0"/>
        <v>14679.972913333333</v>
      </c>
    </row>
    <row r="19" spans="1:6" x14ac:dyDescent="0.25">
      <c r="A19" s="97">
        <v>2005</v>
      </c>
      <c r="B19" s="73" t="s">
        <v>178</v>
      </c>
      <c r="C19" s="74">
        <v>25186670.800000001</v>
      </c>
      <c r="D19" s="101">
        <v>312</v>
      </c>
      <c r="E19" s="75">
        <v>2.93E-2</v>
      </c>
      <c r="F19" s="76">
        <f t="shared" si="0"/>
        <v>61497.454536666664</v>
      </c>
    </row>
    <row r="20" spans="1:6" x14ac:dyDescent="0.25">
      <c r="A20" s="97">
        <v>2005</v>
      </c>
      <c r="B20" s="73" t="s">
        <v>179</v>
      </c>
      <c r="C20" s="74">
        <v>115281172.63</v>
      </c>
      <c r="D20" s="101">
        <v>312</v>
      </c>
      <c r="E20" s="75">
        <v>2.4299999999999999E-2</v>
      </c>
      <c r="F20" s="76">
        <f t="shared" si="0"/>
        <v>233444.37457574997</v>
      </c>
    </row>
    <row r="21" spans="1:6" x14ac:dyDescent="0.25">
      <c r="A21" s="97">
        <v>2005</v>
      </c>
      <c r="B21" s="73" t="s">
        <v>179</v>
      </c>
      <c r="C21" s="74">
        <v>9068617.2799999993</v>
      </c>
      <c r="D21" s="101">
        <v>315</v>
      </c>
      <c r="E21" s="75">
        <v>3.8899999999999997E-2</v>
      </c>
      <c r="F21" s="76">
        <f t="shared" si="0"/>
        <v>29397.434349333329</v>
      </c>
    </row>
    <row r="22" spans="1:6" x14ac:dyDescent="0.25">
      <c r="A22" s="97">
        <v>2005</v>
      </c>
      <c r="B22" s="73" t="s">
        <v>180</v>
      </c>
      <c r="C22" s="74">
        <v>28103907.640000001</v>
      </c>
      <c r="D22" s="101">
        <v>312</v>
      </c>
      <c r="E22" s="75">
        <v>1.8100000000000002E-2</v>
      </c>
      <c r="F22" s="76">
        <f t="shared" si="0"/>
        <v>42390.060690333339</v>
      </c>
    </row>
    <row r="23" spans="1:6" x14ac:dyDescent="0.25">
      <c r="A23" s="97">
        <v>2005</v>
      </c>
      <c r="B23" s="73" t="s">
        <v>183</v>
      </c>
      <c r="C23" s="74">
        <v>8916082.7899999954</v>
      </c>
      <c r="D23" s="101">
        <v>312</v>
      </c>
      <c r="E23" s="75">
        <v>2.4299999999999999E-2</v>
      </c>
      <c r="F23" s="76">
        <f t="shared" si="0"/>
        <v>18055.067649749992</v>
      </c>
    </row>
    <row r="24" spans="1:6" x14ac:dyDescent="0.25">
      <c r="A24" s="97">
        <v>2005</v>
      </c>
      <c r="B24" s="73" t="s">
        <v>183</v>
      </c>
      <c r="C24" s="74">
        <v>938695.79999999993</v>
      </c>
      <c r="D24" s="101">
        <v>315</v>
      </c>
      <c r="E24" s="75">
        <v>4.7E-2</v>
      </c>
      <c r="F24" s="76">
        <f t="shared" si="0"/>
        <v>3676.5585499999997</v>
      </c>
    </row>
    <row r="25" spans="1:6" x14ac:dyDescent="0.25">
      <c r="A25" s="97">
        <v>2005</v>
      </c>
      <c r="B25" s="72" t="s">
        <v>181</v>
      </c>
      <c r="C25" s="74">
        <v>183430.63</v>
      </c>
      <c r="D25" s="101">
        <v>312</v>
      </c>
      <c r="E25" s="75">
        <v>1.8100000000000002E-2</v>
      </c>
      <c r="F25" s="76">
        <f t="shared" si="0"/>
        <v>276.67453358333336</v>
      </c>
    </row>
    <row r="26" spans="1:6" x14ac:dyDescent="0.25">
      <c r="A26" s="97">
        <v>2005</v>
      </c>
      <c r="B26" s="73" t="s">
        <v>188</v>
      </c>
      <c r="C26" s="74">
        <v>42504952.57</v>
      </c>
      <c r="D26" s="101">
        <v>312</v>
      </c>
      <c r="E26" s="75">
        <v>2.5999999999999999E-2</v>
      </c>
      <c r="F26" s="76">
        <f t="shared" si="0"/>
        <v>92094.063901666668</v>
      </c>
    </row>
    <row r="27" spans="1:6" x14ac:dyDescent="0.25">
      <c r="A27" s="97">
        <v>2005</v>
      </c>
      <c r="B27" s="73" t="s">
        <v>187</v>
      </c>
      <c r="C27" s="74">
        <v>134068516.84</v>
      </c>
      <c r="D27" s="101">
        <v>312</v>
      </c>
      <c r="E27" s="75">
        <v>3.8300000000000001E-2</v>
      </c>
      <c r="F27" s="76">
        <f t="shared" si="0"/>
        <v>427902.01624766667</v>
      </c>
    </row>
    <row r="28" spans="1:6" x14ac:dyDescent="0.25">
      <c r="A28" s="97">
        <v>2005</v>
      </c>
      <c r="B28" s="73" t="s">
        <v>182</v>
      </c>
      <c r="C28" s="74">
        <v>179584.08000000002</v>
      </c>
      <c r="D28" s="101">
        <v>312</v>
      </c>
      <c r="E28" s="75">
        <v>1.8100000000000002E-2</v>
      </c>
      <c r="F28" s="76">
        <f t="shared" si="0"/>
        <v>270.87265400000007</v>
      </c>
    </row>
    <row r="29" spans="1:6" x14ac:dyDescent="0.25">
      <c r="A29" s="97">
        <v>2005</v>
      </c>
      <c r="B29" s="73" t="s">
        <v>186</v>
      </c>
      <c r="C29" s="74">
        <v>14562.76</v>
      </c>
      <c r="D29" s="101">
        <v>311</v>
      </c>
      <c r="E29" s="75">
        <v>2.4799999999999999E-2</v>
      </c>
      <c r="F29" s="76">
        <f t="shared" si="0"/>
        <v>30.096370666666669</v>
      </c>
    </row>
    <row r="30" spans="1:6" x14ac:dyDescent="0.25">
      <c r="A30" s="97">
        <v>2005</v>
      </c>
      <c r="B30" s="73" t="s">
        <v>186</v>
      </c>
      <c r="C30" s="74">
        <v>3484937.69</v>
      </c>
      <c r="D30" s="101">
        <v>312</v>
      </c>
      <c r="E30" s="75">
        <v>2.5999999999999999E-2</v>
      </c>
      <c r="F30" s="76">
        <f t="shared" si="0"/>
        <v>7550.6983283333329</v>
      </c>
    </row>
    <row r="31" spans="1:6" x14ac:dyDescent="0.25">
      <c r="A31" s="97">
        <v>2005</v>
      </c>
      <c r="B31" s="72" t="s">
        <v>190</v>
      </c>
      <c r="C31" s="74">
        <v>131082564.27000001</v>
      </c>
      <c r="D31" s="101">
        <v>312</v>
      </c>
      <c r="E31" s="75">
        <v>3.8300000000000001E-2</v>
      </c>
      <c r="F31" s="76">
        <f t="shared" si="0"/>
        <v>418371.85096175008</v>
      </c>
    </row>
    <row r="32" spans="1:6" x14ac:dyDescent="0.25">
      <c r="A32" s="97">
        <v>2005</v>
      </c>
      <c r="B32" s="72" t="s">
        <v>190</v>
      </c>
      <c r="C32" s="74">
        <v>425132.4</v>
      </c>
      <c r="D32" s="101">
        <v>315</v>
      </c>
      <c r="E32" s="75">
        <v>3.8600000000000002E-2</v>
      </c>
      <c r="F32" s="76">
        <f t="shared" si="0"/>
        <v>1367.5092200000001</v>
      </c>
    </row>
    <row r="33" spans="1:6" x14ac:dyDescent="0.25">
      <c r="A33" s="97">
        <v>2005</v>
      </c>
      <c r="B33" s="72" t="s">
        <v>173</v>
      </c>
      <c r="C33" s="74">
        <v>3225806.5</v>
      </c>
      <c r="D33" s="101">
        <v>312</v>
      </c>
      <c r="E33" s="75">
        <v>3.2500000000000001E-2</v>
      </c>
      <c r="F33" s="76">
        <f t="shared" si="0"/>
        <v>8736.5592708333334</v>
      </c>
    </row>
    <row r="34" spans="1:6" x14ac:dyDescent="0.25">
      <c r="A34" s="97">
        <v>2005</v>
      </c>
      <c r="B34" s="72" t="s">
        <v>172</v>
      </c>
      <c r="C34" s="74">
        <v>43642101.129999995</v>
      </c>
      <c r="D34" s="101">
        <v>311</v>
      </c>
      <c r="E34" s="75">
        <v>4.58E-2</v>
      </c>
      <c r="F34" s="76">
        <f t="shared" si="0"/>
        <v>166567.35264616666</v>
      </c>
    </row>
    <row r="35" spans="1:6" x14ac:dyDescent="0.25">
      <c r="A35" s="97">
        <v>2005</v>
      </c>
      <c r="B35" s="72" t="s">
        <v>172</v>
      </c>
      <c r="C35" s="74">
        <v>324858623.81</v>
      </c>
      <c r="D35" s="101">
        <v>312</v>
      </c>
      <c r="E35" s="75">
        <v>4.58E-2</v>
      </c>
      <c r="F35" s="76">
        <f t="shared" si="0"/>
        <v>1239877.0808748333</v>
      </c>
    </row>
    <row r="36" spans="1:6" x14ac:dyDescent="0.25">
      <c r="A36" s="97">
        <v>2005</v>
      </c>
      <c r="B36" s="72" t="s">
        <v>172</v>
      </c>
      <c r="C36" s="74">
        <v>29318994.369999997</v>
      </c>
      <c r="D36" s="101">
        <v>315</v>
      </c>
      <c r="E36" s="75">
        <v>4.5499999999999999E-2</v>
      </c>
      <c r="F36" s="76">
        <f t="shared" si="0"/>
        <v>111167.85365291666</v>
      </c>
    </row>
    <row r="37" spans="1:6" x14ac:dyDescent="0.25">
      <c r="A37" s="97">
        <v>2005</v>
      </c>
      <c r="B37" s="72" t="s">
        <v>177</v>
      </c>
      <c r="C37" s="74">
        <v>659435.91</v>
      </c>
      <c r="D37" s="101">
        <v>312</v>
      </c>
      <c r="E37" s="75">
        <v>2.98E-2</v>
      </c>
      <c r="F37" s="76">
        <f t="shared" si="0"/>
        <v>1637.5991765000001</v>
      </c>
    </row>
    <row r="38" spans="1:6" x14ac:dyDescent="0.25">
      <c r="A38" s="97">
        <v>2005</v>
      </c>
      <c r="B38" s="72" t="s">
        <v>176</v>
      </c>
      <c r="C38" s="74">
        <v>33196610.450000003</v>
      </c>
      <c r="D38" s="101">
        <v>312</v>
      </c>
      <c r="E38" s="75">
        <v>2.6700000000000002E-2</v>
      </c>
      <c r="F38" s="76">
        <f t="shared" si="0"/>
        <v>73862.45825125002</v>
      </c>
    </row>
    <row r="39" spans="1:6" x14ac:dyDescent="0.25">
      <c r="A39" s="97">
        <v>2005</v>
      </c>
      <c r="B39" s="72" t="s">
        <v>185</v>
      </c>
      <c r="C39" s="74">
        <v>227102.8</v>
      </c>
      <c r="D39" s="101">
        <v>312</v>
      </c>
      <c r="E39" s="75">
        <v>3.7400000000000003E-2</v>
      </c>
      <c r="F39" s="76">
        <f t="shared" si="0"/>
        <v>707.80372666666665</v>
      </c>
    </row>
    <row r="40" spans="1:6" x14ac:dyDescent="0.25">
      <c r="A40" s="97">
        <v>2005</v>
      </c>
      <c r="B40" s="72" t="s">
        <v>191</v>
      </c>
      <c r="C40" s="74">
        <v>258547.46</v>
      </c>
      <c r="D40" s="101">
        <v>312</v>
      </c>
      <c r="E40" s="75">
        <v>3.8300000000000001E-2</v>
      </c>
      <c r="F40" s="76">
        <f t="shared" si="0"/>
        <v>825.19730983333329</v>
      </c>
    </row>
    <row r="41" spans="1:6" x14ac:dyDescent="0.25">
      <c r="A41" s="97"/>
      <c r="B41" s="94" t="s">
        <v>209</v>
      </c>
      <c r="C41" s="95"/>
      <c r="D41" s="98"/>
      <c r="E41" s="96"/>
      <c r="F41" s="100">
        <f>SUM(F6:F40)</f>
        <v>3471415.033576834</v>
      </c>
    </row>
    <row r="42" spans="1:6" x14ac:dyDescent="0.25">
      <c r="A42" s="97">
        <v>2006</v>
      </c>
      <c r="B42" s="72" t="s">
        <v>203</v>
      </c>
      <c r="C42" s="99">
        <v>737597.72</v>
      </c>
      <c r="D42" s="104">
        <v>311</v>
      </c>
      <c r="E42" s="75">
        <v>1.3599999999999999E-2</v>
      </c>
      <c r="F42" s="99">
        <f t="shared" si="0"/>
        <v>835.94408266666653</v>
      </c>
    </row>
    <row r="43" spans="1:6" x14ac:dyDescent="0.25">
      <c r="A43" s="97">
        <v>2006</v>
      </c>
      <c r="B43" s="72" t="s">
        <v>203</v>
      </c>
      <c r="C43" s="74">
        <v>179059507.17999998</v>
      </c>
      <c r="D43" s="104">
        <v>312</v>
      </c>
      <c r="E43" s="75">
        <v>2.06E-2</v>
      </c>
      <c r="F43" s="76">
        <f t="shared" si="0"/>
        <v>307385.48732566665</v>
      </c>
    </row>
    <row r="44" spans="1:6" x14ac:dyDescent="0.25">
      <c r="A44" s="97">
        <v>2006</v>
      </c>
      <c r="B44" s="72" t="s">
        <v>203</v>
      </c>
      <c r="C44" s="74">
        <v>6503629.5200000005</v>
      </c>
      <c r="D44" s="104">
        <v>315</v>
      </c>
      <c r="E44" s="75">
        <v>1.5599999999999999E-2</v>
      </c>
      <c r="F44" s="76">
        <f t="shared" si="0"/>
        <v>8454.7183760000007</v>
      </c>
    </row>
    <row r="45" spans="1:6" x14ac:dyDescent="0.25">
      <c r="A45" s="97">
        <v>2006</v>
      </c>
      <c r="B45" s="72" t="s">
        <v>204</v>
      </c>
      <c r="C45" s="74">
        <v>2117592.5100000002</v>
      </c>
      <c r="D45" s="104">
        <v>312</v>
      </c>
      <c r="E45" s="75">
        <v>2.06E-2</v>
      </c>
      <c r="F45" s="76">
        <f t="shared" si="0"/>
        <v>3635.2004755000003</v>
      </c>
    </row>
    <row r="46" spans="1:6" x14ac:dyDescent="0.25">
      <c r="A46" s="97">
        <v>2006</v>
      </c>
      <c r="B46" s="72" t="s">
        <v>195</v>
      </c>
      <c r="C46" s="74">
        <v>643507.31999999995</v>
      </c>
      <c r="D46" s="104">
        <v>311</v>
      </c>
      <c r="E46" s="75">
        <v>5.8999999999999999E-3</v>
      </c>
      <c r="F46" s="76">
        <f t="shared" si="0"/>
        <v>316.391099</v>
      </c>
    </row>
    <row r="47" spans="1:6" x14ac:dyDescent="0.25">
      <c r="A47" s="97">
        <v>2006</v>
      </c>
      <c r="B47" s="72" t="s">
        <v>195</v>
      </c>
      <c r="C47" s="74">
        <v>3719591.72</v>
      </c>
      <c r="D47" s="104">
        <v>312</v>
      </c>
      <c r="E47" s="75">
        <v>2.93E-2</v>
      </c>
      <c r="F47" s="76">
        <f t="shared" si="0"/>
        <v>9082.0031163333333</v>
      </c>
    </row>
    <row r="48" spans="1:6" x14ac:dyDescent="0.25">
      <c r="A48" s="97">
        <v>2006</v>
      </c>
      <c r="B48" s="72" t="s">
        <v>196</v>
      </c>
      <c r="C48" s="74">
        <v>641065.39</v>
      </c>
      <c r="D48" s="104">
        <v>311</v>
      </c>
      <c r="E48" s="75">
        <v>1.5900000000000001E-2</v>
      </c>
      <c r="F48" s="76">
        <f t="shared" si="0"/>
        <v>849.41164175000006</v>
      </c>
    </row>
    <row r="49" spans="1:6" x14ac:dyDescent="0.25">
      <c r="A49" s="97">
        <v>2006</v>
      </c>
      <c r="B49" s="72" t="s">
        <v>196</v>
      </c>
      <c r="C49" s="74">
        <v>3708453.9899999998</v>
      </c>
      <c r="D49" s="104">
        <v>312</v>
      </c>
      <c r="E49" s="75">
        <v>2.3099999999999999E-2</v>
      </c>
      <c r="F49" s="76">
        <f t="shared" si="0"/>
        <v>7138.7739307499987</v>
      </c>
    </row>
    <row r="50" spans="1:6" x14ac:dyDescent="0.25">
      <c r="A50" s="97">
        <v>2006</v>
      </c>
      <c r="B50" s="72" t="s">
        <v>198</v>
      </c>
      <c r="C50" s="74">
        <v>579887.02</v>
      </c>
      <c r="D50" s="104">
        <v>311</v>
      </c>
      <c r="E50" s="75">
        <v>2.4799999999999999E-2</v>
      </c>
      <c r="F50" s="76">
        <f t="shared" si="0"/>
        <v>1198.4331746666667</v>
      </c>
    </row>
    <row r="51" spans="1:6" x14ac:dyDescent="0.25">
      <c r="A51" s="97">
        <v>2006</v>
      </c>
      <c r="B51" s="72" t="s">
        <v>198</v>
      </c>
      <c r="C51" s="74">
        <v>3458766.49</v>
      </c>
      <c r="D51" s="104">
        <v>312</v>
      </c>
      <c r="E51" s="75">
        <v>2.5999999999999999E-2</v>
      </c>
      <c r="F51" s="76">
        <f t="shared" si="0"/>
        <v>7493.9940616666672</v>
      </c>
    </row>
    <row r="52" spans="1:6" x14ac:dyDescent="0.25">
      <c r="A52" s="97">
        <v>2006</v>
      </c>
      <c r="B52" s="73" t="s">
        <v>207</v>
      </c>
      <c r="C52" s="74">
        <v>203561.29</v>
      </c>
      <c r="D52" s="104">
        <v>312</v>
      </c>
      <c r="E52" s="75">
        <v>2.5999999999999999E-2</v>
      </c>
      <c r="F52" s="76">
        <f t="shared" si="0"/>
        <v>441.04946166666667</v>
      </c>
    </row>
    <row r="53" spans="1:6" x14ac:dyDescent="0.25">
      <c r="A53" s="97">
        <v>2006</v>
      </c>
      <c r="B53" s="72" t="s">
        <v>228</v>
      </c>
      <c r="C53" s="74">
        <v>115540</v>
      </c>
      <c r="D53" s="104">
        <v>391.2</v>
      </c>
      <c r="E53" s="75">
        <v>0.21579999999999999</v>
      </c>
      <c r="F53" s="76">
        <f t="shared" si="0"/>
        <v>2077.7943333333333</v>
      </c>
    </row>
    <row r="54" spans="1:6" x14ac:dyDescent="0.25">
      <c r="A54" s="97">
        <v>2006</v>
      </c>
      <c r="B54" s="72" t="s">
        <v>192</v>
      </c>
      <c r="C54" s="74">
        <v>195935.18</v>
      </c>
      <c r="D54" s="104">
        <v>312</v>
      </c>
      <c r="E54" s="75">
        <v>2.6700000000000002E-2</v>
      </c>
      <c r="F54" s="76">
        <f t="shared" si="0"/>
        <v>435.95577550000002</v>
      </c>
    </row>
    <row r="55" spans="1:6" x14ac:dyDescent="0.25">
      <c r="A55" s="97">
        <v>2006</v>
      </c>
      <c r="B55" s="72" t="s">
        <v>199</v>
      </c>
      <c r="C55" s="74">
        <v>127777.19</v>
      </c>
      <c r="D55" s="104">
        <v>312</v>
      </c>
      <c r="E55" s="75">
        <v>2.93E-2</v>
      </c>
      <c r="F55" s="76">
        <f t="shared" si="0"/>
        <v>311.98930558333331</v>
      </c>
    </row>
    <row r="56" spans="1:6" x14ac:dyDescent="0.25">
      <c r="A56" s="97">
        <v>2006</v>
      </c>
      <c r="B56" s="72" t="s">
        <v>197</v>
      </c>
      <c r="C56" s="74">
        <v>127777.19</v>
      </c>
      <c r="D56" s="104">
        <v>312</v>
      </c>
      <c r="E56" s="75">
        <v>2.3099999999999999E-2</v>
      </c>
      <c r="F56" s="76">
        <f t="shared" si="0"/>
        <v>245.97109075</v>
      </c>
    </row>
    <row r="57" spans="1:6" x14ac:dyDescent="0.25">
      <c r="A57" s="97">
        <v>2006</v>
      </c>
      <c r="B57" s="72" t="s">
        <v>200</v>
      </c>
      <c r="C57" s="74">
        <v>173056.35</v>
      </c>
      <c r="D57" s="104">
        <v>312</v>
      </c>
      <c r="E57" s="75">
        <v>2.5999999999999999E-2</v>
      </c>
      <c r="F57" s="76">
        <f t="shared" si="0"/>
        <v>374.95542500000005</v>
      </c>
    </row>
    <row r="58" spans="1:6" x14ac:dyDescent="0.25">
      <c r="A58" s="97">
        <v>2006</v>
      </c>
      <c r="B58" s="72" t="s">
        <v>201</v>
      </c>
      <c r="C58" s="74">
        <v>127777.2</v>
      </c>
      <c r="D58" s="104">
        <v>312</v>
      </c>
      <c r="E58" s="75">
        <v>7.5899999999999995E-2</v>
      </c>
      <c r="F58" s="76">
        <f t="shared" si="0"/>
        <v>808.19078999999999</v>
      </c>
    </row>
    <row r="59" spans="1:6" x14ac:dyDescent="0.25">
      <c r="A59" s="97">
        <v>2006</v>
      </c>
      <c r="B59" s="72" t="s">
        <v>202</v>
      </c>
      <c r="C59" s="74">
        <v>145940.85</v>
      </c>
      <c r="D59" s="104">
        <v>312</v>
      </c>
      <c r="E59" s="75">
        <v>7.5700000000000003E-2</v>
      </c>
      <c r="F59" s="76">
        <f t="shared" si="0"/>
        <v>920.64352874999997</v>
      </c>
    </row>
    <row r="60" spans="1:6" x14ac:dyDescent="0.25">
      <c r="A60" s="97">
        <v>2006</v>
      </c>
      <c r="B60" s="72" t="s">
        <v>205</v>
      </c>
      <c r="C60" s="74">
        <v>18148.59</v>
      </c>
      <c r="D60" s="104">
        <v>312</v>
      </c>
      <c r="E60" s="75">
        <v>7.7399999999999997E-2</v>
      </c>
      <c r="F60" s="76">
        <f t="shared" si="0"/>
        <v>117.05840549999999</v>
      </c>
    </row>
    <row r="61" spans="1:6" x14ac:dyDescent="0.25">
      <c r="A61" s="97">
        <v>2006</v>
      </c>
      <c r="B61" s="72" t="s">
        <v>206</v>
      </c>
      <c r="C61" s="74">
        <v>46715.34</v>
      </c>
      <c r="D61" s="104">
        <v>312</v>
      </c>
      <c r="E61" s="75">
        <v>2.6700000000000002E-2</v>
      </c>
      <c r="F61" s="76">
        <f t="shared" si="0"/>
        <v>103.94163149999999</v>
      </c>
    </row>
    <row r="62" spans="1:6" x14ac:dyDescent="0.25">
      <c r="A62" s="97">
        <v>2006</v>
      </c>
      <c r="B62" s="72" t="s">
        <v>193</v>
      </c>
      <c r="C62" s="74">
        <v>1302449.83</v>
      </c>
      <c r="D62" s="104">
        <v>312</v>
      </c>
      <c r="E62" s="75">
        <v>2.98E-2</v>
      </c>
      <c r="F62" s="76">
        <f t="shared" si="0"/>
        <v>3234.4170778333337</v>
      </c>
    </row>
    <row r="63" spans="1:6" x14ac:dyDescent="0.25">
      <c r="A63" s="97"/>
      <c r="B63" s="94" t="s">
        <v>210</v>
      </c>
      <c r="C63" s="95"/>
      <c r="D63" s="103"/>
      <c r="E63" s="96"/>
      <c r="F63" s="100">
        <f>SUM(F42:F62)</f>
        <v>355462.32410941669</v>
      </c>
    </row>
    <row r="64" spans="1:6" x14ac:dyDescent="0.25">
      <c r="A64" s="97">
        <v>2009</v>
      </c>
      <c r="B64" s="72" t="s">
        <v>194</v>
      </c>
      <c r="C64" s="99">
        <v>7184578.8600000003</v>
      </c>
      <c r="D64" s="107">
        <v>311</v>
      </c>
      <c r="E64" s="75">
        <v>1.9E-2</v>
      </c>
      <c r="F64" s="99">
        <f t="shared" si="0"/>
        <v>11375.583194999999</v>
      </c>
    </row>
    <row r="65" spans="1:6" x14ac:dyDescent="0.25">
      <c r="A65" s="97">
        <v>2009</v>
      </c>
      <c r="B65" s="72" t="s">
        <v>194</v>
      </c>
      <c r="C65" s="74">
        <v>1917890.24</v>
      </c>
      <c r="D65" s="107">
        <v>312</v>
      </c>
      <c r="E65" s="75">
        <v>2.1899999999999999E-2</v>
      </c>
      <c r="F65" s="76">
        <f t="shared" si="0"/>
        <v>3500.149688</v>
      </c>
    </row>
    <row r="66" spans="1:6" x14ac:dyDescent="0.25">
      <c r="B66" s="94" t="s">
        <v>211</v>
      </c>
      <c r="C66" s="95"/>
      <c r="D66" s="103"/>
      <c r="E66" s="96"/>
      <c r="F66" s="100">
        <f>F64+F65</f>
        <v>14875.732882999999</v>
      </c>
    </row>
    <row r="67" spans="1:6" x14ac:dyDescent="0.25">
      <c r="A67" s="102"/>
      <c r="B67" s="41"/>
      <c r="C67" s="61"/>
      <c r="D67" s="102"/>
      <c r="E67" s="92"/>
      <c r="F67" s="93"/>
    </row>
  </sheetData>
  <mergeCells count="3">
    <mergeCell ref="A1:F1"/>
    <mergeCell ref="A2:F2"/>
    <mergeCell ref="A3:F3"/>
  </mergeCells>
  <conditionalFormatting sqref="B64:B65 B42:B62 E50:E67 E35:E43 E5:E22 C10:C16 C21 C27:C34 B5:B40 C36:C67 B68:B65494">
    <cfRule type="cellIs" dxfId="0" priority="4" stopIfTrue="1" operator="equal">
      <formula>0</formula>
    </cfRule>
  </conditionalFormatting>
  <printOptions horizontalCentered="1"/>
  <pageMargins left="1.25" right="0.45" top="0.75" bottom="0.5" header="0.3" footer="0.3"/>
  <pageSetup scale="61" orientation="portrait" r:id="rId1"/>
  <headerFooter>
    <oddHeader>&amp;R&amp;"Times New Roman,Bold"&amp;12Attachment to Response to KU PSC-2 Question No. 49(b)
Page &amp;P of &amp;N
Charnas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1.12KU</vt:lpstr>
      <vt:lpstr>KU Annual Depr</vt:lpstr>
      <vt:lpstr>ECR Annual Depr</vt:lpstr>
      <vt:lpstr>ECR Depreciation</vt:lpstr>
      <vt:lpstr>'ECR Depreciation'!Print_Titles</vt:lpstr>
      <vt:lpstr>'KU Annual Depr'!Print_Titles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2012-09-19T13:52:33Z</dcterms:created>
  <dcterms:modified xsi:type="dcterms:W3CDTF">2012-09-19T13:52:52Z</dcterms:modified>
</cp:coreProperties>
</file>