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7200" windowHeight="5070"/>
  </bookViews>
  <sheets>
    <sheet name="KIUC 2.15(003)" sheetId="1" r:id="rId1"/>
    <sheet name="KIUC 2.15(004)" sheetId="21" r:id="rId2"/>
    <sheet name="KIUC 2.15(005)" sheetId="3" r:id="rId3"/>
    <sheet name="KIUC 2.15(006)" sheetId="4" r:id="rId4"/>
    <sheet name="KIUC 2.15(007)" sheetId="5" r:id="rId5"/>
    <sheet name="KIUC 2.15(008)" sheetId="6" r:id="rId6"/>
    <sheet name="KIUC 2.15(009)" sheetId="7" r:id="rId7"/>
    <sheet name="KIUC 2.15(010)" sheetId="8" r:id="rId8"/>
    <sheet name="KIUC 2.15(011)" sheetId="9" r:id="rId9"/>
    <sheet name="KIUC 2.15(012)" sheetId="10" r:id="rId10"/>
    <sheet name="KIUC 2.15(013)" sheetId="11" r:id="rId11"/>
    <sheet name="KIUC 2.15(014)" sheetId="12" r:id="rId12"/>
    <sheet name="KIUC 2.15(015)" sheetId="13" r:id="rId13"/>
    <sheet name="KIUC 2.15(016)" sheetId="14" r:id="rId14"/>
    <sheet name="KIUC 2.15(017)" sheetId="15" r:id="rId15"/>
    <sheet name="KIUC 2.15(018)" sheetId="16" r:id="rId16"/>
    <sheet name="KIUC 2.15(019)" sheetId="17" r:id="rId17"/>
    <sheet name="KIUC 2.15(020)" sheetId="18" r:id="rId18"/>
    <sheet name="KIUC 2.15(021)" sheetId="19" r:id="rId19"/>
  </sheets>
  <externalReferences>
    <externalReference r:id="rId20"/>
  </externalReferences>
  <definedNames>
    <definedName name="JE_Name_10" localSheetId="3">#REF!</definedName>
    <definedName name="JE_Name_10" localSheetId="4">#REF!</definedName>
    <definedName name="JE_Name_10" localSheetId="9">#REF!</definedName>
    <definedName name="JE_Name_10" localSheetId="10">#REF!</definedName>
    <definedName name="JE_Name_10" localSheetId="15">#REF!</definedName>
    <definedName name="JE_Name_10" localSheetId="16">#REF!</definedName>
    <definedName name="JE_Name_10">#REF!</definedName>
    <definedName name="JE_Name_11" localSheetId="3">#REF!</definedName>
    <definedName name="JE_Name_11" localSheetId="4">#REF!</definedName>
    <definedName name="JE_Name_11" localSheetId="9">#REF!</definedName>
    <definedName name="JE_Name_11" localSheetId="10">#REF!</definedName>
    <definedName name="JE_Name_11" localSheetId="15">#REF!</definedName>
    <definedName name="JE_Name_11" localSheetId="16">#REF!</definedName>
    <definedName name="JE_Name_11">#REF!</definedName>
    <definedName name="JE_Name_12" localSheetId="3">#REF!</definedName>
    <definedName name="JE_Name_12" localSheetId="4">#REF!</definedName>
    <definedName name="JE_Name_12" localSheetId="9">#REF!</definedName>
    <definedName name="JE_Name_12" localSheetId="10">#REF!</definedName>
    <definedName name="JE_Name_12" localSheetId="15">#REF!</definedName>
    <definedName name="JE_Name_12" localSheetId="16">#REF!</definedName>
    <definedName name="JE_Name_12">#REF!</definedName>
    <definedName name="JE_Name_13" localSheetId="3">#REF!</definedName>
    <definedName name="JE_Name_13" localSheetId="4">#REF!</definedName>
    <definedName name="JE_Name_13" localSheetId="9">#REF!</definedName>
    <definedName name="JE_Name_13" localSheetId="10">#REF!</definedName>
    <definedName name="JE_Name_13" localSheetId="15">#REF!</definedName>
    <definedName name="JE_Name_13" localSheetId="16">#REF!</definedName>
    <definedName name="JE_Name_13">#REF!</definedName>
    <definedName name="JE_Name_2" localSheetId="3">#REF!</definedName>
    <definedName name="JE_Name_2" localSheetId="4">#REF!</definedName>
    <definedName name="JE_Name_2" localSheetId="9">#REF!</definedName>
    <definedName name="JE_Name_2" localSheetId="10">#REF!</definedName>
    <definedName name="JE_Name_2" localSheetId="15">#REF!</definedName>
    <definedName name="JE_Name_2" localSheetId="16">#REF!</definedName>
    <definedName name="JE_Name_2">#REF!</definedName>
    <definedName name="JE_Name_3" localSheetId="3">#REF!</definedName>
    <definedName name="JE_Name_3" localSheetId="4">#REF!</definedName>
    <definedName name="JE_Name_3" localSheetId="9">#REF!</definedName>
    <definedName name="JE_Name_3" localSheetId="10">#REF!</definedName>
    <definedName name="JE_Name_3" localSheetId="15">#REF!</definedName>
    <definedName name="JE_Name_3" localSheetId="16">#REF!</definedName>
    <definedName name="JE_Name_3">#REF!</definedName>
    <definedName name="JE_Name_4" localSheetId="3">#REF!</definedName>
    <definedName name="JE_Name_4" localSheetId="4">#REF!</definedName>
    <definedName name="JE_Name_4" localSheetId="9">#REF!</definedName>
    <definedName name="JE_Name_4" localSheetId="10">#REF!</definedName>
    <definedName name="JE_Name_4" localSheetId="15">#REF!</definedName>
    <definedName name="JE_Name_4" localSheetId="16">#REF!</definedName>
    <definedName name="JE_Name_4">#REF!</definedName>
    <definedName name="JE_Name_5" localSheetId="3">#REF!</definedName>
    <definedName name="JE_Name_5" localSheetId="4">#REF!</definedName>
    <definedName name="JE_Name_5" localSheetId="9">#REF!</definedName>
    <definedName name="JE_Name_5" localSheetId="10">#REF!</definedName>
    <definedName name="JE_Name_5" localSheetId="15">#REF!</definedName>
    <definedName name="JE_Name_5" localSheetId="16">#REF!</definedName>
    <definedName name="JE_Name_5">#REF!</definedName>
    <definedName name="JE_Name_6" localSheetId="3">#REF!</definedName>
    <definedName name="JE_Name_6" localSheetId="4">#REF!</definedName>
    <definedName name="JE_Name_6" localSheetId="9">#REF!</definedName>
    <definedName name="JE_Name_6" localSheetId="10">#REF!</definedName>
    <definedName name="JE_Name_6" localSheetId="15">#REF!</definedName>
    <definedName name="JE_Name_6" localSheetId="16">#REF!</definedName>
    <definedName name="JE_Name_6">#REF!</definedName>
    <definedName name="JE_Name_7" localSheetId="3">#REF!</definedName>
    <definedName name="JE_Name_7" localSheetId="4">#REF!</definedName>
    <definedName name="JE_Name_7" localSheetId="9">#REF!</definedName>
    <definedName name="JE_Name_7" localSheetId="10">#REF!</definedName>
    <definedName name="JE_Name_7" localSheetId="15">#REF!</definedName>
    <definedName name="JE_Name_7" localSheetId="16">#REF!</definedName>
    <definedName name="JE_Name_7">#REF!</definedName>
    <definedName name="JE_Name_8" localSheetId="3">#REF!</definedName>
    <definedName name="JE_Name_8" localSheetId="4">#REF!</definedName>
    <definedName name="JE_Name_8" localSheetId="9">#REF!</definedName>
    <definedName name="JE_Name_8" localSheetId="10">#REF!</definedName>
    <definedName name="JE_Name_8" localSheetId="15">#REF!</definedName>
    <definedName name="JE_Name_8" localSheetId="16">#REF!</definedName>
    <definedName name="JE_Name_8">#REF!</definedName>
    <definedName name="JE_Name_9" localSheetId="3">#REF!</definedName>
    <definedName name="JE_Name_9" localSheetId="4">#REF!</definedName>
    <definedName name="JE_Name_9" localSheetId="9">#REF!</definedName>
    <definedName name="JE_Name_9" localSheetId="10">#REF!</definedName>
    <definedName name="JE_Name_9" localSheetId="15">#REF!</definedName>
    <definedName name="JE_Name_9" localSheetId="16">#REF!</definedName>
    <definedName name="JE_Name_9">#REF!</definedName>
    <definedName name="PopCache_GL_INTERFACE_REFERENCE7">[1]PopCache_Sheet1!$A$1:$A$2</definedName>
    <definedName name="_xlnm.Print_Area" localSheetId="5">'KIUC 2.15(008)'!$A$1:$P$36</definedName>
    <definedName name="_xlnm.Print_Area" localSheetId="6">'KIUC 2.15(009)'!$A$1:$P$33</definedName>
    <definedName name="_xlnm.Print_Area" localSheetId="11">'KIUC 2.15(014)'!$A$1:$P$30</definedName>
    <definedName name="_xlnm.Print_Area" localSheetId="12">'KIUC 2.15(015)'!$A$1:$O$32</definedName>
    <definedName name="_xlnm.Print_Area" localSheetId="17">'KIUC 2.15(020)'!$A$1:$P$29</definedName>
    <definedName name="_xlnm.Print_Area" localSheetId="18">'KIUC 2.15(021)'!$A$1:$P$32</definedName>
    <definedName name="_xlnm.Print_Titles" localSheetId="6">'KIUC 2.15(009)'!$A:$B,'KIUC 2.15(009)'!$1:$6</definedName>
    <definedName name="_xlnm.Print_Titles" localSheetId="12">'KIUC 2.15(015)'!$A:$B,'KIUC 2.15(015)'!$1:$6</definedName>
    <definedName name="_xlnm.Print_Titles" localSheetId="18">'KIUC 2.15(021)'!$A:$B,'KIUC 2.15(021)'!$1:$6</definedName>
    <definedName name="SUPPORT" localSheetId="8">#REF!</definedName>
    <definedName name="SUPPORT" localSheetId="9">#REF!</definedName>
    <definedName name="SUPPORT" localSheetId="10">#REF!</definedName>
    <definedName name="SUPPORT" localSheetId="14">#REF!</definedName>
    <definedName name="SUPPORT" localSheetId="15">#REF!</definedName>
    <definedName name="SUPPORT" localSheetId="16">#REF!</definedName>
    <definedName name="SUPPORT">#REF!</definedName>
  </definedNames>
  <calcPr calcId="145621"/>
</workbook>
</file>

<file path=xl/calcChain.xml><?xml version="1.0" encoding="utf-8"?>
<calcChain xmlns="http://schemas.openxmlformats.org/spreadsheetml/2006/main">
  <c r="N25" i="19" l="1"/>
  <c r="N31" i="19" s="1"/>
  <c r="N32" i="19" s="1"/>
  <c r="M25" i="19"/>
  <c r="M31" i="19" s="1"/>
  <c r="M32" i="19" s="1"/>
  <c r="L25" i="19"/>
  <c r="L31" i="19" s="1"/>
  <c r="L32" i="19" s="1"/>
  <c r="K25" i="19"/>
  <c r="K31" i="19" s="1"/>
  <c r="K32" i="19" s="1"/>
  <c r="J25" i="19"/>
  <c r="J31" i="19" s="1"/>
  <c r="J32" i="19" s="1"/>
  <c r="I25" i="19"/>
  <c r="I31" i="19" s="1"/>
  <c r="I32" i="19" s="1"/>
  <c r="H25" i="19"/>
  <c r="H31" i="19" s="1"/>
  <c r="H32" i="19" s="1"/>
  <c r="G25" i="19"/>
  <c r="G31" i="19" s="1"/>
  <c r="G32" i="19" s="1"/>
  <c r="F25" i="19"/>
  <c r="F31" i="19" s="1"/>
  <c r="F32" i="19" s="1"/>
  <c r="E25" i="19"/>
  <c r="E31" i="19" s="1"/>
  <c r="E32" i="19" s="1"/>
  <c r="D25" i="19"/>
  <c r="D31" i="19" s="1"/>
  <c r="D32" i="19" s="1"/>
  <c r="C25" i="19"/>
  <c r="C31" i="19" s="1"/>
  <c r="C32" i="19" s="1"/>
  <c r="P16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N9" i="19"/>
  <c r="M9" i="19"/>
  <c r="L9" i="19"/>
  <c r="K9" i="19"/>
  <c r="J9" i="19"/>
  <c r="I9" i="19"/>
  <c r="H9" i="19"/>
  <c r="G9" i="19"/>
  <c r="F9" i="19"/>
  <c r="E9" i="19"/>
  <c r="D9" i="19"/>
  <c r="C9" i="19"/>
  <c r="P8" i="19"/>
  <c r="P7" i="19"/>
  <c r="O19" i="18"/>
  <c r="N19" i="18"/>
  <c r="M19" i="18"/>
  <c r="L19" i="18"/>
  <c r="K19" i="18"/>
  <c r="J19" i="18"/>
  <c r="I19" i="18"/>
  <c r="H19" i="18"/>
  <c r="G19" i="18"/>
  <c r="F19" i="18"/>
  <c r="E19" i="18"/>
  <c r="P17" i="18"/>
  <c r="P16" i="18"/>
  <c r="P15" i="18"/>
  <c r="P14" i="18"/>
  <c r="P11" i="18"/>
  <c r="P9" i="18"/>
  <c r="P7" i="18"/>
  <c r="P19" i="18" s="1"/>
  <c r="E7" i="18"/>
  <c r="D7" i="18"/>
  <c r="D19" i="18" s="1"/>
  <c r="D22" i="18" s="1"/>
  <c r="D25" i="18" s="1"/>
  <c r="G28" i="17"/>
  <c r="G27" i="17"/>
  <c r="G26" i="17"/>
  <c r="E23" i="17"/>
  <c r="D23" i="17"/>
  <c r="C23" i="17"/>
  <c r="E22" i="17"/>
  <c r="D22" i="17"/>
  <c r="C22" i="17"/>
  <c r="E21" i="17"/>
  <c r="D21" i="17"/>
  <c r="D31" i="17" s="1"/>
  <c r="C21" i="17"/>
  <c r="G10" i="17"/>
  <c r="E24" i="16"/>
  <c r="D24" i="16"/>
  <c r="C24" i="16"/>
  <c r="E23" i="16"/>
  <c r="D23" i="16"/>
  <c r="C23" i="16"/>
  <c r="E22" i="16"/>
  <c r="E27" i="16" s="1"/>
  <c r="D22" i="16"/>
  <c r="D27" i="16" s="1"/>
  <c r="C22" i="16"/>
  <c r="G10" i="16"/>
  <c r="E27" i="15"/>
  <c r="E32" i="15" s="1"/>
  <c r="D27" i="15"/>
  <c r="D32" i="15" s="1"/>
  <c r="C27" i="15"/>
  <c r="C32" i="15" s="1"/>
  <c r="G24" i="15"/>
  <c r="G23" i="15"/>
  <c r="G13" i="15"/>
  <c r="G12" i="15"/>
  <c r="D11" i="15"/>
  <c r="C11" i="15"/>
  <c r="G10" i="15"/>
  <c r="N25" i="13"/>
  <c r="N31" i="13" s="1"/>
  <c r="N32" i="13" s="1"/>
  <c r="M25" i="13"/>
  <c r="M31" i="13" s="1"/>
  <c r="M32" i="13" s="1"/>
  <c r="L25" i="13"/>
  <c r="L31" i="13" s="1"/>
  <c r="L32" i="13" s="1"/>
  <c r="K25" i="13"/>
  <c r="K31" i="13" s="1"/>
  <c r="K32" i="13" s="1"/>
  <c r="J25" i="13"/>
  <c r="J31" i="13" s="1"/>
  <c r="J32" i="13" s="1"/>
  <c r="I25" i="13"/>
  <c r="I31" i="13" s="1"/>
  <c r="I32" i="13" s="1"/>
  <c r="H25" i="13"/>
  <c r="H31" i="13" s="1"/>
  <c r="H32" i="13" s="1"/>
  <c r="G25" i="13"/>
  <c r="G31" i="13" s="1"/>
  <c r="G32" i="13" s="1"/>
  <c r="F25" i="13"/>
  <c r="F31" i="13" s="1"/>
  <c r="F32" i="13" s="1"/>
  <c r="E25" i="13"/>
  <c r="E31" i="13" s="1"/>
  <c r="E32" i="13" s="1"/>
  <c r="D25" i="13"/>
  <c r="D31" i="13" s="1"/>
  <c r="D32" i="13" s="1"/>
  <c r="C25" i="13"/>
  <c r="C31" i="13" s="1"/>
  <c r="C32" i="13" s="1"/>
  <c r="O16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N9" i="13"/>
  <c r="M9" i="13"/>
  <c r="L9" i="13"/>
  <c r="K9" i="13"/>
  <c r="J9" i="13"/>
  <c r="I9" i="13"/>
  <c r="H9" i="13"/>
  <c r="G9" i="13"/>
  <c r="F9" i="13"/>
  <c r="E9" i="13"/>
  <c r="D9" i="13"/>
  <c r="C9" i="13"/>
  <c r="O8" i="13"/>
  <c r="O7" i="13"/>
  <c r="O24" i="12"/>
  <c r="N24" i="12"/>
  <c r="L24" i="12"/>
  <c r="G19" i="12"/>
  <c r="P17" i="12"/>
  <c r="P16" i="12"/>
  <c r="P15" i="12"/>
  <c r="P14" i="12"/>
  <c r="P11" i="12"/>
  <c r="D9" i="12"/>
  <c r="P9" i="12" s="1"/>
  <c r="O7" i="12"/>
  <c r="O19" i="12" s="1"/>
  <c r="N7" i="12"/>
  <c r="N19" i="12" s="1"/>
  <c r="M7" i="12"/>
  <c r="M19" i="12" s="1"/>
  <c r="L7" i="12"/>
  <c r="L19" i="12" s="1"/>
  <c r="K7" i="12"/>
  <c r="K19" i="12" s="1"/>
  <c r="J7" i="12"/>
  <c r="J19" i="12" s="1"/>
  <c r="I7" i="12"/>
  <c r="I19" i="12" s="1"/>
  <c r="H7" i="12"/>
  <c r="F7" i="12"/>
  <c r="F19" i="12" s="1"/>
  <c r="E7" i="12"/>
  <c r="E19" i="12" s="1"/>
  <c r="D7" i="12"/>
  <c r="D19" i="12" s="1"/>
  <c r="D22" i="12" s="1"/>
  <c r="D25" i="12" s="1"/>
  <c r="E51" i="11"/>
  <c r="E52" i="11" s="1"/>
  <c r="E53" i="11" s="1"/>
  <c r="E54" i="11" s="1"/>
  <c r="E55" i="11" s="1"/>
  <c r="E56" i="11" s="1"/>
  <c r="E57" i="11" s="1"/>
  <c r="E58" i="11" s="1"/>
  <c r="E59" i="11" s="1"/>
  <c r="E60" i="11" s="1"/>
  <c r="E61" i="11" s="1"/>
  <c r="E62" i="11" s="1"/>
  <c r="E48" i="11"/>
  <c r="G47" i="11"/>
  <c r="G46" i="11"/>
  <c r="D46" i="11"/>
  <c r="C46" i="11"/>
  <c r="G45" i="11"/>
  <c r="G44" i="11"/>
  <c r="G43" i="11"/>
  <c r="G42" i="11"/>
  <c r="G41" i="11"/>
  <c r="G40" i="11"/>
  <c r="D40" i="11"/>
  <c r="D48" i="11" s="1"/>
  <c r="C40" i="11"/>
  <c r="C48" i="11" s="1"/>
  <c r="G39" i="11"/>
  <c r="G38" i="11"/>
  <c r="G37" i="11"/>
  <c r="G36" i="11"/>
  <c r="E32" i="11"/>
  <c r="D32" i="11"/>
  <c r="C32" i="11"/>
  <c r="G32" i="11" s="1"/>
  <c r="E31" i="11"/>
  <c r="D31" i="11"/>
  <c r="C31" i="11"/>
  <c r="G31" i="11" s="1"/>
  <c r="E30" i="11"/>
  <c r="D30" i="11"/>
  <c r="C30" i="11"/>
  <c r="G30" i="11" s="1"/>
  <c r="E29" i="11"/>
  <c r="E33" i="11" s="1"/>
  <c r="D29" i="11"/>
  <c r="C29" i="11"/>
  <c r="G29" i="11" s="1"/>
  <c r="D28" i="11"/>
  <c r="C28" i="11"/>
  <c r="G28" i="11" s="1"/>
  <c r="D27" i="11"/>
  <c r="C27" i="11"/>
  <c r="G27" i="11" s="1"/>
  <c r="D26" i="11"/>
  <c r="G26" i="11" s="1"/>
  <c r="C26" i="11"/>
  <c r="G25" i="11"/>
  <c r="D25" i="11"/>
  <c r="C25" i="11"/>
  <c r="D24" i="11"/>
  <c r="C24" i="11"/>
  <c r="G24" i="11" s="1"/>
  <c r="D23" i="11"/>
  <c r="C23" i="11"/>
  <c r="G23" i="11" s="1"/>
  <c r="D22" i="11"/>
  <c r="G22" i="11" s="1"/>
  <c r="C22" i="11"/>
  <c r="G21" i="11"/>
  <c r="D21" i="11"/>
  <c r="D51" i="11" s="1"/>
  <c r="D52" i="11" s="1"/>
  <c r="D53" i="11" s="1"/>
  <c r="D54" i="11" s="1"/>
  <c r="D55" i="11" s="1"/>
  <c r="D56" i="11" s="1"/>
  <c r="D57" i="11" s="1"/>
  <c r="D58" i="11" s="1"/>
  <c r="D59" i="11" s="1"/>
  <c r="D60" i="11" s="1"/>
  <c r="D61" i="11" s="1"/>
  <c r="D62" i="11" s="1"/>
  <c r="C21" i="11"/>
  <c r="C51" i="11" s="1"/>
  <c r="G18" i="11"/>
  <c r="G10" i="11"/>
  <c r="E45" i="10"/>
  <c r="E46" i="10" s="1"/>
  <c r="E47" i="10" s="1"/>
  <c r="E48" i="10" s="1"/>
  <c r="E37" i="10"/>
  <c r="E38" i="10" s="1"/>
  <c r="E39" i="10" s="1"/>
  <c r="E40" i="10" s="1"/>
  <c r="E41" i="10" s="1"/>
  <c r="E42" i="10" s="1"/>
  <c r="E43" i="10" s="1"/>
  <c r="E44" i="10" s="1"/>
  <c r="C37" i="10"/>
  <c r="E33" i="10"/>
  <c r="D33" i="10"/>
  <c r="C33" i="10"/>
  <c r="G33" i="10" s="1"/>
  <c r="E32" i="10"/>
  <c r="D32" i="10"/>
  <c r="C32" i="10"/>
  <c r="G32" i="10" s="1"/>
  <c r="E31" i="10"/>
  <c r="E34" i="10" s="1"/>
  <c r="D31" i="10"/>
  <c r="C31" i="10"/>
  <c r="G31" i="10" s="1"/>
  <c r="D30" i="10"/>
  <c r="C30" i="10"/>
  <c r="G30" i="10" s="1"/>
  <c r="G29" i="10"/>
  <c r="D29" i="10"/>
  <c r="C29" i="10"/>
  <c r="D28" i="10"/>
  <c r="C28" i="10"/>
  <c r="G28" i="10" s="1"/>
  <c r="D27" i="10"/>
  <c r="C27" i="10"/>
  <c r="G27" i="10" s="1"/>
  <c r="D26" i="10"/>
  <c r="C26" i="10"/>
  <c r="G26" i="10" s="1"/>
  <c r="G25" i="10"/>
  <c r="D25" i="10"/>
  <c r="C25" i="10"/>
  <c r="D24" i="10"/>
  <c r="C24" i="10"/>
  <c r="G24" i="10" s="1"/>
  <c r="D23" i="10"/>
  <c r="C23" i="10"/>
  <c r="G23" i="10" s="1"/>
  <c r="D22" i="10"/>
  <c r="D37" i="10" s="1"/>
  <c r="D38" i="10" s="1"/>
  <c r="C22" i="10"/>
  <c r="G22" i="10" s="1"/>
  <c r="G10" i="10"/>
  <c r="E51" i="9"/>
  <c r="E52" i="9" s="1"/>
  <c r="E53" i="9" s="1"/>
  <c r="E54" i="9" s="1"/>
  <c r="E55" i="9" s="1"/>
  <c r="E56" i="9" s="1"/>
  <c r="E57" i="9" s="1"/>
  <c r="E58" i="9" s="1"/>
  <c r="E59" i="9" s="1"/>
  <c r="E60" i="9" s="1"/>
  <c r="E45" i="9"/>
  <c r="E33" i="9"/>
  <c r="G33" i="9" s="1"/>
  <c r="G32" i="9"/>
  <c r="G31" i="9"/>
  <c r="G30" i="9"/>
  <c r="G29" i="9"/>
  <c r="G28" i="9"/>
  <c r="D27" i="9"/>
  <c r="C27" i="9"/>
  <c r="D26" i="9"/>
  <c r="C26" i="9"/>
  <c r="G25" i="9"/>
  <c r="D24" i="9"/>
  <c r="C24" i="9"/>
  <c r="G24" i="9" s="1"/>
  <c r="G23" i="9"/>
  <c r="D23" i="9"/>
  <c r="C23" i="9"/>
  <c r="G22" i="9"/>
  <c r="D22" i="9"/>
  <c r="C22" i="9"/>
  <c r="G12" i="9"/>
  <c r="G11" i="9"/>
  <c r="D11" i="9"/>
  <c r="D36" i="9" s="1"/>
  <c r="C11" i="9"/>
  <c r="C36" i="9" s="1"/>
  <c r="G10" i="9"/>
  <c r="N26" i="7"/>
  <c r="N32" i="7" s="1"/>
  <c r="N33" i="7" s="1"/>
  <c r="M26" i="7"/>
  <c r="M32" i="7" s="1"/>
  <c r="M33" i="7" s="1"/>
  <c r="L26" i="7"/>
  <c r="L32" i="7" s="1"/>
  <c r="L33" i="7" s="1"/>
  <c r="K26" i="7"/>
  <c r="K32" i="7" s="1"/>
  <c r="K33" i="7" s="1"/>
  <c r="J26" i="7"/>
  <c r="J32" i="7" s="1"/>
  <c r="J33" i="7" s="1"/>
  <c r="I26" i="7"/>
  <c r="I32" i="7" s="1"/>
  <c r="I33" i="7" s="1"/>
  <c r="H26" i="7"/>
  <c r="H32" i="7" s="1"/>
  <c r="H33" i="7" s="1"/>
  <c r="G26" i="7"/>
  <c r="G32" i="7" s="1"/>
  <c r="G33" i="7" s="1"/>
  <c r="F26" i="7"/>
  <c r="F32" i="7" s="1"/>
  <c r="F33" i="7" s="1"/>
  <c r="E26" i="7"/>
  <c r="E32" i="7" s="1"/>
  <c r="E33" i="7" s="1"/>
  <c r="D26" i="7"/>
  <c r="D32" i="7" s="1"/>
  <c r="D33" i="7" s="1"/>
  <c r="C26" i="7"/>
  <c r="C32" i="7" s="1"/>
  <c r="C33" i="7" s="1"/>
  <c r="N14" i="7"/>
  <c r="N16" i="7" s="1"/>
  <c r="M14" i="7"/>
  <c r="L14" i="7"/>
  <c r="K14" i="7"/>
  <c r="J14" i="7"/>
  <c r="J16" i="7" s="1"/>
  <c r="I14" i="7"/>
  <c r="G14" i="7"/>
  <c r="F14" i="7"/>
  <c r="E14" i="7"/>
  <c r="E16" i="7" s="1"/>
  <c r="D14" i="7"/>
  <c r="C14" i="7"/>
  <c r="P13" i="7"/>
  <c r="P16" i="7" s="1"/>
  <c r="H12" i="7"/>
  <c r="P12" i="7" s="1"/>
  <c r="N9" i="7"/>
  <c r="M9" i="7"/>
  <c r="L9" i="7"/>
  <c r="K9" i="7"/>
  <c r="J9" i="7"/>
  <c r="I9" i="7"/>
  <c r="H9" i="7"/>
  <c r="G9" i="7"/>
  <c r="F9" i="7"/>
  <c r="E9" i="7"/>
  <c r="D9" i="7"/>
  <c r="C9" i="7"/>
  <c r="P8" i="7"/>
  <c r="P7" i="7"/>
  <c r="M25" i="6"/>
  <c r="E25" i="6"/>
  <c r="P23" i="6"/>
  <c r="P22" i="6"/>
  <c r="P21" i="6"/>
  <c r="P20" i="6"/>
  <c r="P19" i="6"/>
  <c r="P18" i="6"/>
  <c r="P17" i="6"/>
  <c r="P16" i="6"/>
  <c r="P13" i="6"/>
  <c r="P11" i="6"/>
  <c r="O9" i="6"/>
  <c r="O25" i="6" s="1"/>
  <c r="N9" i="6"/>
  <c r="N25" i="6" s="1"/>
  <c r="N28" i="6" s="1"/>
  <c r="N31" i="6" s="1"/>
  <c r="M9" i="6"/>
  <c r="L9" i="6"/>
  <c r="K9" i="6"/>
  <c r="K25" i="6" s="1"/>
  <c r="J9" i="6"/>
  <c r="J25" i="6" s="1"/>
  <c r="I9" i="6"/>
  <c r="I25" i="6" s="1"/>
  <c r="H9" i="6"/>
  <c r="H25" i="6" s="1"/>
  <c r="G9" i="6"/>
  <c r="G25" i="6" s="1"/>
  <c r="F9" i="6"/>
  <c r="F25" i="6" s="1"/>
  <c r="E9" i="6"/>
  <c r="D9" i="6"/>
  <c r="D25" i="6" s="1"/>
  <c r="D28" i="6" s="1"/>
  <c r="D31" i="6" s="1"/>
  <c r="L7" i="6"/>
  <c r="L25" i="6" s="1"/>
  <c r="F60" i="5"/>
  <c r="F59" i="5"/>
  <c r="F58" i="5"/>
  <c r="F57" i="5"/>
  <c r="F56" i="5"/>
  <c r="F55" i="5"/>
  <c r="F54" i="5"/>
  <c r="F53" i="5"/>
  <c r="F52" i="5"/>
  <c r="F51" i="5"/>
  <c r="F48" i="5"/>
  <c r="D48" i="5"/>
  <c r="C48" i="5"/>
  <c r="F47" i="5"/>
  <c r="F46" i="5"/>
  <c r="F45" i="5"/>
  <c r="F44" i="5"/>
  <c r="F43" i="5"/>
  <c r="F42" i="5"/>
  <c r="F41" i="5"/>
  <c r="F40" i="5"/>
  <c r="F39" i="5"/>
  <c r="F38" i="5"/>
  <c r="F37" i="5"/>
  <c r="F36" i="5"/>
  <c r="D32" i="5"/>
  <c r="C32" i="5"/>
  <c r="D31" i="5"/>
  <c r="D33" i="5" s="1"/>
  <c r="C31" i="5"/>
  <c r="C61" i="5" s="1"/>
  <c r="F30" i="5"/>
  <c r="F29" i="5"/>
  <c r="F28" i="5"/>
  <c r="F27" i="5"/>
  <c r="F26" i="5"/>
  <c r="F25" i="5"/>
  <c r="F24" i="5"/>
  <c r="F23" i="5"/>
  <c r="F22" i="5"/>
  <c r="F21" i="5"/>
  <c r="F18" i="5"/>
  <c r="F10" i="5"/>
  <c r="F46" i="4"/>
  <c r="F45" i="4"/>
  <c r="F44" i="4"/>
  <c r="F43" i="4"/>
  <c r="F42" i="4"/>
  <c r="F41" i="4"/>
  <c r="F40" i="4"/>
  <c r="F39" i="4"/>
  <c r="F38" i="4"/>
  <c r="F37" i="4"/>
  <c r="D33" i="4"/>
  <c r="C33" i="4"/>
  <c r="F33" i="4" s="1"/>
  <c r="D32" i="4"/>
  <c r="D47" i="4" s="1"/>
  <c r="D48" i="4" s="1"/>
  <c r="C32" i="4"/>
  <c r="C47" i="4" s="1"/>
  <c r="F31" i="4"/>
  <c r="F30" i="4"/>
  <c r="F29" i="4"/>
  <c r="F28" i="4"/>
  <c r="F27" i="4"/>
  <c r="F26" i="4"/>
  <c r="F25" i="4"/>
  <c r="F24" i="4"/>
  <c r="F23" i="4"/>
  <c r="F22" i="4"/>
  <c r="F19" i="4"/>
  <c r="F10" i="4"/>
  <c r="F47" i="3"/>
  <c r="F46" i="3"/>
  <c r="F45" i="3"/>
  <c r="F44" i="3"/>
  <c r="F43" i="3"/>
  <c r="F42" i="3"/>
  <c r="F41" i="3"/>
  <c r="F40" i="3"/>
  <c r="F39" i="3"/>
  <c r="F38" i="3"/>
  <c r="C33" i="3"/>
  <c r="F32" i="3"/>
  <c r="F31" i="3"/>
  <c r="F30" i="3"/>
  <c r="F29" i="3"/>
  <c r="F28" i="3"/>
  <c r="F27" i="3"/>
  <c r="F26" i="3"/>
  <c r="F25" i="3"/>
  <c r="F24" i="3"/>
  <c r="F23" i="3"/>
  <c r="F20" i="3"/>
  <c r="D11" i="3"/>
  <c r="C11" i="3"/>
  <c r="F10" i="3"/>
  <c r="D32" i="17" l="1"/>
  <c r="G22" i="17"/>
  <c r="E28" i="16"/>
  <c r="G22" i="16"/>
  <c r="G37" i="10"/>
  <c r="C52" i="1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G51" i="11"/>
  <c r="G52" i="11" s="1"/>
  <c r="G53" i="11" s="1"/>
  <c r="G54" i="11" s="1"/>
  <c r="G55" i="11" s="1"/>
  <c r="G56" i="11" s="1"/>
  <c r="G57" i="11" s="1"/>
  <c r="G58" i="11" s="1"/>
  <c r="G59" i="11" s="1"/>
  <c r="G60" i="11" s="1"/>
  <c r="G61" i="11" s="1"/>
  <c r="G62" i="11" s="1"/>
  <c r="G48" i="11"/>
  <c r="C38" i="10"/>
  <c r="C39" i="10" s="1"/>
  <c r="G16" i="13"/>
  <c r="C48" i="3"/>
  <c r="F32" i="5"/>
  <c r="D61" i="5"/>
  <c r="D62" i="5" s="1"/>
  <c r="D16" i="7"/>
  <c r="D21" i="7" s="1"/>
  <c r="D28" i="7" s="1"/>
  <c r="I16" i="7"/>
  <c r="M16" i="7"/>
  <c r="M21" i="7" s="1"/>
  <c r="M28" i="7" s="1"/>
  <c r="G26" i="9"/>
  <c r="D33" i="11"/>
  <c r="F16" i="13"/>
  <c r="F21" i="13" s="1"/>
  <c r="F27" i="13" s="1"/>
  <c r="J16" i="13"/>
  <c r="N16" i="13"/>
  <c r="G11" i="15"/>
  <c r="G23" i="16"/>
  <c r="G23" i="17"/>
  <c r="D16" i="19"/>
  <c r="D21" i="19" s="1"/>
  <c r="D27" i="19" s="1"/>
  <c r="H16" i="19"/>
  <c r="L16" i="19"/>
  <c r="C34" i="10"/>
  <c r="C16" i="13"/>
  <c r="C21" i="13" s="1"/>
  <c r="C27" i="13" s="1"/>
  <c r="I16" i="19"/>
  <c r="P7" i="6"/>
  <c r="O28" i="6"/>
  <c r="O31" i="6" s="1"/>
  <c r="F16" i="7"/>
  <c r="K16" i="7"/>
  <c r="G27" i="9"/>
  <c r="D34" i="10"/>
  <c r="D16" i="13"/>
  <c r="D21" i="13" s="1"/>
  <c r="D27" i="13" s="1"/>
  <c r="H16" i="13"/>
  <c r="L16" i="13"/>
  <c r="D28" i="16"/>
  <c r="D29" i="16" s="1"/>
  <c r="G21" i="17"/>
  <c r="E31" i="17"/>
  <c r="E32" i="17" s="1"/>
  <c r="E33" i="17" s="1"/>
  <c r="F16" i="19"/>
  <c r="J16" i="19"/>
  <c r="N16" i="19"/>
  <c r="E22" i="12"/>
  <c r="E25" i="12" s="1"/>
  <c r="K16" i="13"/>
  <c r="E16" i="19"/>
  <c r="E21" i="19" s="1"/>
  <c r="M16" i="19"/>
  <c r="C16" i="7"/>
  <c r="C21" i="7" s="1"/>
  <c r="C28" i="7" s="1"/>
  <c r="G16" i="7"/>
  <c r="L16" i="7"/>
  <c r="C33" i="11"/>
  <c r="G33" i="11" s="1"/>
  <c r="P7" i="12"/>
  <c r="P19" i="12" s="1"/>
  <c r="E16" i="13"/>
  <c r="I16" i="13"/>
  <c r="M16" i="13"/>
  <c r="G27" i="15"/>
  <c r="E29" i="16"/>
  <c r="G24" i="16"/>
  <c r="D33" i="17"/>
  <c r="C16" i="19"/>
  <c r="C21" i="19" s="1"/>
  <c r="C27" i="19" s="1"/>
  <c r="G16" i="19"/>
  <c r="K16" i="19"/>
  <c r="E22" i="18"/>
  <c r="C31" i="17"/>
  <c r="C27" i="16"/>
  <c r="G32" i="15"/>
  <c r="C28" i="15"/>
  <c r="C33" i="15" s="1"/>
  <c r="D28" i="15"/>
  <c r="D29" i="15" s="1"/>
  <c r="E28" i="15"/>
  <c r="E29" i="15" s="1"/>
  <c r="E21" i="13"/>
  <c r="E27" i="13" s="1"/>
  <c r="F22" i="12"/>
  <c r="H19" i="12"/>
  <c r="C40" i="10"/>
  <c r="G38" i="10"/>
  <c r="D39" i="10"/>
  <c r="D40" i="10" s="1"/>
  <c r="D41" i="10" s="1"/>
  <c r="D42" i="10" s="1"/>
  <c r="D43" i="10" s="1"/>
  <c r="D44" i="10" s="1"/>
  <c r="D45" i="10" s="1"/>
  <c r="D46" i="10" s="1"/>
  <c r="D47" i="10" s="1"/>
  <c r="D48" i="10" s="1"/>
  <c r="G36" i="9"/>
  <c r="C37" i="9"/>
  <c r="C51" i="9"/>
  <c r="D37" i="9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51" i="9"/>
  <c r="E46" i="9"/>
  <c r="E47" i="9" s="1"/>
  <c r="H14" i="7"/>
  <c r="H16" i="7" s="1"/>
  <c r="E28" i="6"/>
  <c r="E31" i="6" s="1"/>
  <c r="P9" i="6"/>
  <c r="P25" i="6" s="1"/>
  <c r="C62" i="5"/>
  <c r="F62" i="5" s="1"/>
  <c r="F61" i="5"/>
  <c r="F31" i="5"/>
  <c r="C33" i="5"/>
  <c r="F33" i="5" s="1"/>
  <c r="C48" i="4"/>
  <c r="F48" i="4" s="1"/>
  <c r="F47" i="4"/>
  <c r="F32" i="4"/>
  <c r="C34" i="4"/>
  <c r="D34" i="4"/>
  <c r="D33" i="3"/>
  <c r="D34" i="3"/>
  <c r="C34" i="3"/>
  <c r="E33" i="15" l="1"/>
  <c r="E34" i="15" s="1"/>
  <c r="E27" i="19"/>
  <c r="F21" i="19"/>
  <c r="G21" i="13"/>
  <c r="G27" i="13" s="1"/>
  <c r="D35" i="3"/>
  <c r="E48" i="9"/>
  <c r="G34" i="10"/>
  <c r="E61" i="9"/>
  <c r="E62" i="9" s="1"/>
  <c r="F34" i="3"/>
  <c r="F34" i="4"/>
  <c r="D52" i="9"/>
  <c r="D53" i="9" s="1"/>
  <c r="D54" i="9" s="1"/>
  <c r="D55" i="9" s="1"/>
  <c r="D56" i="9" s="1"/>
  <c r="D57" i="9" s="1"/>
  <c r="D58" i="9" s="1"/>
  <c r="D59" i="9" s="1"/>
  <c r="N21" i="7"/>
  <c r="F22" i="18"/>
  <c r="E25" i="18"/>
  <c r="C32" i="17"/>
  <c r="C33" i="17" s="1"/>
  <c r="G31" i="17"/>
  <c r="G32" i="17" s="1"/>
  <c r="G33" i="17" s="1"/>
  <c r="G27" i="16"/>
  <c r="C28" i="16"/>
  <c r="D33" i="15"/>
  <c r="D34" i="15" s="1"/>
  <c r="G28" i="15"/>
  <c r="C29" i="15"/>
  <c r="C34" i="15" s="1"/>
  <c r="H21" i="13"/>
  <c r="F25" i="12"/>
  <c r="G22" i="12"/>
  <c r="G25" i="12" s="1"/>
  <c r="G40" i="10"/>
  <c r="C41" i="10"/>
  <c r="G39" i="10"/>
  <c r="C38" i="9"/>
  <c r="G37" i="9"/>
  <c r="D60" i="9"/>
  <c r="D61" i="9" s="1"/>
  <c r="D62" i="9" s="1"/>
  <c r="G51" i="9"/>
  <c r="C52" i="9"/>
  <c r="D48" i="9"/>
  <c r="E21" i="7"/>
  <c r="F28" i="6"/>
  <c r="C35" i="3"/>
  <c r="F35" i="3" s="1"/>
  <c r="D48" i="3"/>
  <c r="C49" i="3"/>
  <c r="F33" i="3"/>
  <c r="P21" i="7" l="1"/>
  <c r="N28" i="7"/>
  <c r="F27" i="19"/>
  <c r="G21" i="19"/>
  <c r="F25" i="18"/>
  <c r="G22" i="18"/>
  <c r="G28" i="16"/>
  <c r="C29" i="16"/>
  <c r="G29" i="15"/>
  <c r="G33" i="15"/>
  <c r="G34" i="15"/>
  <c r="H27" i="13"/>
  <c r="I21" i="13"/>
  <c r="H22" i="12"/>
  <c r="G41" i="10"/>
  <c r="C42" i="10"/>
  <c r="G52" i="9"/>
  <c r="C53" i="9"/>
  <c r="C39" i="9"/>
  <c r="G38" i="9"/>
  <c r="E28" i="7"/>
  <c r="F21" i="7"/>
  <c r="F31" i="6"/>
  <c r="G28" i="6"/>
  <c r="D49" i="3"/>
  <c r="F49" i="3" s="1"/>
  <c r="F48" i="3"/>
  <c r="G27" i="19" l="1"/>
  <c r="H21" i="19"/>
  <c r="H22" i="18"/>
  <c r="G25" i="18"/>
  <c r="G29" i="16"/>
  <c r="I27" i="13"/>
  <c r="J21" i="13"/>
  <c r="H25" i="12"/>
  <c r="I22" i="12"/>
  <c r="C43" i="10"/>
  <c r="G42" i="10"/>
  <c r="C40" i="9"/>
  <c r="G39" i="9"/>
  <c r="G53" i="9"/>
  <c r="C54" i="9"/>
  <c r="F28" i="7"/>
  <c r="G21" i="7"/>
  <c r="G31" i="6"/>
  <c r="H28" i="6"/>
  <c r="H27" i="19" l="1"/>
  <c r="I21" i="19"/>
  <c r="I22" i="18"/>
  <c r="H25" i="18"/>
  <c r="J27" i="13"/>
  <c r="K21" i="13"/>
  <c r="I25" i="12"/>
  <c r="J22" i="12"/>
  <c r="G43" i="10"/>
  <c r="C44" i="10"/>
  <c r="G54" i="9"/>
  <c r="C55" i="9"/>
  <c r="G40" i="9"/>
  <c r="C41" i="9"/>
  <c r="G28" i="7"/>
  <c r="H21" i="7"/>
  <c r="H31" i="6"/>
  <c r="I28" i="6"/>
  <c r="I27" i="19" l="1"/>
  <c r="J21" i="19"/>
  <c r="J22" i="18"/>
  <c r="I25" i="18"/>
  <c r="K27" i="13"/>
  <c r="L21" i="13"/>
  <c r="J25" i="12"/>
  <c r="K22" i="12"/>
  <c r="C45" i="10"/>
  <c r="G44" i="10"/>
  <c r="C42" i="9"/>
  <c r="G41" i="9"/>
  <c r="G55" i="9"/>
  <c r="C56" i="9"/>
  <c r="H28" i="7"/>
  <c r="I21" i="7"/>
  <c r="I31" i="6"/>
  <c r="J28" i="6"/>
  <c r="J27" i="19" l="1"/>
  <c r="K21" i="19"/>
  <c r="J25" i="18"/>
  <c r="K22" i="18"/>
  <c r="L27" i="13"/>
  <c r="M21" i="13"/>
  <c r="K25" i="12"/>
  <c r="L22" i="12"/>
  <c r="G45" i="10"/>
  <c r="C46" i="10"/>
  <c r="G56" i="9"/>
  <c r="C57" i="9"/>
  <c r="C43" i="9"/>
  <c r="G42" i="9"/>
  <c r="I28" i="7"/>
  <c r="J21" i="7"/>
  <c r="J31" i="6"/>
  <c r="K28" i="6"/>
  <c r="K27" i="19" l="1"/>
  <c r="L21" i="19"/>
  <c r="K25" i="18"/>
  <c r="L22" i="18"/>
  <c r="M27" i="13"/>
  <c r="N21" i="13"/>
  <c r="L25" i="12"/>
  <c r="M22" i="12"/>
  <c r="C47" i="10"/>
  <c r="G46" i="10"/>
  <c r="C44" i="9"/>
  <c r="G43" i="9"/>
  <c r="G57" i="9"/>
  <c r="C58" i="9"/>
  <c r="J28" i="7"/>
  <c r="K21" i="7"/>
  <c r="K31" i="6"/>
  <c r="L28" i="6"/>
  <c r="M21" i="19" l="1"/>
  <c r="L27" i="19"/>
  <c r="L25" i="18"/>
  <c r="M22" i="18"/>
  <c r="N27" i="13"/>
  <c r="O21" i="13"/>
  <c r="M25" i="12"/>
  <c r="N22" i="12"/>
  <c r="C48" i="10"/>
  <c r="G48" i="10" s="1"/>
  <c r="G47" i="10"/>
  <c r="G58" i="9"/>
  <c r="C59" i="9"/>
  <c r="G44" i="9"/>
  <c r="C45" i="9"/>
  <c r="K28" i="7"/>
  <c r="L21" i="7"/>
  <c r="L28" i="7" s="1"/>
  <c r="L31" i="6"/>
  <c r="M28" i="6"/>
  <c r="M27" i="19" l="1"/>
  <c r="N21" i="19"/>
  <c r="N22" i="18"/>
  <c r="M25" i="18"/>
  <c r="N25" i="12"/>
  <c r="O22" i="12"/>
  <c r="O25" i="12" s="1"/>
  <c r="G45" i="9"/>
  <c r="C46" i="9"/>
  <c r="G59" i="9"/>
  <c r="C60" i="9"/>
  <c r="P28" i="6"/>
  <c r="M31" i="6"/>
  <c r="N27" i="19" l="1"/>
  <c r="P21" i="19"/>
  <c r="N25" i="18"/>
  <c r="O22" i="18"/>
  <c r="O25" i="18" s="1"/>
  <c r="G60" i="9"/>
  <c r="C61" i="9"/>
  <c r="G46" i="9"/>
  <c r="C47" i="9"/>
  <c r="G47" i="9" l="1"/>
  <c r="C48" i="9"/>
  <c r="G48" i="9" s="1"/>
  <c r="G61" i="9"/>
  <c r="C62" i="9"/>
  <c r="G62" i="9" s="1"/>
</calcChain>
</file>

<file path=xl/sharedStrings.xml><?xml version="1.0" encoding="utf-8"?>
<sst xmlns="http://schemas.openxmlformats.org/spreadsheetml/2006/main" count="803" uniqueCount="220">
  <si>
    <t>REVENUES:</t>
  </si>
  <si>
    <t>Electric utility revenues</t>
  </si>
  <si>
    <t>Gas utility revenues</t>
  </si>
  <si>
    <t>Non-utility revenues</t>
  </si>
  <si>
    <t>Total revenues</t>
  </si>
  <si>
    <t>COST OF REVENUES:</t>
  </si>
  <si>
    <t>Fuel for electric generation</t>
  </si>
  <si>
    <t>Power purchased</t>
  </si>
  <si>
    <t>Gas supply expenses</t>
  </si>
  <si>
    <t>Total cost of revenues</t>
  </si>
  <si>
    <t>GROSS PROFIT</t>
  </si>
  <si>
    <t>OPERATING EXPENSES:</t>
  </si>
  <si>
    <t>Operation and maintenance expense</t>
  </si>
  <si>
    <t>Depreciation, accretion, and amort expense</t>
  </si>
  <si>
    <t>Nonrecurring charges</t>
  </si>
  <si>
    <t>Total operating expenses</t>
  </si>
  <si>
    <t>Equity in earnings of affiliates</t>
  </si>
  <si>
    <t>Operating income</t>
  </si>
  <si>
    <t>Other income (expense) - net</t>
  </si>
  <si>
    <t>Loss on asset impairment</t>
  </si>
  <si>
    <t>Interest income</t>
  </si>
  <si>
    <t>Interest expense</t>
  </si>
  <si>
    <t>Preferred dividends</t>
  </si>
  <si>
    <t>Income before income taxes</t>
  </si>
  <si>
    <t>Current income tax provision</t>
  </si>
  <si>
    <t>Deferred income tax provision</t>
  </si>
  <si>
    <t>Total income tax provision</t>
  </si>
  <si>
    <t>Income before disc op, extra items</t>
  </si>
  <si>
    <t>Net income - discontinued operations</t>
  </si>
  <si>
    <t>Gain on sale - discontinued operations</t>
  </si>
  <si>
    <t>Extraordinary items</t>
  </si>
  <si>
    <t>Cumulative effect of acctg change</t>
  </si>
  <si>
    <t>Net income excl noncontrolling interest</t>
  </si>
  <si>
    <t>Noncontrolling interest - income statement</t>
  </si>
  <si>
    <t>Net income</t>
  </si>
  <si>
    <t>Total of all income-statement accounts</t>
  </si>
  <si>
    <t>Difference</t>
  </si>
  <si>
    <t>Period: DEC-2010 Currency: USD</t>
  </si>
  <si>
    <t>Submitted: 10-FEB-11 11:01:53</t>
  </si>
  <si>
    <t>MONTH</t>
  </si>
  <si>
    <t>YTD</t>
  </si>
  <si>
    <t>LKE INCOME STATEMENT</t>
  </si>
  <si>
    <t>LKE US GAAP</t>
  </si>
  <si>
    <t>Intercompany dividends (LKE)</t>
  </si>
  <si>
    <t>Intercompany interest (LKE)</t>
  </si>
  <si>
    <t>Intercompany interest - affil cos (non-LKE)</t>
  </si>
  <si>
    <t>CONSOLIDATED INCOME STATEMENT LELLC PARENT - 2005</t>
  </si>
  <si>
    <t/>
  </si>
  <si>
    <t>E.ON US, Inc.</t>
  </si>
  <si>
    <t>Period: OCT-2010 Currency: USD</t>
  </si>
  <si>
    <t>Submitted: 09-NOV-10 09:09:00</t>
  </si>
  <si>
    <t>LELLC</t>
  </si>
  <si>
    <t>TOTAL</t>
  </si>
  <si>
    <t>Intercompany dividends (EUS)</t>
  </si>
  <si>
    <t>Intercompany interest (EUS)</t>
  </si>
  <si>
    <t>Intercompany interest - affil cos (non-EUS)</t>
  </si>
  <si>
    <t>LG&amp;E and KU Energy LLC</t>
  </si>
  <si>
    <t>#J021&amp; J101-0800</t>
  </si>
  <si>
    <t>181016 &amp; 181017 Amortization of Debt Expense 428016 &amp; 428017 on Senior Notes</t>
  </si>
  <si>
    <t>For the year 2010</t>
  </si>
  <si>
    <t>SR NOTE DEBT ACCOUNT</t>
  </si>
  <si>
    <t>UNAMORTIZED DEBT EXPENSE</t>
  </si>
  <si>
    <t>AMORTIZATION EXPENSE ACCOUNT</t>
  </si>
  <si>
    <t>SENIOR NOTE TOTAL</t>
  </si>
  <si>
    <t>DEBT ISSUANCE EXPENSE - NOV 10</t>
  </si>
  <si>
    <t>DEBT ISSUANCE EXPENSE - DEC 10</t>
  </si>
  <si>
    <t>RATE</t>
  </si>
  <si>
    <t>SERIES</t>
  </si>
  <si>
    <t>LKE2010</t>
  </si>
  <si>
    <t>ISSUED</t>
  </si>
  <si>
    <t>MATURITY</t>
  </si>
  <si>
    <t>TOTAL # OF MONTHS</t>
  </si>
  <si>
    <t>BALANCE</t>
  </si>
  <si>
    <t>Jan. 1, 2010</t>
  </si>
  <si>
    <t>MONTHLY AMORTIZATION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</si>
  <si>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</si>
  <si>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</si>
  <si>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</si>
  <si>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</si>
  <si>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</si>
  <si>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</si>
  <si>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</si>
  <si>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</si>
  <si>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</si>
  <si>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</si>
  <si>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</si>
  <si>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</si>
  <si>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 TOTAL (INTEREST EXP.)</t>
  </si>
  <si>
    <t>UNAMORTIZED DEBT BALANCE</t>
  </si>
  <si>
    <t>LG&amp;E and KU Energy LLC - Co. 800</t>
  </si>
  <si>
    <t>#J021-0800</t>
  </si>
  <si>
    <t>226016 &amp; 226017 Amortization of Debt Discount 428216 &amp; 428217 on Senior Notes</t>
  </si>
  <si>
    <t>UNAMORTIZED DEBT DISCOUNT</t>
  </si>
  <si>
    <t>AMORTIZATION DISCOUNT ACCOUNT</t>
  </si>
  <si>
    <t>DEBT DISCOUNT</t>
  </si>
  <si>
    <t>YEAR TOTAL (AMORTIZATION)</t>
  </si>
  <si>
    <t>UNAMORTIZED DISCOUNT BALANCE</t>
  </si>
  <si>
    <t>237016 &amp; 237017 Accrued Interest and 427016 &amp; 427017 Interest Expense on Senior Notes</t>
  </si>
  <si>
    <t>ACCRUED INTEREST ACCOUNT</t>
  </si>
  <si>
    <t>SR NOTE INT EXPENSE ACCOUNT</t>
  </si>
  <si>
    <t>PAYMENTS</t>
  </si>
  <si>
    <t>5/15 &amp; 11/15</t>
  </si>
  <si>
    <t>MONTHLY PROVISIONS</t>
  </si>
  <si>
    <t xml:space="preserve"> </t>
  </si>
  <si>
    <t>ACCRUED INTEREST BALANCE</t>
  </si>
  <si>
    <t>419209 &amp; 430002 - Intercompany Interest Income/(Expense)</t>
  </si>
  <si>
    <t>Short Year Eff with Sale 11/1/10.</t>
  </si>
  <si>
    <t>Jan</t>
  </si>
  <si>
    <t>Feb</t>
  </si>
  <si>
    <t>Mar</t>
  </si>
  <si>
    <t>Apr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</si>
  <si>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</si>
  <si>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</si>
  <si>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</si>
  <si>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</si>
  <si>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</si>
  <si>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</si>
  <si>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</si>
  <si>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</si>
  <si>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2010</t>
  </si>
  <si>
    <t>Notes Receivable from LEM (J020-0800)</t>
  </si>
  <si>
    <t>Notes Receivable from LKC (J023-0800)</t>
  </si>
  <si>
    <t>Notes Payable to Servco (J024-0800)</t>
  </si>
  <si>
    <t>Notes Payable to LKC (J025-0800)</t>
  </si>
  <si>
    <t>Money Pool Intercompany Interest (J028-0004):</t>
  </si>
  <si>
    <t>Pool-KU</t>
  </si>
  <si>
    <t>Pool-LGE</t>
  </si>
  <si>
    <t>LKC-Pool</t>
  </si>
  <si>
    <t>Pool-ENGT</t>
  </si>
  <si>
    <t>Pool-LEM</t>
  </si>
  <si>
    <t>Pool-LPO</t>
  </si>
  <si>
    <t>Pool-LPI</t>
  </si>
  <si>
    <t>Pool-LPD</t>
  </si>
  <si>
    <t>Month's Total</t>
  </si>
  <si>
    <t>YTD Total</t>
  </si>
  <si>
    <t>YTD Income Statement I/C Interest (LKE)</t>
  </si>
  <si>
    <t>Avg Debt Rate for Money Pool:</t>
  </si>
  <si>
    <t>Note:  Effective with the 11/1/10 sale to PPL, E.ON US became LG&amp;E and KU Energy LLC (LKE)</t>
  </si>
  <si>
    <t>430004 - I/C Interest (Non-LKE)</t>
  </si>
  <si>
    <t>2010</t>
  </si>
  <si>
    <t>PPL</t>
  </si>
  <si>
    <t xml:space="preserve">                              </t>
  </si>
  <si>
    <t>Total</t>
  </si>
  <si>
    <t>Short-term Notes:</t>
  </si>
  <si>
    <t>E.ON North America (See GL# 234012 J022-0800))</t>
  </si>
  <si>
    <t>E.ON NA-Commit Fee (See GL# 234012 J022-0800))</t>
  </si>
  <si>
    <t xml:space="preserve">Total Short-Term Interest  </t>
  </si>
  <si>
    <t>Long-term Notes:</t>
  </si>
  <si>
    <t>E.ON North America (See GL# 234012 J022-0800)</t>
  </si>
  <si>
    <t>Fidelia (E.ON) (See GL # 234010 J021-0800)</t>
  </si>
  <si>
    <t xml:space="preserve">Total Long-Term Interest  </t>
  </si>
  <si>
    <t>Month's Total Interest</t>
  </si>
  <si>
    <t>YTD Interest</t>
  </si>
  <si>
    <t>Per above</t>
  </si>
  <si>
    <t>Per Trial Balance:</t>
  </si>
  <si>
    <t xml:space="preserve">     Account #430003 Interest Expense Fidelia</t>
  </si>
  <si>
    <t xml:space="preserve">     Account #430004 Interest Expense PPL (Eff 11/10)</t>
  </si>
  <si>
    <t>Comparison to Income Statement</t>
  </si>
  <si>
    <t>Intercompany Interest - Non-LEL Per I/S</t>
  </si>
  <si>
    <t>Total per Trial Balance (above)</t>
  </si>
  <si>
    <t>GAAP LKE INCOME STATEMENT</t>
  </si>
  <si>
    <t>Period: DEC-2011 Currency: USD</t>
  </si>
  <si>
    <t>Submitted: 03-JAN-12 17:37:58</t>
  </si>
  <si>
    <t>Company 0800</t>
  </si>
  <si>
    <t>Company 0803</t>
  </si>
  <si>
    <t>Month</t>
  </si>
  <si>
    <t>Current Month</t>
  </si>
  <si>
    <t>LKE PAA</t>
  </si>
  <si>
    <t>Wholesale revenues</t>
  </si>
  <si>
    <t>Wholesale revenues to affiliates (LKE)</t>
  </si>
  <si>
    <t>Power purchased from affiliates (LKE)</t>
  </si>
  <si>
    <t>Taxes other than income</t>
  </si>
  <si>
    <t>Derivative gains (losses)</t>
  </si>
  <si>
    <t>Intercompany interest income (LKE)</t>
  </si>
  <si>
    <t>Intercompany interest expense (LKE)</t>
  </si>
  <si>
    <t>Intercompany interest income (non-LKE)</t>
  </si>
  <si>
    <t>Intercompany interest expense (non-LKE)</t>
  </si>
  <si>
    <t>Loss from disc operations - pretax</t>
  </si>
  <si>
    <t>Loss from disc operations - tax</t>
  </si>
  <si>
    <t>Loss from discontinued operations</t>
  </si>
  <si>
    <t>Loss on disp of disc operations - pretax</t>
  </si>
  <si>
    <t>Loss on disp of disc operations - tax</t>
  </si>
  <si>
    <t>Loss on disp - discontinued operations</t>
  </si>
  <si>
    <t>181016, 181017 &amp; 181018 Amortization of Debt Expense 428016, 428017 &amp; 428018 on Senior Notes</t>
  </si>
  <si>
    <t>For the year 2011</t>
  </si>
  <si>
    <t>LKE2011</t>
  </si>
  <si>
    <t>Jan. 1, 2011</t>
  </si>
  <si>
    <t>DEBT ISSUANCE EXPENSE - JAN 11</t>
  </si>
  <si>
    <t>DEBT ISSUANCE EXPENSE - FEB 11</t>
  </si>
  <si>
    <t>DEBT ISSUANCE EXPENSE - MAR 11</t>
  </si>
  <si>
    <t>DEBT ISSUANCE EXPENSE - APR 11</t>
  </si>
  <si>
    <t>DEBT ISSUANCE EXPENSE - MAY 11</t>
  </si>
  <si>
    <t>DEBT ISSUANCE EXPENSE - JUN 11</t>
  </si>
  <si>
    <t>DEBT ISSUANCE EXPENSE - JUL 11</t>
  </si>
  <si>
    <t>DEBT ISSUANCE EXPENSE - AUG 11</t>
  </si>
  <si>
    <t>DEBT ISSUANCE EXPENSE - SEP 11</t>
  </si>
  <si>
    <t>DEBT ISSUANCE EXPENSE - OCT 11</t>
  </si>
  <si>
    <t>DEBT ISSUANCE EXPENSE - NOV 11</t>
  </si>
  <si>
    <t>DEBT ISSUANCE EXPENSE - DEC 11</t>
  </si>
  <si>
    <t>226016, 226017 7 226018 Amortization of Debt Discount 428216, 428217 &amp; 428218 on Senior Notes</t>
  </si>
  <si>
    <t>AMORTIZATION TOTAL</t>
  </si>
  <si>
    <t>237016, 237017 &amp; 237018 Accrued Interest and 427016, 427017 &amp; 427018 Interest Expense on Senior Notes</t>
  </si>
  <si>
    <t>4/1 &amp; 10/1</t>
  </si>
  <si>
    <t>TOTAL INTEREST EXP - 2011</t>
  </si>
  <si>
    <t>TOTAL PAYMENTS</t>
  </si>
  <si>
    <t>Avg Debt Rate for Utility Money Pool:</t>
  </si>
  <si>
    <t>Avg Debt Rate for Non-Utility Money Pool:</t>
  </si>
  <si>
    <t>2011</t>
  </si>
  <si>
    <t>PPL (See GL# 234012 J022-0800))</t>
  </si>
  <si>
    <t>PPL-Commit Fee (See GL# 234012 J022-0800))</t>
  </si>
  <si>
    <t>Intercompany Interest - Non-LKE Per I/S</t>
  </si>
  <si>
    <t>Period: MAR-2012 Currency: USD</t>
  </si>
  <si>
    <t>Submitted: 04-APR-12 13:41:15</t>
  </si>
  <si>
    <t>For the year 2012</t>
  </si>
  <si>
    <t>DEBT ISSUANCE EXPENSE - 2011</t>
  </si>
  <si>
    <t>DEBT ISSUANCE EXPENSE - JAN 12</t>
  </si>
  <si>
    <t>DEBT ISSUANCE EXPENSE - FEB 12</t>
  </si>
  <si>
    <t>Jan. 1, 2012</t>
  </si>
  <si>
    <t>Avg Debt Rate for Utility &amp; Non-Utility Money Pool:</t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</si>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</sst>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&quot;$&quot;#,##0"/>
    <numFmt numFmtId="167" formatCode="0.000%"/>
    <numFmt numFmtId="168" formatCode="_(* #,##0_);_(* \(#,##0\);_(* &quot;-&quot;??_);_(@_)"/>
    <numFmt numFmtId="169" formatCode="_(&quot;$&quot;* #,##0_);_(&quot;$&quot;* \(#,##0\);_(&quot;$&quot;* &quot;-&quot;??_);_(@_)"/>
    <numFmt numFmtId="170" formatCode="0.0%"/>
    <numFmt numFmtId="171" formatCode="0_);\(0\)"/>
  </numFmts>
  <fonts count="40" x14ac:knownFonts="1">
    <font>
      <sz val="10"/>
      <name val="Arial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7" applyNumberFormat="0" applyAlignment="0" applyProtection="0"/>
    <xf numFmtId="0" fontId="9" fillId="29" borderId="8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7" applyNumberFormat="0" applyAlignment="0" applyProtection="0"/>
    <xf numFmtId="0" fontId="16" fillId="0" borderId="12" applyNumberFormat="0" applyFill="0" applyAlignment="0" applyProtection="0"/>
    <xf numFmtId="0" fontId="17" fillId="32" borderId="0" applyNumberFormat="0" applyBorder="0" applyAlignment="0" applyProtection="0"/>
    <xf numFmtId="0" fontId="18" fillId="28" borderId="13" applyNumberFormat="0" applyAlignment="0" applyProtection="0"/>
    <xf numFmtId="40" fontId="1" fillId="3" borderId="0">
      <alignment horizontal="right"/>
    </xf>
    <xf numFmtId="0" fontId="2" fillId="3" borderId="0">
      <alignment horizontal="right"/>
    </xf>
    <xf numFmtId="0" fontId="3" fillId="3" borderId="1"/>
    <xf numFmtId="0" fontId="3" fillId="0" borderId="0" applyBorder="0">
      <alignment horizontal="centerContinuous"/>
    </xf>
    <xf numFmtId="0" fontId="4" fillId="0" borderId="0" applyBorder="0">
      <alignment horizontal="centerContinuous"/>
    </xf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164" fontId="22" fillId="0" borderId="0"/>
    <xf numFmtId="0" fontId="24" fillId="0" borderId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9" fillId="0" borderId="0"/>
    <xf numFmtId="0" fontId="21" fillId="0" borderId="0"/>
    <xf numFmtId="0" fontId="30" fillId="0" borderId="0"/>
    <xf numFmtId="9" fontId="30" fillId="0" borderId="0" applyFont="0" applyFill="0" applyBorder="0" applyAlignment="0" applyProtection="0"/>
  </cellStyleXfs>
  <cellXfs count="172">
    <xf numFmtId="0" fontId="0" fillId="0" borderId="0" xfId="0"/>
    <xf numFmtId="0" fontId="21" fillId="0" borderId="0" xfId="47" applyFont="1" applyFill="1" applyAlignment="1">
      <alignment horizontal="center"/>
    </xf>
    <xf numFmtId="0" fontId="23" fillId="0" borderId="0" xfId="47" applyFont="1" applyFill="1"/>
    <xf numFmtId="166" fontId="21" fillId="0" borderId="15" xfId="47" applyNumberFormat="1" applyFont="1" applyFill="1" applyBorder="1" applyAlignment="1">
      <alignment horizontal="center"/>
    </xf>
    <xf numFmtId="165" fontId="21" fillId="0" borderId="0" xfId="47" applyNumberFormat="1" applyFont="1" applyFill="1" applyBorder="1" applyAlignment="1">
      <alignment horizontal="center"/>
    </xf>
    <xf numFmtId="166" fontId="21" fillId="0" borderId="0" xfId="47" applyNumberFormat="1" applyFont="1" applyFill="1" applyBorder="1" applyAlignment="1">
      <alignment horizontal="center"/>
    </xf>
    <xf numFmtId="167" fontId="21" fillId="0" borderId="0" xfId="47" applyNumberFormat="1" applyFont="1" applyFill="1" applyBorder="1" applyAlignment="1">
      <alignment horizontal="center"/>
    </xf>
    <xf numFmtId="10" fontId="21" fillId="0" borderId="0" xfId="47" applyNumberFormat="1" applyFont="1" applyFill="1" applyBorder="1" applyAlignment="1">
      <alignment horizontal="center"/>
    </xf>
    <xf numFmtId="0" fontId="21" fillId="0" borderId="0" xfId="47" applyFont="1" applyFill="1" applyBorder="1" applyAlignment="1">
      <alignment horizontal="center"/>
    </xf>
    <xf numFmtId="14" fontId="21" fillId="0" borderId="0" xfId="47" applyNumberFormat="1" applyFont="1" applyFill="1" applyBorder="1" applyAlignment="1">
      <alignment horizontal="center"/>
    </xf>
    <xf numFmtId="1" fontId="21" fillId="0" borderId="16" xfId="47" applyNumberFormat="1" applyFont="1" applyFill="1" applyBorder="1" applyAlignment="1">
      <alignment horizontal="center"/>
    </xf>
    <xf numFmtId="14" fontId="21" fillId="0" borderId="16" xfId="47" applyNumberFormat="1" applyFont="1" applyFill="1" applyBorder="1" applyAlignment="1">
      <alignment horizontal="center"/>
    </xf>
    <xf numFmtId="44" fontId="21" fillId="0" borderId="16" xfId="48" applyFont="1" applyFill="1" applyBorder="1"/>
    <xf numFmtId="43" fontId="21" fillId="0" borderId="0" xfId="49" applyFont="1" applyFill="1" applyAlignment="1">
      <alignment horizontal="center"/>
    </xf>
    <xf numFmtId="0" fontId="21" fillId="0" borderId="0" xfId="47" applyFont="1" applyFill="1"/>
    <xf numFmtId="168" fontId="21" fillId="0" borderId="0" xfId="49" applyNumberFormat="1" applyFont="1" applyFill="1"/>
    <xf numFmtId="44" fontId="21" fillId="0" borderId="22" xfId="48" applyFont="1" applyFill="1" applyBorder="1"/>
    <xf numFmtId="44" fontId="21" fillId="0" borderId="22" xfId="48" applyFont="1" applyFill="1" applyBorder="1" applyAlignment="1">
      <alignment horizontal="center"/>
    </xf>
    <xf numFmtId="165" fontId="21" fillId="0" borderId="0" xfId="47" applyNumberFormat="1" applyFont="1" applyFill="1"/>
    <xf numFmtId="43" fontId="21" fillId="0" borderId="0" xfId="49" applyFont="1" applyFill="1"/>
    <xf numFmtId="43" fontId="21" fillId="0" borderId="0" xfId="47" applyNumberFormat="1" applyFont="1" applyFill="1"/>
    <xf numFmtId="43" fontId="21" fillId="0" borderId="0" xfId="49" applyNumberFormat="1" applyFont="1" applyFill="1" applyAlignment="1">
      <alignment horizontal="center"/>
    </xf>
    <xf numFmtId="43" fontId="21" fillId="0" borderId="0" xfId="49" applyNumberFormat="1" applyFont="1" applyFill="1" applyBorder="1"/>
    <xf numFmtId="43" fontId="21" fillId="0" borderId="0" xfId="49" applyNumberFormat="1" applyFont="1" applyFill="1" applyBorder="1" applyAlignment="1">
      <alignment horizontal="center"/>
    </xf>
    <xf numFmtId="165" fontId="21" fillId="0" borderId="0" xfId="49" applyNumberFormat="1" applyFont="1" applyFill="1" applyBorder="1"/>
    <xf numFmtId="14" fontId="21" fillId="0" borderId="0" xfId="47" applyNumberFormat="1" applyFont="1" applyFill="1"/>
    <xf numFmtId="169" fontId="21" fillId="0" borderId="0" xfId="48" applyNumberFormat="1" applyFont="1" applyFill="1"/>
    <xf numFmtId="165" fontId="21" fillId="0" borderId="0" xfId="47" applyNumberFormat="1" applyFont="1" applyFill="1" applyAlignment="1">
      <alignment horizontal="center"/>
    </xf>
    <xf numFmtId="167" fontId="21" fillId="0" borderId="0" xfId="50" applyNumberFormat="1" applyFont="1" applyFill="1" applyAlignment="1">
      <alignment wrapText="1"/>
    </xf>
    <xf numFmtId="167" fontId="21" fillId="0" borderId="0" xfId="50" applyNumberFormat="1" applyFont="1" applyFill="1" applyAlignment="1">
      <alignment horizontal="center" wrapText="1"/>
    </xf>
    <xf numFmtId="165" fontId="21" fillId="0" borderId="0" xfId="47" applyNumberFormat="1" applyFont="1" applyFill="1" applyAlignment="1">
      <alignment horizontal="center" wrapText="1"/>
    </xf>
    <xf numFmtId="0" fontId="21" fillId="0" borderId="0" xfId="47" applyFont="1" applyFill="1" applyBorder="1" applyAlignment="1">
      <alignment horizontal="left"/>
    </xf>
    <xf numFmtId="168" fontId="21" fillId="0" borderId="0" xfId="49" applyNumberFormat="1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47" applyFont="1" applyFill="1" applyBorder="1"/>
    <xf numFmtId="44" fontId="21" fillId="0" borderId="0" xfId="48" applyFont="1" applyFill="1" applyBorder="1" applyAlignment="1">
      <alignment horizontal="center"/>
    </xf>
    <xf numFmtId="4" fontId="21" fillId="0" borderId="0" xfId="47" applyNumberFormat="1" applyFont="1" applyFill="1" applyBorder="1"/>
    <xf numFmtId="4" fontId="21" fillId="0" borderId="0" xfId="49" applyNumberFormat="1" applyFont="1" applyFill="1" applyBorder="1"/>
    <xf numFmtId="165" fontId="21" fillId="0" borderId="0" xfId="47" applyNumberFormat="1" applyFont="1" applyFill="1" applyBorder="1"/>
    <xf numFmtId="0" fontId="21" fillId="0" borderId="0" xfId="47" applyFont="1" applyFill="1" applyBorder="1" applyAlignment="1">
      <alignment horizontal="right"/>
    </xf>
    <xf numFmtId="39" fontId="21" fillId="0" borderId="0" xfId="47" applyNumberFormat="1" applyFont="1" applyFill="1" applyBorder="1"/>
    <xf numFmtId="170" fontId="21" fillId="0" borderId="16" xfId="47" applyNumberFormat="1" applyFont="1" applyFill="1" applyBorder="1" applyAlignment="1">
      <alignment horizontal="center"/>
    </xf>
    <xf numFmtId="43" fontId="21" fillId="0" borderId="16" xfId="49" applyNumberFormat="1" applyFont="1" applyFill="1" applyBorder="1" applyAlignment="1">
      <alignment horizontal="center"/>
    </xf>
    <xf numFmtId="44" fontId="21" fillId="0" borderId="16" xfId="48" applyFont="1" applyFill="1" applyBorder="1" applyAlignment="1">
      <alignment horizontal="center"/>
    </xf>
    <xf numFmtId="44" fontId="21" fillId="0" borderId="0" xfId="48" applyFont="1" applyFill="1" applyBorder="1"/>
    <xf numFmtId="171" fontId="31" fillId="0" borderId="0" xfId="55" quotePrefix="1" applyNumberFormat="1" applyFont="1" applyFill="1" applyAlignment="1">
      <alignment horizontal="left"/>
    </xf>
    <xf numFmtId="39" fontId="31" fillId="0" borderId="0" xfId="55" applyNumberFormat="1" applyFont="1" applyFill="1" applyAlignment="1">
      <alignment horizontal="center"/>
    </xf>
    <xf numFmtId="39" fontId="31" fillId="0" borderId="0" xfId="55" quotePrefix="1" applyNumberFormat="1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17" fontId="23" fillId="0" borderId="0" xfId="0" applyNumberFormat="1" applyFont="1" applyFill="1" applyAlignment="1">
      <alignment horizontal="center"/>
    </xf>
    <xf numFmtId="43" fontId="23" fillId="0" borderId="22" xfId="0" applyNumberFormat="1" applyFont="1" applyFill="1" applyBorder="1"/>
    <xf numFmtId="43" fontId="21" fillId="0" borderId="22" xfId="0" applyNumberFormat="1" applyFont="1" applyFill="1" applyBorder="1"/>
    <xf numFmtId="43" fontId="21" fillId="0" borderId="0" xfId="0" applyNumberFormat="1" applyFont="1" applyFill="1"/>
    <xf numFmtId="43" fontId="23" fillId="0" borderId="24" xfId="0" applyNumberFormat="1" applyFont="1" applyFill="1" applyBorder="1"/>
    <xf numFmtId="43" fontId="23" fillId="0" borderId="22" xfId="49" applyFont="1" applyFill="1" applyBorder="1"/>
    <xf numFmtId="165" fontId="21" fillId="0" borderId="5" xfId="47" applyNumberFormat="1" applyFont="1" applyFill="1" applyBorder="1"/>
    <xf numFmtId="39" fontId="21" fillId="0" borderId="0" xfId="48" applyNumberFormat="1" applyFont="1" applyFill="1" applyBorder="1" applyAlignment="1">
      <alignment horizontal="right"/>
    </xf>
    <xf numFmtId="43" fontId="21" fillId="0" borderId="22" xfId="49" applyFont="1" applyFill="1" applyBorder="1"/>
    <xf numFmtId="43" fontId="21" fillId="0" borderId="22" xfId="49" applyFont="1" applyFill="1" applyBorder="1" applyAlignment="1">
      <alignment horizontal="center"/>
    </xf>
    <xf numFmtId="165" fontId="21" fillId="0" borderId="15" xfId="47" applyNumberFormat="1" applyFont="1" applyFill="1" applyBorder="1"/>
    <xf numFmtId="43" fontId="21" fillId="0" borderId="16" xfId="48" applyNumberFormat="1" applyFont="1" applyFill="1" applyBorder="1"/>
    <xf numFmtId="165" fontId="21" fillId="0" borderId="16" xfId="47" applyNumberFormat="1" applyFont="1" applyFill="1" applyBorder="1"/>
    <xf numFmtId="39" fontId="21" fillId="0" borderId="16" xfId="48" applyNumberFormat="1" applyFont="1" applyFill="1" applyBorder="1"/>
    <xf numFmtId="39" fontId="21" fillId="0" borderId="0" xfId="49" applyNumberFormat="1" applyFont="1" applyFill="1"/>
    <xf numFmtId="39" fontId="31" fillId="0" borderId="25" xfId="55" applyNumberFormat="1" applyFont="1" applyFill="1" applyBorder="1" applyAlignment="1">
      <alignment horizontal="center"/>
    </xf>
    <xf numFmtId="39" fontId="31" fillId="0" borderId="25" xfId="55" quotePrefix="1" applyNumberFormat="1" applyFont="1" applyFill="1" applyBorder="1" applyAlignment="1">
      <alignment horizontal="center"/>
    </xf>
    <xf numFmtId="164" fontId="23" fillId="0" borderId="0" xfId="46" applyFont="1" applyFill="1" applyAlignment="1">
      <alignment horizontal="left"/>
    </xf>
    <xf numFmtId="0" fontId="25" fillId="0" borderId="20" xfId="0" applyFont="1" applyFill="1" applyBorder="1" applyAlignment="1">
      <alignment horizontal="center"/>
    </xf>
    <xf numFmtId="0" fontId="21" fillId="0" borderId="0" xfId="0" applyFont="1" applyFill="1"/>
    <xf numFmtId="0" fontId="21" fillId="0" borderId="21" xfId="47" applyFont="1" applyFill="1" applyBorder="1"/>
    <xf numFmtId="165" fontId="23" fillId="0" borderId="21" xfId="47" applyNumberFormat="1" applyFont="1" applyFill="1" applyBorder="1" applyAlignment="1">
      <alignment horizontal="center"/>
    </xf>
    <xf numFmtId="0" fontId="21" fillId="0" borderId="0" xfId="47" applyFont="1" applyFill="1" applyAlignment="1">
      <alignment horizontal="left"/>
    </xf>
    <xf numFmtId="0" fontId="21" fillId="0" borderId="2" xfId="47" applyFont="1" applyFill="1" applyBorder="1" applyAlignment="1">
      <alignment horizontal="left"/>
    </xf>
    <xf numFmtId="0" fontId="21" fillId="0" borderId="15" xfId="47" applyFont="1" applyFill="1" applyBorder="1"/>
    <xf numFmtId="0" fontId="21" fillId="0" borderId="3" xfId="47" applyFont="1" applyFill="1" applyBorder="1" applyAlignment="1">
      <alignment horizontal="left"/>
    </xf>
    <xf numFmtId="0" fontId="21" fillId="0" borderId="3" xfId="47" applyFont="1" applyFill="1" applyBorder="1"/>
    <xf numFmtId="0" fontId="21" fillId="0" borderId="4" xfId="47" applyFont="1" applyFill="1" applyBorder="1"/>
    <xf numFmtId="0" fontId="21" fillId="0" borderId="16" xfId="47" applyFont="1" applyFill="1" applyBorder="1"/>
    <xf numFmtId="14" fontId="21" fillId="0" borderId="2" xfId="47" applyNumberFormat="1" applyFont="1" applyFill="1" applyBorder="1"/>
    <xf numFmtId="39" fontId="21" fillId="0" borderId="16" xfId="48" applyNumberFormat="1" applyFont="1" applyFill="1" applyBorder="1" applyAlignment="1">
      <alignment horizontal="center"/>
    </xf>
    <xf numFmtId="165" fontId="21" fillId="0" borderId="0" xfId="48" applyNumberFormat="1" applyFont="1" applyFill="1" applyAlignment="1">
      <alignment horizontal="center"/>
    </xf>
    <xf numFmtId="0" fontId="27" fillId="0" borderId="0" xfId="47" applyFont="1" applyFill="1" applyAlignment="1">
      <alignment horizontal="left"/>
    </xf>
    <xf numFmtId="44" fontId="21" fillId="0" borderId="0" xfId="48" applyFont="1" applyFill="1"/>
    <xf numFmtId="43" fontId="21" fillId="0" borderId="16" xfId="49" applyNumberFormat="1" applyFont="1" applyFill="1" applyBorder="1"/>
    <xf numFmtId="171" fontId="31" fillId="0" borderId="0" xfId="55" applyNumberFormat="1" applyFont="1" applyFill="1"/>
    <xf numFmtId="0" fontId="23" fillId="0" borderId="0" xfId="55" applyFont="1" applyFill="1" applyAlignment="1">
      <alignment horizontal="center" wrapText="1"/>
    </xf>
    <xf numFmtId="171" fontId="31" fillId="0" borderId="0" xfId="55" applyNumberFormat="1" applyFont="1" applyFill="1" applyAlignment="1">
      <alignment horizontal="center"/>
    </xf>
    <xf numFmtId="39" fontId="31" fillId="0" borderId="0" xfId="55" applyNumberFormat="1" applyFont="1" applyFill="1" applyAlignment="1">
      <alignment horizontal="right"/>
    </xf>
    <xf numFmtId="0" fontId="23" fillId="0" borderId="0" xfId="55" applyFont="1" applyFill="1"/>
    <xf numFmtId="0" fontId="31" fillId="0" borderId="0" xfId="0" quotePrefix="1" applyFont="1" applyFill="1" applyAlignment="1">
      <alignment horizontal="left"/>
    </xf>
    <xf numFmtId="0" fontId="31" fillId="0" borderId="0" xfId="0" quotePrefix="1" applyFont="1" applyFill="1" applyAlignment="1">
      <alignment horizontal="left" vertical="top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quotePrefix="1" applyFont="1" applyFill="1" applyAlignment="1">
      <alignment horizontal="left"/>
    </xf>
    <xf numFmtId="0" fontId="23" fillId="0" borderId="0" xfId="0" applyFont="1" applyFill="1"/>
    <xf numFmtId="0" fontId="21" fillId="0" borderId="0" xfId="0" quotePrefix="1" applyFont="1" applyFill="1" applyAlignment="1">
      <alignment horizontal="right"/>
    </xf>
    <xf numFmtId="43" fontId="23" fillId="0" borderId="0" xfId="0" applyNumberFormat="1" applyFont="1" applyFill="1"/>
    <xf numFmtId="43" fontId="23" fillId="0" borderId="0" xfId="0" applyNumberFormat="1" applyFont="1" applyFill="1" applyBorder="1"/>
    <xf numFmtId="43" fontId="21" fillId="0" borderId="16" xfId="0" applyNumberFormat="1" applyFont="1" applyFill="1" applyBorder="1"/>
    <xf numFmtId="43" fontId="21" fillId="0" borderId="0" xfId="0" applyNumberFormat="1" applyFont="1" applyFill="1" applyBorder="1"/>
    <xf numFmtId="0" fontId="32" fillId="0" borderId="0" xfId="0" applyFont="1" applyFill="1"/>
    <xf numFmtId="0" fontId="21" fillId="0" borderId="0" xfId="0" quotePrefix="1" applyFont="1" applyFill="1" applyAlignment="1">
      <alignment horizontal="left" wrapText="1"/>
    </xf>
    <xf numFmtId="43" fontId="23" fillId="0" borderId="0" xfId="49" applyFont="1" applyFill="1"/>
    <xf numFmtId="39" fontId="21" fillId="0" borderId="0" xfId="0" applyNumberFormat="1" applyFont="1" applyFill="1"/>
    <xf numFmtId="39" fontId="21" fillId="0" borderId="0" xfId="0" quotePrefix="1" applyNumberFormat="1" applyFont="1" applyFill="1" applyAlignment="1">
      <alignment horizontal="left"/>
    </xf>
    <xf numFmtId="0" fontId="21" fillId="0" borderId="0" xfId="0" applyFont="1" applyFill="1" applyAlignment="1">
      <alignment wrapText="1"/>
    </xf>
    <xf numFmtId="0" fontId="21" fillId="0" borderId="0" xfId="0" quotePrefix="1" applyFont="1" applyFill="1" applyAlignment="1">
      <alignment horizontal="left"/>
    </xf>
    <xf numFmtId="43" fontId="21" fillId="0" borderId="0" xfId="49" applyFont="1" applyFill="1" applyAlignment="1">
      <alignment wrapText="1"/>
    </xf>
    <xf numFmtId="43" fontId="21" fillId="0" borderId="15" xfId="49" applyFont="1" applyFill="1" applyBorder="1"/>
    <xf numFmtId="43" fontId="21" fillId="0" borderId="24" xfId="49" applyFont="1" applyFill="1" applyBorder="1"/>
    <xf numFmtId="39" fontId="21" fillId="0" borderId="23" xfId="0" applyNumberFormat="1" applyFont="1" applyFill="1" applyBorder="1"/>
    <xf numFmtId="39" fontId="38" fillId="0" borderId="0" xfId="55" applyNumberFormat="1" applyFont="1" applyFill="1"/>
    <xf numFmtId="171" fontId="38" fillId="0" borderId="0" xfId="55" applyNumberFormat="1" applyFont="1" applyFill="1"/>
    <xf numFmtId="171" fontId="38" fillId="0" borderId="0" xfId="55" applyNumberFormat="1" applyFont="1" applyFill="1" applyAlignment="1">
      <alignment horizontal="left" wrapText="1"/>
    </xf>
    <xf numFmtId="39" fontId="38" fillId="0" borderId="0" xfId="55" applyNumberFormat="1" applyFont="1" applyFill="1" applyAlignment="1">
      <alignment wrapText="1"/>
    </xf>
    <xf numFmtId="171" fontId="38" fillId="0" borderId="0" xfId="55" quotePrefix="1" applyNumberFormat="1" applyFont="1" applyFill="1" applyAlignment="1">
      <alignment horizontal="left"/>
    </xf>
    <xf numFmtId="39" fontId="38" fillId="0" borderId="0" xfId="55" quotePrefix="1" applyNumberFormat="1" applyFont="1" applyFill="1" applyAlignment="1">
      <alignment horizontal="left"/>
    </xf>
    <xf numFmtId="39" fontId="38" fillId="0" borderId="23" xfId="55" applyNumberFormat="1" applyFont="1" applyFill="1" applyBorder="1"/>
    <xf numFmtId="39" fontId="38" fillId="0" borderId="0" xfId="55" applyNumberFormat="1" applyFont="1" applyFill="1" applyBorder="1"/>
    <xf numFmtId="39" fontId="38" fillId="0" borderId="24" xfId="55" applyNumberFormat="1" applyFont="1" applyFill="1" applyBorder="1"/>
    <xf numFmtId="39" fontId="38" fillId="0" borderId="0" xfId="55" applyNumberFormat="1" applyFont="1" applyFill="1" applyAlignment="1">
      <alignment horizontal="right"/>
    </xf>
    <xf numFmtId="10" fontId="38" fillId="0" borderId="0" xfId="56" applyNumberFormat="1" applyFont="1" applyFill="1"/>
    <xf numFmtId="0" fontId="21" fillId="0" borderId="0" xfId="0" applyFont="1" applyFill="1" applyAlignment="1"/>
    <xf numFmtId="0" fontId="39" fillId="0" borderId="0" xfId="42" applyFont="1" applyFill="1" applyAlignment="1">
      <alignment horizontal="left"/>
    </xf>
    <xf numFmtId="0" fontId="34" fillId="0" borderId="0" xfId="42" applyFont="1" applyFill="1" applyAlignment="1">
      <alignment horizontal="centerContinuous"/>
    </xf>
    <xf numFmtId="0" fontId="35" fillId="0" borderId="0" xfId="41" applyFont="1" applyFill="1" applyAlignment="1">
      <alignment horizontal="left"/>
    </xf>
    <xf numFmtId="0" fontId="35" fillId="0" borderId="0" xfId="41" applyFont="1" applyFill="1" applyAlignment="1">
      <alignment horizontal="centerContinuous"/>
    </xf>
    <xf numFmtId="0" fontId="36" fillId="0" borderId="2" xfId="39" applyFont="1" applyFill="1" applyBorder="1">
      <alignment horizontal="right"/>
    </xf>
    <xf numFmtId="0" fontId="36" fillId="0" borderId="15" xfId="39" applyFont="1" applyFill="1" applyBorder="1">
      <alignment horizontal="right"/>
    </xf>
    <xf numFmtId="0" fontId="36" fillId="0" borderId="5" xfId="39" applyFont="1" applyFill="1" applyBorder="1">
      <alignment horizontal="right"/>
    </xf>
    <xf numFmtId="0" fontId="36" fillId="0" borderId="3" xfId="39" applyFont="1" applyFill="1" applyBorder="1">
      <alignment horizontal="right"/>
    </xf>
    <xf numFmtId="0" fontId="36" fillId="0" borderId="0" xfId="39" applyFont="1" applyFill="1" applyBorder="1">
      <alignment horizontal="right"/>
    </xf>
    <xf numFmtId="0" fontId="36" fillId="0" borderId="1" xfId="39" applyFont="1" applyFill="1" applyBorder="1">
      <alignment horizontal="right"/>
    </xf>
    <xf numFmtId="0" fontId="36" fillId="0" borderId="4" xfId="39" applyFont="1" applyFill="1" applyBorder="1">
      <alignment horizontal="right"/>
    </xf>
    <xf numFmtId="0" fontId="36" fillId="0" borderId="16" xfId="39" applyFont="1" applyFill="1" applyBorder="1">
      <alignment horizontal="right"/>
    </xf>
    <xf numFmtId="0" fontId="36" fillId="0" borderId="6" xfId="39" applyFont="1" applyFill="1" applyBorder="1">
      <alignment horizontal="right"/>
    </xf>
    <xf numFmtId="0" fontId="35" fillId="0" borderId="17" xfId="40" applyFont="1" applyFill="1" applyBorder="1"/>
    <xf numFmtId="40" fontId="37" fillId="0" borderId="15" xfId="38" applyFont="1" applyFill="1" applyBorder="1">
      <alignment horizontal="right"/>
    </xf>
    <xf numFmtId="40" fontId="37" fillId="0" borderId="5" xfId="38" applyFont="1" applyFill="1" applyBorder="1">
      <alignment horizontal="right"/>
    </xf>
    <xf numFmtId="0" fontId="35" fillId="0" borderId="18" xfId="40" applyFont="1" applyFill="1" applyBorder="1"/>
    <xf numFmtId="40" fontId="37" fillId="0" borderId="0" xfId="38" applyFont="1" applyFill="1" applyBorder="1">
      <alignment horizontal="right"/>
    </xf>
    <xf numFmtId="40" fontId="37" fillId="0" borderId="1" xfId="38" applyFont="1" applyFill="1" applyBorder="1">
      <alignment horizontal="right"/>
    </xf>
    <xf numFmtId="0" fontId="35" fillId="0" borderId="19" xfId="40" applyFont="1" applyFill="1" applyBorder="1"/>
    <xf numFmtId="40" fontId="37" fillId="0" borderId="16" xfId="38" applyFont="1" applyFill="1" applyBorder="1">
      <alignment horizontal="right"/>
    </xf>
    <xf numFmtId="40" fontId="37" fillId="0" borderId="6" xfId="38" applyFont="1" applyFill="1" applyBorder="1">
      <alignment horizontal="right"/>
    </xf>
    <xf numFmtId="0" fontId="33" fillId="0" borderId="0" xfId="42" applyFont="1" applyFill="1" applyAlignment="1">
      <alignment horizontal="left"/>
    </xf>
    <xf numFmtId="0" fontId="36" fillId="0" borderId="2" xfId="39" applyFont="1" applyFill="1" applyBorder="1" applyAlignment="1">
      <alignment horizontal="center"/>
    </xf>
    <xf numFmtId="0" fontId="36" fillId="0" borderId="5" xfId="39" applyFont="1" applyFill="1" applyBorder="1" applyAlignment="1">
      <alignment horizontal="center"/>
    </xf>
    <xf numFmtId="0" fontId="36" fillId="0" borderId="3" xfId="39" applyFont="1" applyFill="1" applyBorder="1" applyAlignment="1">
      <alignment horizontal="center"/>
    </xf>
    <xf numFmtId="0" fontId="36" fillId="0" borderId="1" xfId="39" applyFont="1" applyFill="1" applyBorder="1" applyAlignment="1">
      <alignment horizontal="center"/>
    </xf>
    <xf numFmtId="0" fontId="36" fillId="0" borderId="4" xfId="39" applyFont="1" applyFill="1" applyBorder="1" applyAlignment="1">
      <alignment horizontal="center"/>
    </xf>
    <xf numFmtId="0" fontId="36" fillId="0" borderId="6" xfId="39" applyFont="1" applyFill="1" applyBorder="1" applyAlignment="1">
      <alignment horizontal="center"/>
    </xf>
    <xf numFmtId="0" fontId="35" fillId="0" borderId="2" xfId="40" applyFont="1" applyFill="1" applyBorder="1"/>
    <xf numFmtId="40" fontId="37" fillId="0" borderId="2" xfId="38" applyFont="1" applyFill="1" applyBorder="1">
      <alignment horizontal="right"/>
    </xf>
    <xf numFmtId="0" fontId="35" fillId="0" borderId="3" xfId="40" applyFont="1" applyFill="1" applyBorder="1"/>
    <xf numFmtId="40" fontId="37" fillId="0" borderId="3" xfId="38" applyFont="1" applyFill="1" applyBorder="1">
      <alignment horizontal="right"/>
    </xf>
    <xf numFmtId="0" fontId="35" fillId="0" borderId="4" xfId="40" applyFont="1" applyFill="1" applyBorder="1"/>
    <xf numFmtId="40" fontId="37" fillId="0" borderId="4" xfId="38" applyFont="1" applyFill="1" applyBorder="1">
      <alignment horizontal="right"/>
    </xf>
    <xf numFmtId="43" fontId="21" fillId="0" borderId="16" xfId="48" applyNumberFormat="1" applyFont="1" applyFill="1" applyBorder="1" applyAlignment="1">
      <alignment horizontal="center"/>
    </xf>
    <xf numFmtId="43" fontId="21" fillId="0" borderId="0" xfId="49" applyNumberFormat="1" applyFont="1" applyFill="1"/>
    <xf numFmtId="0" fontId="21" fillId="0" borderId="0" xfId="47" applyFont="1" applyFill="1" applyAlignment="1">
      <alignment horizontal="left" wrapText="1"/>
    </xf>
    <xf numFmtId="0" fontId="21" fillId="0" borderId="0" xfId="47" applyFont="1" applyFill="1" applyAlignment="1">
      <alignment horizontal="center" wrapText="1"/>
    </xf>
    <xf numFmtId="165" fontId="21" fillId="0" borderId="1" xfId="47" applyNumberFormat="1" applyFont="1" applyFill="1" applyBorder="1"/>
    <xf numFmtId="165" fontId="21" fillId="0" borderId="6" xfId="47" applyNumberFormat="1" applyFont="1" applyFill="1" applyBorder="1"/>
    <xf numFmtId="44" fontId="21" fillId="0" borderId="6" xfId="48" applyFont="1" applyFill="1" applyBorder="1" applyAlignment="1">
      <alignment horizontal="center"/>
    </xf>
    <xf numFmtId="0" fontId="36" fillId="0" borderId="15" xfId="39" applyFont="1" applyFill="1" applyBorder="1" applyAlignment="1">
      <alignment horizontal="center"/>
    </xf>
    <xf numFmtId="0" fontId="36" fillId="0" borderId="0" xfId="39" applyFont="1" applyFill="1" applyBorder="1" applyAlignment="1">
      <alignment horizontal="center"/>
    </xf>
    <xf numFmtId="0" fontId="36" fillId="0" borderId="16" xfId="39" applyFont="1" applyFill="1" applyBorder="1" applyAlignment="1">
      <alignment horizontal="center"/>
    </xf>
    <xf numFmtId="0" fontId="31" fillId="0" borderId="0" xfId="0" quotePrefix="1" applyFont="1" applyFill="1" applyAlignment="1">
      <alignment horizontal="left" vertical="top" wrapText="1"/>
    </xf>
    <xf numFmtId="39" fontId="38" fillId="0" borderId="0" xfId="55" applyNumberFormat="1" applyFont="1" applyFill="1" applyAlignment="1">
      <alignment horizontal="left"/>
    </xf>
    <xf numFmtId="0" fontId="21" fillId="0" borderId="0" xfId="45" applyFont="1" applyFill="1" applyAlignment="1"/>
    <xf numFmtId="0" fontId="35" fillId="0" borderId="0" xfId="41" applyFont="1" applyFill="1" applyAlignment="1"/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9"/>
    <cellStyle name="Comma 3" xfId="51"/>
    <cellStyle name="Currency 2" xfId="48"/>
    <cellStyle name="Currency 3" xfId="52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5"/>
    <cellStyle name="Normal 3" xfId="53"/>
    <cellStyle name="Normal 4" xfId="54"/>
    <cellStyle name="Normal 5" xfId="55"/>
    <cellStyle name="Normal_J061 LG&amp;E-TRM" xfId="47"/>
    <cellStyle name="Normal_Support" xfId="46"/>
    <cellStyle name="Output" xfId="37" builtinId="21" customBuiltin="1"/>
    <cellStyle name="Output Amounts" xfId="38"/>
    <cellStyle name="Output Column Headings" xfId="39"/>
    <cellStyle name="Output Line Items" xfId="40"/>
    <cellStyle name="Output Report Heading" xfId="41"/>
    <cellStyle name="Output Report Title" xfId="42"/>
    <cellStyle name="Percent 2" xfId="50"/>
    <cellStyle name="Percent 3" xfId="56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NERGY\LKC%20&amp;%20LKE\LKE%20(Co.%20800)\Journal%20Entries%20-%20LKE\J021%20-%20EU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AUG 10 xlsm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C68"/>
  <sheetViews>
    <sheetView tabSelected="1" workbookViewId="0">
      <selection activeCell="D25" sqref="D25"/>
    </sheetView>
  </sheetViews>
  <sheetFormatPr defaultColWidth="18.7109375" defaultRowHeight="12.75" x14ac:dyDescent="0.2"/>
  <cols>
    <col min="1" max="1" width="42.7109375" style="122" bestFit="1" customWidth="1"/>
    <col min="2" max="16384" width="18.7109375" style="122"/>
  </cols>
  <sheetData>
    <row r="1" spans="1:3" ht="27" x14ac:dyDescent="0.35">
      <c r="A1" s="145" t="s">
        <v>41</v>
      </c>
      <c r="C1" s="124"/>
    </row>
    <row r="2" spans="1:3" ht="14.25" x14ac:dyDescent="0.2">
      <c r="A2" s="125" t="s">
        <v>37</v>
      </c>
      <c r="C2" s="126"/>
    </row>
    <row r="3" spans="1:3" ht="27" customHeight="1" x14ac:dyDescent="0.2">
      <c r="A3" s="125" t="s">
        <v>38</v>
      </c>
      <c r="C3" s="126"/>
    </row>
    <row r="4" spans="1:3" ht="14.25" customHeight="1" x14ac:dyDescent="0.25">
      <c r="A4" s="127"/>
      <c r="B4" s="146"/>
      <c r="C4" s="147"/>
    </row>
    <row r="5" spans="1:3" ht="14.25" customHeight="1" x14ac:dyDescent="0.25">
      <c r="A5" s="130"/>
      <c r="B5" s="148" t="s">
        <v>39</v>
      </c>
      <c r="C5" s="149" t="s">
        <v>40</v>
      </c>
    </row>
    <row r="6" spans="1:3" ht="15" customHeight="1" x14ac:dyDescent="0.25">
      <c r="A6" s="133"/>
      <c r="B6" s="150" t="s">
        <v>42</v>
      </c>
      <c r="C6" s="151" t="s">
        <v>42</v>
      </c>
    </row>
    <row r="7" spans="1:3" ht="15" customHeight="1" x14ac:dyDescent="0.25">
      <c r="A7" s="152"/>
      <c r="B7" s="153"/>
      <c r="C7" s="138"/>
    </row>
    <row r="8" spans="1:3" ht="15" customHeight="1" x14ac:dyDescent="0.25">
      <c r="A8" s="154" t="s">
        <v>0</v>
      </c>
      <c r="B8" s="155"/>
      <c r="C8" s="141"/>
    </row>
    <row r="9" spans="1:3" ht="15" customHeight="1" x14ac:dyDescent="0.25">
      <c r="A9" s="154" t="s">
        <v>1</v>
      </c>
      <c r="B9" s="155">
        <v>0</v>
      </c>
      <c r="C9" s="141">
        <v>0</v>
      </c>
    </row>
    <row r="10" spans="1:3" ht="15" customHeight="1" x14ac:dyDescent="0.25">
      <c r="A10" s="154" t="s">
        <v>2</v>
      </c>
      <c r="B10" s="155">
        <v>0</v>
      </c>
      <c r="C10" s="141">
        <v>0</v>
      </c>
    </row>
    <row r="11" spans="1:3" ht="15" customHeight="1" x14ac:dyDescent="0.25">
      <c r="A11" s="154" t="s">
        <v>3</v>
      </c>
      <c r="B11" s="155">
        <v>0</v>
      </c>
      <c r="C11" s="141">
        <v>0</v>
      </c>
    </row>
    <row r="12" spans="1:3" ht="15" customHeight="1" x14ac:dyDescent="0.25">
      <c r="A12" s="154"/>
      <c r="B12" s="155"/>
      <c r="C12" s="141"/>
    </row>
    <row r="13" spans="1:3" ht="15" customHeight="1" x14ac:dyDescent="0.25">
      <c r="A13" s="154" t="s">
        <v>4</v>
      </c>
      <c r="B13" s="155">
        <v>0</v>
      </c>
      <c r="C13" s="141">
        <v>0</v>
      </c>
    </row>
    <row r="14" spans="1:3" ht="15" customHeight="1" x14ac:dyDescent="0.25">
      <c r="A14" s="154"/>
      <c r="B14" s="155"/>
      <c r="C14" s="141"/>
    </row>
    <row r="15" spans="1:3" ht="15" customHeight="1" x14ac:dyDescent="0.25">
      <c r="A15" s="154" t="s">
        <v>5</v>
      </c>
      <c r="B15" s="155"/>
      <c r="C15" s="141"/>
    </row>
    <row r="16" spans="1:3" ht="15" customHeight="1" x14ac:dyDescent="0.25">
      <c r="A16" s="154" t="s">
        <v>6</v>
      </c>
      <c r="B16" s="155">
        <v>0</v>
      </c>
      <c r="C16" s="141">
        <v>0</v>
      </c>
    </row>
    <row r="17" spans="1:3" ht="15" customHeight="1" x14ac:dyDescent="0.25">
      <c r="A17" s="154" t="s">
        <v>7</v>
      </c>
      <c r="B17" s="155">
        <v>0</v>
      </c>
      <c r="C17" s="141">
        <v>0</v>
      </c>
    </row>
    <row r="18" spans="1:3" ht="15" customHeight="1" x14ac:dyDescent="0.25">
      <c r="A18" s="154" t="s">
        <v>8</v>
      </c>
      <c r="B18" s="155">
        <v>0</v>
      </c>
      <c r="C18" s="141">
        <v>0</v>
      </c>
    </row>
    <row r="19" spans="1:3" ht="15" customHeight="1" x14ac:dyDescent="0.25">
      <c r="A19" s="154"/>
      <c r="B19" s="155"/>
      <c r="C19" s="141"/>
    </row>
    <row r="20" spans="1:3" ht="15" customHeight="1" x14ac:dyDescent="0.25">
      <c r="A20" s="154" t="s">
        <v>9</v>
      </c>
      <c r="B20" s="155">
        <v>0</v>
      </c>
      <c r="C20" s="141">
        <v>0</v>
      </c>
    </row>
    <row r="21" spans="1:3" ht="15" customHeight="1" x14ac:dyDescent="0.25">
      <c r="A21" s="154"/>
      <c r="B21" s="155"/>
      <c r="C21" s="141"/>
    </row>
    <row r="22" spans="1:3" ht="15" customHeight="1" x14ac:dyDescent="0.25">
      <c r="A22" s="154" t="s">
        <v>10</v>
      </c>
      <c r="B22" s="155">
        <v>0</v>
      </c>
      <c r="C22" s="141">
        <v>0</v>
      </c>
    </row>
    <row r="23" spans="1:3" ht="15" customHeight="1" x14ac:dyDescent="0.25">
      <c r="A23" s="154"/>
      <c r="B23" s="155"/>
      <c r="C23" s="141"/>
    </row>
    <row r="24" spans="1:3" ht="15" customHeight="1" x14ac:dyDescent="0.25">
      <c r="A24" s="154" t="s">
        <v>11</v>
      </c>
      <c r="B24" s="155"/>
      <c r="C24" s="141"/>
    </row>
    <row r="25" spans="1:3" ht="15" customHeight="1" x14ac:dyDescent="0.25">
      <c r="A25" s="154" t="s">
        <v>12</v>
      </c>
      <c r="B25" s="155">
        <v>-2435.5300000000002</v>
      </c>
      <c r="C25" s="141">
        <v>-11359.81</v>
      </c>
    </row>
    <row r="26" spans="1:3" ht="15" customHeight="1" x14ac:dyDescent="0.25">
      <c r="A26" s="154" t="s">
        <v>13</v>
      </c>
      <c r="B26" s="155">
        <v>0</v>
      </c>
      <c r="C26" s="141">
        <v>0</v>
      </c>
    </row>
    <row r="27" spans="1:3" ht="15" customHeight="1" x14ac:dyDescent="0.25">
      <c r="A27" s="154" t="s">
        <v>14</v>
      </c>
      <c r="B27" s="155">
        <v>0</v>
      </c>
      <c r="C27" s="141">
        <v>0</v>
      </c>
    </row>
    <row r="28" spans="1:3" ht="15" customHeight="1" x14ac:dyDescent="0.25">
      <c r="A28" s="154"/>
      <c r="B28" s="155"/>
      <c r="C28" s="141"/>
    </row>
    <row r="29" spans="1:3" ht="15" customHeight="1" x14ac:dyDescent="0.25">
      <c r="A29" s="154" t="s">
        <v>15</v>
      </c>
      <c r="B29" s="155">
        <v>-2435.5300000000002</v>
      </c>
      <c r="C29" s="141">
        <v>-11359.81</v>
      </c>
    </row>
    <row r="30" spans="1:3" ht="15" customHeight="1" x14ac:dyDescent="0.25">
      <c r="A30" s="154"/>
      <c r="B30" s="155"/>
      <c r="C30" s="141"/>
    </row>
    <row r="31" spans="1:3" ht="15" customHeight="1" x14ac:dyDescent="0.25">
      <c r="A31" s="154" t="s">
        <v>16</v>
      </c>
      <c r="B31" s="155">
        <v>0</v>
      </c>
      <c r="C31" s="141">
        <v>0</v>
      </c>
    </row>
    <row r="32" spans="1:3" ht="15" customHeight="1" x14ac:dyDescent="0.25">
      <c r="A32" s="154"/>
      <c r="B32" s="155"/>
      <c r="C32" s="141"/>
    </row>
    <row r="33" spans="1:3" ht="15" customHeight="1" x14ac:dyDescent="0.25">
      <c r="A33" s="154" t="s">
        <v>17</v>
      </c>
      <c r="B33" s="155">
        <v>-2435.5300000000002</v>
      </c>
      <c r="C33" s="141">
        <v>-11359.81</v>
      </c>
    </row>
    <row r="34" spans="1:3" ht="15" customHeight="1" x14ac:dyDescent="0.25">
      <c r="A34" s="154"/>
      <c r="B34" s="155"/>
      <c r="C34" s="141"/>
    </row>
    <row r="35" spans="1:3" ht="15" customHeight="1" x14ac:dyDescent="0.25">
      <c r="A35" s="154" t="s">
        <v>18</v>
      </c>
      <c r="B35" s="155">
        <v>5100.96</v>
      </c>
      <c r="C35" s="141">
        <v>11650.87</v>
      </c>
    </row>
    <row r="36" spans="1:3" ht="15" customHeight="1" x14ac:dyDescent="0.25">
      <c r="A36" s="154" t="s">
        <v>19</v>
      </c>
      <c r="B36" s="155">
        <v>0</v>
      </c>
      <c r="C36" s="141">
        <v>0</v>
      </c>
    </row>
    <row r="37" spans="1:3" ht="15" customHeight="1" x14ac:dyDescent="0.25">
      <c r="A37" s="154" t="s">
        <v>43</v>
      </c>
      <c r="B37" s="155">
        <v>0</v>
      </c>
      <c r="C37" s="141">
        <v>0</v>
      </c>
    </row>
    <row r="38" spans="1:3" ht="15" customHeight="1" x14ac:dyDescent="0.25">
      <c r="A38" s="154" t="s">
        <v>20</v>
      </c>
      <c r="B38" s="155">
        <v>82373.789999999994</v>
      </c>
      <c r="C38" s="141">
        <v>82435.87</v>
      </c>
    </row>
    <row r="39" spans="1:3" ht="15" customHeight="1" x14ac:dyDescent="0.25">
      <c r="A39" s="154" t="s">
        <v>44</v>
      </c>
      <c r="B39" s="155">
        <v>2265104.2599999998</v>
      </c>
      <c r="C39" s="141">
        <v>4514695.67</v>
      </c>
    </row>
    <row r="40" spans="1:3" ht="15" customHeight="1" x14ac:dyDescent="0.25">
      <c r="A40" s="154" t="s">
        <v>45</v>
      </c>
      <c r="B40" s="155">
        <v>-50958.9</v>
      </c>
      <c r="C40" s="141">
        <v>-632570.82999999996</v>
      </c>
    </row>
    <row r="41" spans="1:3" ht="15" customHeight="1" x14ac:dyDescent="0.25">
      <c r="A41" s="154" t="s">
        <v>21</v>
      </c>
      <c r="B41" s="155">
        <v>-2323383.67</v>
      </c>
      <c r="C41" s="141">
        <v>-3792326.29</v>
      </c>
    </row>
    <row r="42" spans="1:3" ht="15" customHeight="1" x14ac:dyDescent="0.25">
      <c r="A42" s="154" t="s">
        <v>22</v>
      </c>
      <c r="B42" s="155">
        <v>0</v>
      </c>
      <c r="C42" s="141">
        <v>0</v>
      </c>
    </row>
    <row r="43" spans="1:3" ht="15" customHeight="1" x14ac:dyDescent="0.25">
      <c r="A43" s="154"/>
      <c r="B43" s="155"/>
      <c r="C43" s="141"/>
    </row>
    <row r="44" spans="1:3" ht="15" customHeight="1" x14ac:dyDescent="0.25">
      <c r="A44" s="154" t="s">
        <v>23</v>
      </c>
      <c r="B44" s="155">
        <v>-24199.09</v>
      </c>
      <c r="C44" s="141">
        <v>172525.48</v>
      </c>
    </row>
    <row r="45" spans="1:3" ht="15" customHeight="1" x14ac:dyDescent="0.25">
      <c r="A45" s="154"/>
      <c r="B45" s="155"/>
      <c r="C45" s="141"/>
    </row>
    <row r="46" spans="1:3" ht="15" customHeight="1" x14ac:dyDescent="0.25">
      <c r="A46" s="154" t="s">
        <v>24</v>
      </c>
      <c r="B46" s="155">
        <v>-1107897.04</v>
      </c>
      <c r="C46" s="141">
        <v>-1184422.8899999999</v>
      </c>
    </row>
    <row r="47" spans="1:3" ht="15" customHeight="1" x14ac:dyDescent="0.25">
      <c r="A47" s="154" t="s">
        <v>25</v>
      </c>
      <c r="B47" s="155">
        <v>-50328.12</v>
      </c>
      <c r="C47" s="141">
        <v>226492.88</v>
      </c>
    </row>
    <row r="48" spans="1:3" ht="15" customHeight="1" x14ac:dyDescent="0.25">
      <c r="A48" s="154"/>
      <c r="B48" s="155"/>
      <c r="C48" s="141"/>
    </row>
    <row r="49" spans="1:3" ht="15" customHeight="1" x14ac:dyDescent="0.25">
      <c r="A49" s="154" t="s">
        <v>26</v>
      </c>
      <c r="B49" s="155">
        <v>-1158225.1599999999</v>
      </c>
      <c r="C49" s="141">
        <v>-957930.01</v>
      </c>
    </row>
    <row r="50" spans="1:3" ht="15" customHeight="1" x14ac:dyDescent="0.25">
      <c r="A50" s="154"/>
      <c r="B50" s="155"/>
      <c r="C50" s="141"/>
    </row>
    <row r="51" spans="1:3" ht="15" customHeight="1" x14ac:dyDescent="0.25">
      <c r="A51" s="154" t="s">
        <v>27</v>
      </c>
      <c r="B51" s="155">
        <v>-1182424.25</v>
      </c>
      <c r="C51" s="141">
        <v>-785404.53</v>
      </c>
    </row>
    <row r="52" spans="1:3" ht="15" customHeight="1" x14ac:dyDescent="0.25">
      <c r="A52" s="154"/>
      <c r="B52" s="155"/>
      <c r="C52" s="141"/>
    </row>
    <row r="53" spans="1:3" ht="15" customHeight="1" x14ac:dyDescent="0.25">
      <c r="A53" s="154" t="s">
        <v>28</v>
      </c>
      <c r="B53" s="155">
        <v>0</v>
      </c>
      <c r="C53" s="141">
        <v>0</v>
      </c>
    </row>
    <row r="54" spans="1:3" ht="15" customHeight="1" x14ac:dyDescent="0.25">
      <c r="A54" s="154" t="s">
        <v>29</v>
      </c>
      <c r="B54" s="155">
        <v>0</v>
      </c>
      <c r="C54" s="141">
        <v>0</v>
      </c>
    </row>
    <row r="55" spans="1:3" ht="15" customHeight="1" x14ac:dyDescent="0.25">
      <c r="A55" s="154" t="s">
        <v>30</v>
      </c>
      <c r="B55" s="155">
        <v>0</v>
      </c>
      <c r="C55" s="141">
        <v>0</v>
      </c>
    </row>
    <row r="56" spans="1:3" ht="15" customHeight="1" x14ac:dyDescent="0.25">
      <c r="A56" s="154" t="s">
        <v>31</v>
      </c>
      <c r="B56" s="155">
        <v>0</v>
      </c>
      <c r="C56" s="141">
        <v>0</v>
      </c>
    </row>
    <row r="57" spans="1:3" ht="15" customHeight="1" x14ac:dyDescent="0.25">
      <c r="A57" s="154"/>
      <c r="B57" s="155"/>
      <c r="C57" s="141"/>
    </row>
    <row r="58" spans="1:3" ht="15" customHeight="1" x14ac:dyDescent="0.25">
      <c r="A58" s="154" t="s">
        <v>32</v>
      </c>
      <c r="B58" s="155">
        <v>-1182424.25</v>
      </c>
      <c r="C58" s="141">
        <v>-785404.53</v>
      </c>
    </row>
    <row r="59" spans="1:3" ht="15" customHeight="1" x14ac:dyDescent="0.25">
      <c r="A59" s="154"/>
      <c r="B59" s="155"/>
      <c r="C59" s="141"/>
    </row>
    <row r="60" spans="1:3" ht="15" customHeight="1" x14ac:dyDescent="0.25">
      <c r="A60" s="154" t="s">
        <v>33</v>
      </c>
      <c r="B60" s="155">
        <v>0</v>
      </c>
      <c r="C60" s="141">
        <v>0</v>
      </c>
    </row>
    <row r="61" spans="1:3" ht="15" customHeight="1" x14ac:dyDescent="0.25">
      <c r="A61" s="154"/>
      <c r="B61" s="155"/>
      <c r="C61" s="141"/>
    </row>
    <row r="62" spans="1:3" ht="15" customHeight="1" x14ac:dyDescent="0.25">
      <c r="A62" s="154" t="s">
        <v>34</v>
      </c>
      <c r="B62" s="155">
        <v>-1182424.25</v>
      </c>
      <c r="C62" s="141">
        <v>-785404.53</v>
      </c>
    </row>
    <row r="63" spans="1:3" ht="15" customHeight="1" x14ac:dyDescent="0.25">
      <c r="A63" s="154"/>
      <c r="B63" s="155"/>
      <c r="C63" s="141"/>
    </row>
    <row r="64" spans="1:3" ht="15" customHeight="1" x14ac:dyDescent="0.25">
      <c r="A64" s="154" t="s">
        <v>35</v>
      </c>
      <c r="B64" s="155">
        <v>1182424.25</v>
      </c>
      <c r="C64" s="141">
        <v>785404.53</v>
      </c>
    </row>
    <row r="65" spans="1:3" ht="15" customHeight="1" x14ac:dyDescent="0.25">
      <c r="A65" s="154"/>
      <c r="B65" s="155"/>
      <c r="C65" s="141"/>
    </row>
    <row r="66" spans="1:3" ht="15" customHeight="1" x14ac:dyDescent="0.25">
      <c r="A66" s="156" t="s">
        <v>36</v>
      </c>
      <c r="B66" s="157">
        <v>0</v>
      </c>
      <c r="C66" s="144">
        <v>0</v>
      </c>
    </row>
    <row r="67" spans="1:3" ht="15" customHeight="1" x14ac:dyDescent="0.2"/>
    <row r="68" spans="1:3" ht="15" customHeight="1" x14ac:dyDescent="0.2"/>
  </sheetData>
  <pageMargins left="0.7" right="0.7" top="0.75" bottom="0.75" header="0.5" footer="0.5"/>
  <pageSetup scale="70" orientation="portrait" r:id="rId1"/>
  <headerFooter>
    <oddHeader>&amp;R&amp;"Times New Roman,Bold"&amp;12Attachment to Response to KU KIUC-2 Question No. 2.15
Page &amp;P of &amp;N
Arbough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G73"/>
  <sheetViews>
    <sheetView topLeftCell="A3" workbookViewId="0">
      <selection activeCell="D25" sqref="D25"/>
    </sheetView>
  </sheetViews>
  <sheetFormatPr defaultColWidth="9.140625" defaultRowHeight="12.75" x14ac:dyDescent="0.2"/>
  <cols>
    <col min="1" max="1" width="34" style="68" customWidth="1"/>
    <col min="2" max="2" width="5.42578125" style="68" customWidth="1"/>
    <col min="3" max="3" width="15.85546875" style="68" bestFit="1" customWidth="1"/>
    <col min="4" max="5" width="17.28515625" style="68" bestFit="1" customWidth="1"/>
    <col min="6" max="6" width="4.85546875" style="68" customWidth="1"/>
    <col min="7" max="7" width="16.42578125" style="68" bestFit="1" customWidth="1"/>
    <col min="8" max="16384" width="9.140625" style="68"/>
  </cols>
  <sheetData>
    <row r="1" spans="1:7" ht="13.5" thickBot="1" x14ac:dyDescent="0.25">
      <c r="A1" s="66" t="s">
        <v>89</v>
      </c>
      <c r="B1" s="66"/>
      <c r="C1" s="14"/>
      <c r="D1" s="14"/>
      <c r="E1" s="14"/>
      <c r="F1" s="14"/>
      <c r="G1" s="67" t="s">
        <v>90</v>
      </c>
    </row>
    <row r="2" spans="1:7" x14ac:dyDescent="0.2">
      <c r="A2" s="2" t="s">
        <v>199</v>
      </c>
      <c r="B2" s="14"/>
      <c r="C2" s="14"/>
      <c r="D2" s="14"/>
      <c r="E2" s="14"/>
      <c r="F2" s="14"/>
      <c r="G2" s="18"/>
    </row>
    <row r="3" spans="1:7" x14ac:dyDescent="0.2">
      <c r="A3" s="2" t="s">
        <v>184</v>
      </c>
      <c r="B3" s="34"/>
      <c r="C3" s="14"/>
      <c r="D3" s="14"/>
      <c r="E3" s="14"/>
      <c r="F3" s="14"/>
      <c r="G3" s="18"/>
    </row>
    <row r="4" spans="1:7" ht="13.5" thickBot="1" x14ac:dyDescent="0.25">
      <c r="A4" s="14"/>
      <c r="B4" s="14"/>
      <c r="C4" s="69"/>
      <c r="D4" s="69"/>
      <c r="E4" s="69"/>
      <c r="F4" s="69"/>
      <c r="G4" s="70" t="s">
        <v>52</v>
      </c>
    </row>
    <row r="5" spans="1:7" x14ac:dyDescent="0.2">
      <c r="A5" s="71" t="s">
        <v>60</v>
      </c>
      <c r="C5" s="1">
        <v>221016</v>
      </c>
      <c r="D5" s="1">
        <v>221017</v>
      </c>
      <c r="E5" s="1">
        <v>221018</v>
      </c>
      <c r="F5" s="1"/>
      <c r="G5" s="27"/>
    </row>
    <row r="6" spans="1:7" x14ac:dyDescent="0.2">
      <c r="A6" s="71" t="s">
        <v>92</v>
      </c>
      <c r="B6" s="1"/>
      <c r="C6" s="1">
        <v>226016</v>
      </c>
      <c r="D6" s="1">
        <v>226017</v>
      </c>
      <c r="E6" s="1">
        <v>226018</v>
      </c>
      <c r="F6" s="1"/>
      <c r="G6" s="27"/>
    </row>
    <row r="7" spans="1:7" x14ac:dyDescent="0.2">
      <c r="A7" s="71" t="s">
        <v>93</v>
      </c>
      <c r="B7" s="1"/>
      <c r="C7" s="1">
        <v>428216</v>
      </c>
      <c r="D7" s="1">
        <v>428217</v>
      </c>
      <c r="E7" s="1">
        <v>428218</v>
      </c>
      <c r="F7" s="1"/>
      <c r="G7" s="27"/>
    </row>
    <row r="8" spans="1:7" x14ac:dyDescent="0.2">
      <c r="A8" s="14"/>
      <c r="B8" s="14"/>
      <c r="C8" s="14"/>
      <c r="D8" s="2"/>
      <c r="E8" s="2"/>
      <c r="F8" s="14"/>
      <c r="G8" s="18"/>
    </row>
    <row r="9" spans="1:7" x14ac:dyDescent="0.2">
      <c r="A9" s="14"/>
      <c r="B9" s="14"/>
      <c r="C9" s="14"/>
      <c r="D9" s="2"/>
      <c r="E9" s="2"/>
      <c r="F9" s="14"/>
      <c r="G9" s="18"/>
    </row>
    <row r="10" spans="1:7" x14ac:dyDescent="0.2">
      <c r="A10" s="72" t="s">
        <v>63</v>
      </c>
      <c r="B10" s="73"/>
      <c r="C10" s="3">
        <v>400000000</v>
      </c>
      <c r="D10" s="3">
        <v>475000000</v>
      </c>
      <c r="E10" s="3">
        <v>250000000</v>
      </c>
      <c r="F10" s="3"/>
      <c r="G10" s="59">
        <f>SUM(C10:F10)</f>
        <v>1125000000</v>
      </c>
    </row>
    <row r="11" spans="1:7" x14ac:dyDescent="0.2">
      <c r="A11" s="74" t="s">
        <v>94</v>
      </c>
      <c r="B11" s="34"/>
      <c r="C11" s="5">
        <v>1772000</v>
      </c>
      <c r="D11" s="5">
        <v>3719250</v>
      </c>
      <c r="E11" s="5">
        <v>402500</v>
      </c>
      <c r="F11" s="5"/>
      <c r="G11" s="38"/>
    </row>
    <row r="12" spans="1:7" x14ac:dyDescent="0.2">
      <c r="A12" s="74" t="s">
        <v>66</v>
      </c>
      <c r="B12" s="34"/>
      <c r="C12" s="6">
        <v>2.1250000000000002E-2</v>
      </c>
      <c r="D12" s="6">
        <v>3.7499999999999999E-2</v>
      </c>
      <c r="E12" s="6">
        <v>4.3749999999999997E-2</v>
      </c>
      <c r="F12" s="7"/>
      <c r="G12" s="38"/>
    </row>
    <row r="13" spans="1:7" x14ac:dyDescent="0.2">
      <c r="A13" s="74" t="s">
        <v>67</v>
      </c>
      <c r="B13" s="34"/>
      <c r="C13" s="8" t="s">
        <v>68</v>
      </c>
      <c r="D13" s="8" t="s">
        <v>68</v>
      </c>
      <c r="E13" s="8" t="s">
        <v>185</v>
      </c>
      <c r="F13" s="8"/>
      <c r="G13" s="38"/>
    </row>
    <row r="14" spans="1:7" x14ac:dyDescent="0.2">
      <c r="A14" s="74" t="s">
        <v>69</v>
      </c>
      <c r="B14" s="34"/>
      <c r="C14" s="9">
        <v>40494</v>
      </c>
      <c r="D14" s="9">
        <v>40494</v>
      </c>
      <c r="E14" s="9">
        <v>40815</v>
      </c>
      <c r="F14" s="9"/>
      <c r="G14" s="38"/>
    </row>
    <row r="15" spans="1:7" x14ac:dyDescent="0.2">
      <c r="A15" s="75" t="s">
        <v>70</v>
      </c>
      <c r="B15" s="34"/>
      <c r="C15" s="9">
        <v>42323</v>
      </c>
      <c r="D15" s="9">
        <v>44150</v>
      </c>
      <c r="E15" s="9">
        <v>44470</v>
      </c>
      <c r="F15" s="9"/>
      <c r="G15" s="38"/>
    </row>
    <row r="16" spans="1:7" x14ac:dyDescent="0.2">
      <c r="A16" s="76" t="s">
        <v>71</v>
      </c>
      <c r="B16" s="77"/>
      <c r="C16" s="10">
        <v>60</v>
      </c>
      <c r="D16" s="10">
        <v>120</v>
      </c>
      <c r="E16" s="10">
        <v>120</v>
      </c>
      <c r="F16" s="11"/>
      <c r="G16" s="61"/>
    </row>
    <row r="17" spans="1:7" x14ac:dyDescent="0.2">
      <c r="A17" s="14"/>
      <c r="B17" s="14"/>
      <c r="C17" s="14"/>
      <c r="D17" s="14"/>
      <c r="E17" s="14"/>
      <c r="F17" s="14"/>
      <c r="G17" s="18"/>
    </row>
    <row r="18" spans="1:7" x14ac:dyDescent="0.2">
      <c r="A18" s="78" t="s">
        <v>72</v>
      </c>
      <c r="B18" s="73"/>
      <c r="C18" s="73"/>
      <c r="D18" s="73"/>
      <c r="E18" s="73"/>
      <c r="F18" s="73"/>
      <c r="G18" s="59"/>
    </row>
    <row r="19" spans="1:7" x14ac:dyDescent="0.2">
      <c r="A19" s="76" t="s">
        <v>186</v>
      </c>
      <c r="B19" s="77"/>
      <c r="C19" s="60">
        <v>1723762.23</v>
      </c>
      <c r="D19" s="60">
        <v>3668626.87</v>
      </c>
      <c r="E19" s="60">
        <v>0</v>
      </c>
      <c r="F19" s="60"/>
      <c r="G19" s="158">
        <v>5392389.0999999996</v>
      </c>
    </row>
    <row r="20" spans="1:7" x14ac:dyDescent="0.2">
      <c r="A20" s="14"/>
      <c r="B20" s="14"/>
      <c r="C20" s="14"/>
      <c r="D20" s="14"/>
      <c r="E20" s="14"/>
      <c r="F20" s="14"/>
      <c r="G20" s="80"/>
    </row>
    <row r="21" spans="1:7" x14ac:dyDescent="0.2">
      <c r="A21" s="81" t="s">
        <v>74</v>
      </c>
      <c r="B21" s="14"/>
      <c r="C21" s="14"/>
      <c r="D21" s="14"/>
      <c r="E21" s="14"/>
      <c r="F21" s="14"/>
      <c r="G21" s="80"/>
    </row>
    <row r="22" spans="1:7" x14ac:dyDescent="0.2">
      <c r="A22" s="14" t="s">
        <v>75</v>
      </c>
      <c r="B22" s="15">
        <v>1</v>
      </c>
      <c r="C22" s="19">
        <f>-ROUND(($C$11/$C$16),2)</f>
        <v>-29533.33</v>
      </c>
      <c r="D22" s="19">
        <f>-ROUND(($D$11/$D$16),2)</f>
        <v>-30993.75</v>
      </c>
      <c r="E22" s="19">
        <v>0</v>
      </c>
      <c r="F22" s="19"/>
      <c r="G22" s="13">
        <f>SUM(C22:F22)</f>
        <v>-60527.08</v>
      </c>
    </row>
    <row r="23" spans="1:7" x14ac:dyDescent="0.2">
      <c r="A23" s="14" t="s">
        <v>76</v>
      </c>
      <c r="B23" s="15">
        <v>2</v>
      </c>
      <c r="C23" s="19">
        <f t="shared" ref="C23:C32" si="0">-ROUND(($C$11/$C$16),2)</f>
        <v>-29533.33</v>
      </c>
      <c r="D23" s="19">
        <f t="shared" ref="D23:D33" si="1">-ROUND(($D$11/$D$16),2)</f>
        <v>-30993.75</v>
      </c>
      <c r="E23" s="19">
        <v>0</v>
      </c>
      <c r="F23" s="19"/>
      <c r="G23" s="13">
        <f t="shared" ref="G23:G32" si="2">SUM(C23:F23)</f>
        <v>-60527.08</v>
      </c>
    </row>
    <row r="24" spans="1:7" x14ac:dyDescent="0.2">
      <c r="A24" s="14" t="s">
        <v>77</v>
      </c>
      <c r="B24" s="15">
        <v>3</v>
      </c>
      <c r="C24" s="19">
        <f t="shared" si="0"/>
        <v>-29533.33</v>
      </c>
      <c r="D24" s="19">
        <f t="shared" si="1"/>
        <v>-30993.75</v>
      </c>
      <c r="E24" s="19">
        <v>0</v>
      </c>
      <c r="F24" s="19"/>
      <c r="G24" s="13">
        <f t="shared" si="2"/>
        <v>-60527.08</v>
      </c>
    </row>
    <row r="25" spans="1:7" x14ac:dyDescent="0.2">
      <c r="A25" s="14" t="s">
        <v>78</v>
      </c>
      <c r="B25" s="15">
        <v>4</v>
      </c>
      <c r="C25" s="19">
        <f t="shared" si="0"/>
        <v>-29533.33</v>
      </c>
      <c r="D25" s="19">
        <f t="shared" si="1"/>
        <v>-30993.75</v>
      </c>
      <c r="E25" s="19">
        <v>0</v>
      </c>
      <c r="F25" s="19"/>
      <c r="G25" s="13">
        <f t="shared" si="2"/>
        <v>-60527.08</v>
      </c>
    </row>
    <row r="26" spans="1:7" x14ac:dyDescent="0.2">
      <c r="A26" s="14" t="s">
        <v>79</v>
      </c>
      <c r="B26" s="15">
        <v>5</v>
      </c>
      <c r="C26" s="19">
        <f t="shared" si="0"/>
        <v>-29533.33</v>
      </c>
      <c r="D26" s="19">
        <f t="shared" si="1"/>
        <v>-30993.75</v>
      </c>
      <c r="E26" s="19">
        <v>0</v>
      </c>
      <c r="F26" s="19"/>
      <c r="G26" s="13">
        <f t="shared" si="2"/>
        <v>-60527.08</v>
      </c>
    </row>
    <row r="27" spans="1:7" x14ac:dyDescent="0.2">
      <c r="A27" s="14" t="s">
        <v>80</v>
      </c>
      <c r="B27" s="15">
        <v>6</v>
      </c>
      <c r="C27" s="19">
        <f t="shared" si="0"/>
        <v>-29533.33</v>
      </c>
      <c r="D27" s="19">
        <f t="shared" si="1"/>
        <v>-30993.75</v>
      </c>
      <c r="E27" s="19">
        <v>0</v>
      </c>
      <c r="F27" s="19"/>
      <c r="G27" s="13">
        <f t="shared" si="2"/>
        <v>-60527.08</v>
      </c>
    </row>
    <row r="28" spans="1:7" x14ac:dyDescent="0.2">
      <c r="A28" s="14" t="s">
        <v>81</v>
      </c>
      <c r="B28" s="15">
        <v>7</v>
      </c>
      <c r="C28" s="19">
        <f t="shared" si="0"/>
        <v>-29533.33</v>
      </c>
      <c r="D28" s="19">
        <f t="shared" si="1"/>
        <v>-30993.75</v>
      </c>
      <c r="E28" s="19">
        <v>0</v>
      </c>
      <c r="F28" s="19"/>
      <c r="G28" s="13">
        <f t="shared" si="2"/>
        <v>-60527.08</v>
      </c>
    </row>
    <row r="29" spans="1:7" x14ac:dyDescent="0.2">
      <c r="A29" s="14" t="s">
        <v>82</v>
      </c>
      <c r="B29" s="15">
        <v>8</v>
      </c>
      <c r="C29" s="19">
        <f t="shared" si="0"/>
        <v>-29533.33</v>
      </c>
      <c r="D29" s="19">
        <f t="shared" si="1"/>
        <v>-30993.75</v>
      </c>
      <c r="E29" s="19">
        <v>0</v>
      </c>
      <c r="F29" s="19"/>
      <c r="G29" s="13">
        <f t="shared" si="2"/>
        <v>-60527.08</v>
      </c>
    </row>
    <row r="30" spans="1:7" x14ac:dyDescent="0.2">
      <c r="A30" s="14" t="s">
        <v>83</v>
      </c>
      <c r="B30" s="15">
        <v>9</v>
      </c>
      <c r="C30" s="19">
        <f t="shared" si="0"/>
        <v>-29533.33</v>
      </c>
      <c r="D30" s="19">
        <f t="shared" si="1"/>
        <v>-30993.75</v>
      </c>
      <c r="E30" s="19">
        <v>0</v>
      </c>
      <c r="F30" s="19"/>
      <c r="G30" s="13">
        <f t="shared" si="2"/>
        <v>-60527.08</v>
      </c>
    </row>
    <row r="31" spans="1:7" x14ac:dyDescent="0.2">
      <c r="A31" s="14" t="s">
        <v>84</v>
      </c>
      <c r="B31" s="15">
        <v>10</v>
      </c>
      <c r="C31" s="19">
        <f t="shared" si="0"/>
        <v>-29533.33</v>
      </c>
      <c r="D31" s="19">
        <f t="shared" si="1"/>
        <v>-30993.75</v>
      </c>
      <c r="E31" s="19">
        <f>-ROUND(($E$11/$E$16),2)</f>
        <v>-3354.17</v>
      </c>
      <c r="F31" s="19"/>
      <c r="G31" s="13">
        <f t="shared" si="2"/>
        <v>-63881.25</v>
      </c>
    </row>
    <row r="32" spans="1:7" x14ac:dyDescent="0.2">
      <c r="A32" s="14" t="s">
        <v>85</v>
      </c>
      <c r="B32" s="15">
        <v>11</v>
      </c>
      <c r="C32" s="19">
        <f t="shared" si="0"/>
        <v>-29533.33</v>
      </c>
      <c r="D32" s="19">
        <f t="shared" si="1"/>
        <v>-30993.75</v>
      </c>
      <c r="E32" s="19">
        <f>-ROUND(($E$11/$E$16),2)</f>
        <v>-3354.17</v>
      </c>
      <c r="F32" s="19"/>
      <c r="G32" s="13">
        <f t="shared" si="2"/>
        <v>-63881.25</v>
      </c>
    </row>
    <row r="33" spans="1:7" x14ac:dyDescent="0.2">
      <c r="A33" s="14" t="s">
        <v>86</v>
      </c>
      <c r="B33" s="15">
        <v>12</v>
      </c>
      <c r="C33" s="19">
        <f>-ROUND(($C$11/$C$16),2)-0.04</f>
        <v>-29533.370000000003</v>
      </c>
      <c r="D33" s="19">
        <f t="shared" si="1"/>
        <v>-30993.75</v>
      </c>
      <c r="E33" s="19">
        <f>-ROUND(($E$11/$E$16),2)</f>
        <v>-3354.17</v>
      </c>
      <c r="F33" s="19"/>
      <c r="G33" s="13">
        <f>SUM(C33:F33)</f>
        <v>-63881.29</v>
      </c>
    </row>
    <row r="34" spans="1:7" x14ac:dyDescent="0.2">
      <c r="A34" s="14" t="s">
        <v>200</v>
      </c>
      <c r="B34" s="82"/>
      <c r="C34" s="16">
        <f>SUM(C22:C33)</f>
        <v>-354400.00000000012</v>
      </c>
      <c r="D34" s="16">
        <f>SUM(D22:D33)</f>
        <v>-371925</v>
      </c>
      <c r="E34" s="16">
        <f>SUM(E22:E33)</f>
        <v>-10062.51</v>
      </c>
      <c r="F34" s="16"/>
      <c r="G34" s="17">
        <f>SUM(C34:F34)</f>
        <v>-736387.51000000013</v>
      </c>
    </row>
    <row r="35" spans="1:7" x14ac:dyDescent="0.2">
      <c r="A35" s="14"/>
      <c r="B35" s="82"/>
      <c r="C35" s="14"/>
      <c r="D35" s="14"/>
      <c r="E35" s="14"/>
      <c r="F35" s="14"/>
      <c r="G35" s="18"/>
    </row>
    <row r="36" spans="1:7" x14ac:dyDescent="0.2">
      <c r="A36" s="81" t="s">
        <v>96</v>
      </c>
      <c r="B36" s="82"/>
      <c r="C36" s="14"/>
      <c r="D36" s="14"/>
      <c r="E36" s="14"/>
      <c r="F36" s="14"/>
      <c r="G36" s="18"/>
    </row>
    <row r="37" spans="1:7" x14ac:dyDescent="0.2">
      <c r="A37" s="14" t="s">
        <v>75</v>
      </c>
      <c r="B37" s="15">
        <v>1</v>
      </c>
      <c r="C37" s="19">
        <f>C19+C22</f>
        <v>1694228.9</v>
      </c>
      <c r="D37" s="19">
        <f>D19+D22</f>
        <v>3637633.12</v>
      </c>
      <c r="E37" s="19">
        <f>E19+E22</f>
        <v>0</v>
      </c>
      <c r="F37" s="19"/>
      <c r="G37" s="13">
        <f t="shared" ref="G37:G48" si="3">SUM(C37:F37)</f>
        <v>5331862.0199999996</v>
      </c>
    </row>
    <row r="38" spans="1:7" x14ac:dyDescent="0.2">
      <c r="A38" s="14" t="s">
        <v>76</v>
      </c>
      <c r="B38" s="15">
        <v>2</v>
      </c>
      <c r="C38" s="19">
        <f t="shared" ref="C38:E48" si="4">C37+C23</f>
        <v>1664695.5699999998</v>
      </c>
      <c r="D38" s="19">
        <f t="shared" si="4"/>
        <v>3606639.37</v>
      </c>
      <c r="E38" s="19">
        <f t="shared" si="4"/>
        <v>0</v>
      </c>
      <c r="F38" s="19"/>
      <c r="G38" s="13">
        <f t="shared" si="3"/>
        <v>5271334.9399999995</v>
      </c>
    </row>
    <row r="39" spans="1:7" x14ac:dyDescent="0.2">
      <c r="A39" s="14" t="s">
        <v>77</v>
      </c>
      <c r="B39" s="15">
        <v>3</v>
      </c>
      <c r="C39" s="19">
        <f t="shared" si="4"/>
        <v>1635162.2399999998</v>
      </c>
      <c r="D39" s="19">
        <f t="shared" si="4"/>
        <v>3575645.62</v>
      </c>
      <c r="E39" s="19">
        <f t="shared" si="4"/>
        <v>0</v>
      </c>
      <c r="F39" s="19"/>
      <c r="G39" s="13">
        <f t="shared" si="3"/>
        <v>5210807.8599999994</v>
      </c>
    </row>
    <row r="40" spans="1:7" x14ac:dyDescent="0.2">
      <c r="A40" s="14" t="s">
        <v>78</v>
      </c>
      <c r="B40" s="15">
        <v>4</v>
      </c>
      <c r="C40" s="19">
        <f t="shared" si="4"/>
        <v>1605628.9099999997</v>
      </c>
      <c r="D40" s="19">
        <f t="shared" si="4"/>
        <v>3544651.87</v>
      </c>
      <c r="E40" s="19">
        <f t="shared" si="4"/>
        <v>0</v>
      </c>
      <c r="F40" s="19"/>
      <c r="G40" s="13">
        <f t="shared" si="3"/>
        <v>5150280.7799999993</v>
      </c>
    </row>
    <row r="41" spans="1:7" x14ac:dyDescent="0.2">
      <c r="A41" s="14" t="s">
        <v>79</v>
      </c>
      <c r="B41" s="15">
        <v>5</v>
      </c>
      <c r="C41" s="19">
        <f t="shared" si="4"/>
        <v>1576095.5799999996</v>
      </c>
      <c r="D41" s="19">
        <f t="shared" si="4"/>
        <v>3513658.12</v>
      </c>
      <c r="E41" s="19">
        <f t="shared" si="4"/>
        <v>0</v>
      </c>
      <c r="F41" s="19"/>
      <c r="G41" s="13">
        <f t="shared" si="3"/>
        <v>5089753.6999999993</v>
      </c>
    </row>
    <row r="42" spans="1:7" x14ac:dyDescent="0.2">
      <c r="A42" s="14" t="s">
        <v>80</v>
      </c>
      <c r="B42" s="15">
        <v>6</v>
      </c>
      <c r="C42" s="19">
        <f t="shared" si="4"/>
        <v>1546562.2499999995</v>
      </c>
      <c r="D42" s="19">
        <f t="shared" si="4"/>
        <v>3482664.37</v>
      </c>
      <c r="E42" s="19">
        <f t="shared" si="4"/>
        <v>0</v>
      </c>
      <c r="F42" s="19"/>
      <c r="G42" s="13">
        <f t="shared" si="3"/>
        <v>5029226.6199999992</v>
      </c>
    </row>
    <row r="43" spans="1:7" x14ac:dyDescent="0.2">
      <c r="A43" s="14" t="s">
        <v>81</v>
      </c>
      <c r="B43" s="15">
        <v>7</v>
      </c>
      <c r="C43" s="19">
        <f t="shared" si="4"/>
        <v>1517028.9199999995</v>
      </c>
      <c r="D43" s="19">
        <f t="shared" si="4"/>
        <v>3451670.62</v>
      </c>
      <c r="E43" s="19">
        <f t="shared" si="4"/>
        <v>0</v>
      </c>
      <c r="F43" s="19"/>
      <c r="G43" s="13">
        <f t="shared" si="3"/>
        <v>4968699.5399999991</v>
      </c>
    </row>
    <row r="44" spans="1:7" x14ac:dyDescent="0.2">
      <c r="A44" s="14" t="s">
        <v>82</v>
      </c>
      <c r="B44" s="15">
        <v>8</v>
      </c>
      <c r="C44" s="19">
        <f t="shared" si="4"/>
        <v>1487495.5899999994</v>
      </c>
      <c r="D44" s="19">
        <f t="shared" si="4"/>
        <v>3420676.87</v>
      </c>
      <c r="E44" s="19">
        <f t="shared" si="4"/>
        <v>0</v>
      </c>
      <c r="F44" s="19"/>
      <c r="G44" s="13">
        <f t="shared" si="3"/>
        <v>4908172.459999999</v>
      </c>
    </row>
    <row r="45" spans="1:7" x14ac:dyDescent="0.2">
      <c r="A45" s="14" t="s">
        <v>83</v>
      </c>
      <c r="B45" s="15">
        <v>9</v>
      </c>
      <c r="C45" s="19">
        <f t="shared" si="4"/>
        <v>1457962.2599999993</v>
      </c>
      <c r="D45" s="19">
        <f t="shared" si="4"/>
        <v>3389683.12</v>
      </c>
      <c r="E45" s="19">
        <f>E11+E30</f>
        <v>402500</v>
      </c>
      <c r="F45" s="19"/>
      <c r="G45" s="13">
        <f t="shared" si="3"/>
        <v>5250145.379999999</v>
      </c>
    </row>
    <row r="46" spans="1:7" x14ac:dyDescent="0.2">
      <c r="A46" s="14" t="s">
        <v>84</v>
      </c>
      <c r="B46" s="15">
        <v>10</v>
      </c>
      <c r="C46" s="19">
        <f t="shared" si="4"/>
        <v>1428428.9299999992</v>
      </c>
      <c r="D46" s="19">
        <f t="shared" si="4"/>
        <v>3358689.37</v>
      </c>
      <c r="E46" s="19">
        <f t="shared" si="4"/>
        <v>399145.83</v>
      </c>
      <c r="F46" s="20"/>
      <c r="G46" s="21">
        <f t="shared" si="3"/>
        <v>5186264.129999999</v>
      </c>
    </row>
    <row r="47" spans="1:7" x14ac:dyDescent="0.2">
      <c r="A47" s="14" t="s">
        <v>85</v>
      </c>
      <c r="B47" s="15">
        <v>11</v>
      </c>
      <c r="C47" s="19">
        <f t="shared" si="4"/>
        <v>1398895.5999999992</v>
      </c>
      <c r="D47" s="19">
        <f t="shared" si="4"/>
        <v>3327695.62</v>
      </c>
      <c r="E47" s="19">
        <f t="shared" si="4"/>
        <v>395791.66000000003</v>
      </c>
      <c r="F47" s="159"/>
      <c r="G47" s="21">
        <f t="shared" si="3"/>
        <v>5122382.879999999</v>
      </c>
    </row>
    <row r="48" spans="1:7" x14ac:dyDescent="0.2">
      <c r="A48" s="14" t="s">
        <v>86</v>
      </c>
      <c r="B48" s="15">
        <v>12</v>
      </c>
      <c r="C48" s="19">
        <f t="shared" si="4"/>
        <v>1369362.2299999991</v>
      </c>
      <c r="D48" s="19">
        <f t="shared" si="4"/>
        <v>3296701.87</v>
      </c>
      <c r="E48" s="19">
        <f t="shared" si="4"/>
        <v>392437.49000000005</v>
      </c>
      <c r="F48" s="22"/>
      <c r="G48" s="23">
        <f t="shared" si="3"/>
        <v>5058501.59</v>
      </c>
    </row>
    <row r="49" spans="1:7" x14ac:dyDescent="0.2">
      <c r="A49" s="14"/>
      <c r="B49" s="14"/>
      <c r="C49" s="14"/>
      <c r="D49" s="14"/>
      <c r="E49" s="14"/>
      <c r="F49" s="14"/>
      <c r="G49" s="24"/>
    </row>
    <row r="50" spans="1:7" x14ac:dyDescent="0.2">
      <c r="A50" s="14"/>
      <c r="B50" s="14"/>
      <c r="C50" s="14"/>
      <c r="D50" s="14"/>
      <c r="E50" s="14"/>
      <c r="F50" s="14"/>
      <c r="G50" s="18"/>
    </row>
    <row r="51" spans="1:7" x14ac:dyDescent="0.2">
      <c r="A51" s="14"/>
      <c r="B51" s="14"/>
      <c r="C51" s="25"/>
      <c r="D51" s="25"/>
      <c r="E51" s="25"/>
      <c r="F51" s="25"/>
      <c r="G51" s="18"/>
    </row>
    <row r="52" spans="1:7" x14ac:dyDescent="0.2">
      <c r="A52" s="14"/>
      <c r="B52" s="14"/>
      <c r="C52" s="25"/>
      <c r="D52" s="25"/>
      <c r="E52" s="25"/>
      <c r="F52" s="25"/>
      <c r="G52" s="18"/>
    </row>
    <row r="53" spans="1:7" x14ac:dyDescent="0.2">
      <c r="A53" s="71"/>
      <c r="B53" s="1"/>
      <c r="C53" s="26"/>
      <c r="D53" s="26"/>
      <c r="E53" s="26"/>
      <c r="F53" s="26"/>
      <c r="G53" s="27"/>
    </row>
    <row r="54" spans="1:7" x14ac:dyDescent="0.2">
      <c r="A54" s="160"/>
      <c r="B54" s="161"/>
      <c r="C54" s="28"/>
      <c r="D54" s="29"/>
      <c r="E54" s="29"/>
      <c r="F54" s="29"/>
      <c r="G54" s="30"/>
    </row>
    <row r="55" spans="1:7" s="33" customFormat="1" x14ac:dyDescent="0.2">
      <c r="A55" s="31"/>
      <c r="B55" s="8"/>
      <c r="C55" s="32"/>
      <c r="D55" s="32"/>
      <c r="E55" s="32"/>
      <c r="F55" s="32"/>
      <c r="G55" s="4"/>
    </row>
    <row r="56" spans="1:7" s="33" customFormat="1" x14ac:dyDescent="0.2">
      <c r="A56" s="34"/>
      <c r="B56" s="35"/>
      <c r="C56" s="35"/>
      <c r="D56" s="35"/>
      <c r="E56" s="35"/>
      <c r="F56" s="35"/>
      <c r="G56" s="35"/>
    </row>
    <row r="57" spans="1:7" s="33" customFormat="1" x14ac:dyDescent="0.2">
      <c r="A57" s="8"/>
      <c r="B57" s="8"/>
      <c r="C57" s="8"/>
      <c r="D57" s="8"/>
      <c r="E57" s="8"/>
      <c r="F57" s="8"/>
      <c r="G57" s="4"/>
    </row>
    <row r="58" spans="1:7" s="33" customFormat="1" x14ac:dyDescent="0.2">
      <c r="A58" s="36"/>
      <c r="B58" s="36"/>
      <c r="C58" s="37"/>
      <c r="D58" s="37"/>
      <c r="E58" s="37"/>
      <c r="F58" s="37"/>
      <c r="G58" s="37"/>
    </row>
    <row r="59" spans="1:7" s="33" customFormat="1" x14ac:dyDescent="0.2">
      <c r="A59" s="34"/>
      <c r="B59" s="34"/>
      <c r="C59" s="34"/>
      <c r="D59" s="34"/>
      <c r="E59" s="34"/>
      <c r="F59" s="34"/>
      <c r="G59" s="38"/>
    </row>
    <row r="60" spans="1:7" s="33" customFormat="1" x14ac:dyDescent="0.2">
      <c r="A60" s="34"/>
      <c r="B60" s="34"/>
      <c r="C60" s="34"/>
      <c r="D60" s="34"/>
      <c r="E60" s="34"/>
      <c r="F60" s="34"/>
      <c r="G60" s="24"/>
    </row>
    <row r="61" spans="1:7" s="33" customFormat="1" x14ac:dyDescent="0.2">
      <c r="A61" s="34"/>
      <c r="B61" s="34"/>
      <c r="C61" s="34"/>
      <c r="D61" s="34"/>
      <c r="E61" s="34"/>
      <c r="F61" s="34"/>
      <c r="G61" s="38"/>
    </row>
    <row r="62" spans="1:7" s="33" customFormat="1" x14ac:dyDescent="0.2">
      <c r="A62" s="36"/>
      <c r="B62" s="36"/>
      <c r="C62" s="36"/>
      <c r="D62" s="36"/>
      <c r="E62" s="36"/>
      <c r="F62" s="36"/>
      <c r="G62" s="36"/>
    </row>
    <row r="63" spans="1:7" s="33" customFormat="1" x14ac:dyDescent="0.2">
      <c r="A63" s="34"/>
      <c r="B63" s="34"/>
      <c r="C63" s="34"/>
      <c r="D63" s="34"/>
      <c r="E63" s="34"/>
      <c r="F63" s="34"/>
      <c r="G63" s="38"/>
    </row>
    <row r="64" spans="1:7" s="33" customFormat="1" x14ac:dyDescent="0.2">
      <c r="A64" s="34"/>
      <c r="B64" s="34"/>
      <c r="C64" s="34"/>
      <c r="D64" s="34"/>
      <c r="E64" s="34"/>
      <c r="F64" s="34"/>
      <c r="G64" s="38"/>
    </row>
    <row r="65" spans="1:7" s="33" customFormat="1" x14ac:dyDescent="0.2">
      <c r="A65" s="34"/>
      <c r="B65" s="34"/>
      <c r="C65" s="34"/>
      <c r="D65" s="34"/>
      <c r="E65" s="34"/>
      <c r="F65" s="39"/>
      <c r="G65" s="38"/>
    </row>
    <row r="66" spans="1:7" s="33" customFormat="1" x14ac:dyDescent="0.2">
      <c r="A66" s="34"/>
      <c r="B66" s="34"/>
      <c r="C66" s="34"/>
      <c r="D66" s="34"/>
      <c r="E66" s="34"/>
      <c r="F66" s="39"/>
      <c r="G66" s="38"/>
    </row>
    <row r="67" spans="1:7" s="33" customFormat="1" x14ac:dyDescent="0.2">
      <c r="A67" s="34"/>
      <c r="B67" s="34"/>
      <c r="C67" s="34"/>
      <c r="D67" s="34"/>
      <c r="E67" s="34"/>
      <c r="F67" s="39"/>
      <c r="G67" s="38"/>
    </row>
    <row r="68" spans="1:7" s="33" customFormat="1" x14ac:dyDescent="0.2">
      <c r="A68" s="34"/>
      <c r="B68" s="34"/>
      <c r="C68" s="34"/>
      <c r="D68" s="34"/>
      <c r="E68" s="34"/>
      <c r="F68" s="34"/>
      <c r="G68" s="40"/>
    </row>
    <row r="69" spans="1:7" s="33" customFormat="1" x14ac:dyDescent="0.2"/>
    <row r="70" spans="1:7" s="33" customFormat="1" x14ac:dyDescent="0.2"/>
    <row r="71" spans="1:7" s="33" customFormat="1" x14ac:dyDescent="0.2"/>
    <row r="72" spans="1:7" s="33" customFormat="1" x14ac:dyDescent="0.2"/>
    <row r="73" spans="1:7" s="33" customFormat="1" x14ac:dyDescent="0.2"/>
  </sheetData>
  <pageMargins left="0.7" right="0.7" top="1" bottom="0.75" header="0.25" footer="0.5"/>
  <pageSetup scale="83" orientation="portrait" r:id="rId1"/>
  <headerFooter>
    <oddHeader>&amp;R&amp;"Times New Roman,Bold"&amp;12Attachment to Response to KU KIUC-2 Question No. 2.15
Page &amp;P of &amp;N
Arbough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77"/>
  <sheetViews>
    <sheetView workbookViewId="0">
      <pane ySplit="4125" topLeftCell="A25" activePane="bottomLeft"/>
      <selection activeCell="D25" sqref="D25"/>
      <selection pane="bottomLeft" activeCell="D25" sqref="D25"/>
    </sheetView>
  </sheetViews>
  <sheetFormatPr defaultColWidth="9.140625" defaultRowHeight="12.75" x14ac:dyDescent="0.2"/>
  <cols>
    <col min="1" max="1" width="29.28515625" style="68" customWidth="1"/>
    <col min="2" max="2" width="5.42578125" style="68" customWidth="1"/>
    <col min="3" max="3" width="15.85546875" style="68" bestFit="1" customWidth="1"/>
    <col min="4" max="5" width="17.28515625" style="68" bestFit="1" customWidth="1"/>
    <col min="6" max="6" width="4.85546875" style="68" customWidth="1"/>
    <col min="7" max="7" width="16.42578125" style="68" bestFit="1" customWidth="1"/>
    <col min="8" max="16384" width="9.140625" style="68"/>
  </cols>
  <sheetData>
    <row r="1" spans="1:7" ht="13.5" thickBot="1" x14ac:dyDescent="0.25">
      <c r="A1" s="66" t="s">
        <v>89</v>
      </c>
      <c r="B1" s="66"/>
      <c r="C1" s="14"/>
      <c r="D1" s="14"/>
      <c r="E1" s="14"/>
      <c r="F1" s="14"/>
      <c r="G1" s="67" t="s">
        <v>90</v>
      </c>
    </row>
    <row r="2" spans="1:7" x14ac:dyDescent="0.2">
      <c r="A2" s="2" t="s">
        <v>201</v>
      </c>
      <c r="B2" s="14"/>
      <c r="C2" s="14"/>
      <c r="D2" s="14"/>
      <c r="E2" s="14"/>
      <c r="F2" s="14"/>
      <c r="G2" s="18"/>
    </row>
    <row r="3" spans="1:7" x14ac:dyDescent="0.2">
      <c r="A3" s="2" t="s">
        <v>184</v>
      </c>
      <c r="B3" s="34"/>
      <c r="C3" s="14"/>
      <c r="D3" s="14"/>
      <c r="E3" s="14"/>
      <c r="F3" s="14"/>
      <c r="G3" s="18"/>
    </row>
    <row r="4" spans="1:7" ht="13.5" thickBot="1" x14ac:dyDescent="0.25">
      <c r="A4" s="14"/>
      <c r="B4" s="14"/>
      <c r="C4" s="69"/>
      <c r="D4" s="69"/>
      <c r="E4" s="69"/>
      <c r="F4" s="69"/>
      <c r="G4" s="70" t="s">
        <v>52</v>
      </c>
    </row>
    <row r="5" spans="1:7" x14ac:dyDescent="0.2">
      <c r="A5" s="71" t="s">
        <v>60</v>
      </c>
      <c r="C5" s="1">
        <v>221016</v>
      </c>
      <c r="D5" s="1">
        <v>221017</v>
      </c>
      <c r="E5" s="1">
        <v>221018</v>
      </c>
      <c r="F5" s="1"/>
      <c r="G5" s="27"/>
    </row>
    <row r="6" spans="1:7" x14ac:dyDescent="0.2">
      <c r="A6" s="71" t="s">
        <v>98</v>
      </c>
      <c r="B6" s="1"/>
      <c r="C6" s="1">
        <v>237016</v>
      </c>
      <c r="D6" s="1">
        <v>237017</v>
      </c>
      <c r="E6" s="1">
        <v>237018</v>
      </c>
      <c r="F6" s="1"/>
      <c r="G6" s="27"/>
    </row>
    <row r="7" spans="1:7" x14ac:dyDescent="0.2">
      <c r="A7" s="71" t="s">
        <v>99</v>
      </c>
      <c r="B7" s="1"/>
      <c r="C7" s="1">
        <v>427016</v>
      </c>
      <c r="D7" s="1">
        <v>427017</v>
      </c>
      <c r="E7" s="1">
        <v>427018</v>
      </c>
      <c r="F7" s="1"/>
      <c r="G7" s="27"/>
    </row>
    <row r="8" spans="1:7" x14ac:dyDescent="0.2">
      <c r="A8" s="14"/>
      <c r="B8" s="14"/>
      <c r="C8" s="14"/>
      <c r="D8" s="2"/>
      <c r="E8" s="2"/>
      <c r="F8" s="14"/>
      <c r="G8" s="18"/>
    </row>
    <row r="9" spans="1:7" x14ac:dyDescent="0.2">
      <c r="A9" s="14"/>
      <c r="B9" s="14"/>
      <c r="C9" s="14"/>
      <c r="D9" s="2"/>
      <c r="E9" s="2"/>
      <c r="F9" s="14"/>
      <c r="G9" s="18"/>
    </row>
    <row r="10" spans="1:7" x14ac:dyDescent="0.2">
      <c r="A10" s="72" t="s">
        <v>63</v>
      </c>
      <c r="B10" s="73"/>
      <c r="C10" s="3">
        <v>400000000</v>
      </c>
      <c r="D10" s="3">
        <v>475000000</v>
      </c>
      <c r="E10" s="3">
        <v>250000000</v>
      </c>
      <c r="F10" s="3"/>
      <c r="G10" s="59">
        <f>SUM(C10:F10)</f>
        <v>1125000000</v>
      </c>
    </row>
    <row r="11" spans="1:7" x14ac:dyDescent="0.2">
      <c r="A11" s="74" t="s">
        <v>66</v>
      </c>
      <c r="B11" s="34"/>
      <c r="C11" s="6">
        <v>2.1250000000000002E-2</v>
      </c>
      <c r="D11" s="6">
        <v>3.7499999999999999E-2</v>
      </c>
      <c r="E11" s="6">
        <v>4.3749999999999997E-2</v>
      </c>
      <c r="F11" s="7"/>
      <c r="G11" s="38"/>
    </row>
    <row r="12" spans="1:7" x14ac:dyDescent="0.2">
      <c r="A12" s="74" t="s">
        <v>67</v>
      </c>
      <c r="B12" s="34"/>
      <c r="C12" s="8" t="s">
        <v>68</v>
      </c>
      <c r="D12" s="8" t="s">
        <v>68</v>
      </c>
      <c r="E12" s="8" t="s">
        <v>185</v>
      </c>
      <c r="F12" s="8"/>
      <c r="G12" s="38"/>
    </row>
    <row r="13" spans="1:7" x14ac:dyDescent="0.2">
      <c r="A13" s="74" t="s">
        <v>69</v>
      </c>
      <c r="B13" s="34"/>
      <c r="C13" s="9">
        <v>40494</v>
      </c>
      <c r="D13" s="9">
        <v>40494</v>
      </c>
      <c r="E13" s="9">
        <v>40815</v>
      </c>
      <c r="F13" s="9"/>
      <c r="G13" s="38"/>
    </row>
    <row r="14" spans="1:7" x14ac:dyDescent="0.2">
      <c r="A14" s="75" t="s">
        <v>70</v>
      </c>
      <c r="B14" s="34"/>
      <c r="C14" s="9">
        <v>42323</v>
      </c>
      <c r="D14" s="9">
        <v>44150</v>
      </c>
      <c r="E14" s="9">
        <v>44470</v>
      </c>
      <c r="F14" s="9"/>
      <c r="G14" s="38"/>
    </row>
    <row r="15" spans="1:7" x14ac:dyDescent="0.2">
      <c r="A15" s="76" t="s">
        <v>100</v>
      </c>
      <c r="B15" s="77"/>
      <c r="C15" s="41" t="s">
        <v>101</v>
      </c>
      <c r="D15" s="41" t="s">
        <v>101</v>
      </c>
      <c r="E15" s="41" t="s">
        <v>202</v>
      </c>
      <c r="F15" s="11"/>
      <c r="G15" s="61"/>
    </row>
    <row r="16" spans="1:7" x14ac:dyDescent="0.2">
      <c r="A16" s="14"/>
      <c r="B16" s="14"/>
      <c r="C16" s="14"/>
      <c r="D16" s="14"/>
      <c r="E16" s="14"/>
      <c r="F16" s="14"/>
      <c r="G16" s="18"/>
    </row>
    <row r="17" spans="1:7" x14ac:dyDescent="0.2">
      <c r="A17" s="78" t="s">
        <v>72</v>
      </c>
      <c r="B17" s="73"/>
      <c r="C17" s="73"/>
      <c r="D17" s="73"/>
      <c r="E17" s="73"/>
      <c r="F17" s="73"/>
      <c r="G17" s="59"/>
    </row>
    <row r="18" spans="1:7" x14ac:dyDescent="0.2">
      <c r="A18" s="76" t="s">
        <v>186</v>
      </c>
      <c r="B18" s="77"/>
      <c r="C18" s="12">
        <v>-1156944.44</v>
      </c>
      <c r="D18" s="12">
        <v>-2424479.17</v>
      </c>
      <c r="E18" s="12">
        <v>0</v>
      </c>
      <c r="F18" s="12"/>
      <c r="G18" s="43">
        <f>SUM(C18:F18)</f>
        <v>-3581423.61</v>
      </c>
    </row>
    <row r="19" spans="1:7" x14ac:dyDescent="0.2">
      <c r="A19" s="14"/>
      <c r="B19" s="14"/>
      <c r="C19" s="14"/>
      <c r="D19" s="14"/>
      <c r="E19" s="14"/>
      <c r="F19" s="14"/>
      <c r="G19" s="80"/>
    </row>
    <row r="20" spans="1:7" x14ac:dyDescent="0.2">
      <c r="A20" s="81" t="s">
        <v>102</v>
      </c>
      <c r="B20" s="14"/>
      <c r="C20" s="14"/>
      <c r="D20" s="14"/>
      <c r="E20" s="14"/>
      <c r="F20" s="14"/>
      <c r="G20" s="80"/>
    </row>
    <row r="21" spans="1:7" x14ac:dyDescent="0.2">
      <c r="A21" s="14" t="s">
        <v>75</v>
      </c>
      <c r="B21" s="15">
        <v>1</v>
      </c>
      <c r="C21" s="19">
        <f>-ROUND(($C$10*$C$11)/12,2)</f>
        <v>-708333.33</v>
      </c>
      <c r="D21" s="19">
        <f>-ROUND(($D$10*$D$11)/12,2)</f>
        <v>-1484375</v>
      </c>
      <c r="E21" s="19">
        <v>0</v>
      </c>
      <c r="F21" s="19"/>
      <c r="G21" s="13">
        <f>SUM(C21:F21)</f>
        <v>-2192708.33</v>
      </c>
    </row>
    <row r="22" spans="1:7" x14ac:dyDescent="0.2">
      <c r="A22" s="14" t="s">
        <v>76</v>
      </c>
      <c r="B22" s="15">
        <v>2</v>
      </c>
      <c r="C22" s="19">
        <f t="shared" ref="C22:C31" si="0">-ROUND(($C$10*$C$11)/12,2)</f>
        <v>-708333.33</v>
      </c>
      <c r="D22" s="19">
        <f t="shared" ref="D22:D32" si="1">-ROUND(($D$10*$D$11)/12,2)</f>
        <v>-1484375</v>
      </c>
      <c r="E22" s="19">
        <v>0</v>
      </c>
      <c r="F22" s="19"/>
      <c r="G22" s="13">
        <f t="shared" ref="G22:G31" si="2">SUM(C22:F22)</f>
        <v>-2192708.33</v>
      </c>
    </row>
    <row r="23" spans="1:7" x14ac:dyDescent="0.2">
      <c r="A23" s="14" t="s">
        <v>77</v>
      </c>
      <c r="B23" s="15">
        <v>3</v>
      </c>
      <c r="C23" s="19">
        <f t="shared" si="0"/>
        <v>-708333.33</v>
      </c>
      <c r="D23" s="19">
        <f t="shared" si="1"/>
        <v>-1484375</v>
      </c>
      <c r="E23" s="19">
        <v>0</v>
      </c>
      <c r="F23" s="19"/>
      <c r="G23" s="13">
        <f t="shared" si="2"/>
        <v>-2192708.33</v>
      </c>
    </row>
    <row r="24" spans="1:7" x14ac:dyDescent="0.2">
      <c r="A24" s="14" t="s">
        <v>78</v>
      </c>
      <c r="B24" s="15">
        <v>4</v>
      </c>
      <c r="C24" s="19">
        <f t="shared" si="0"/>
        <v>-708333.33</v>
      </c>
      <c r="D24" s="19">
        <f t="shared" si="1"/>
        <v>-1484375</v>
      </c>
      <c r="E24" s="19">
        <v>0</v>
      </c>
      <c r="F24" s="19"/>
      <c r="G24" s="13">
        <f t="shared" si="2"/>
        <v>-2192708.33</v>
      </c>
    </row>
    <row r="25" spans="1:7" x14ac:dyDescent="0.2">
      <c r="A25" s="14" t="s">
        <v>79</v>
      </c>
      <c r="B25" s="15">
        <v>5</v>
      </c>
      <c r="C25" s="19">
        <f t="shared" si="0"/>
        <v>-708333.33</v>
      </c>
      <c r="D25" s="19">
        <f t="shared" si="1"/>
        <v>-1484375</v>
      </c>
      <c r="E25" s="19">
        <v>0</v>
      </c>
      <c r="F25" s="19"/>
      <c r="G25" s="13">
        <f t="shared" si="2"/>
        <v>-2192708.33</v>
      </c>
    </row>
    <row r="26" spans="1:7" x14ac:dyDescent="0.2">
      <c r="A26" s="14" t="s">
        <v>80</v>
      </c>
      <c r="B26" s="15">
        <v>6</v>
      </c>
      <c r="C26" s="19">
        <f t="shared" si="0"/>
        <v>-708333.33</v>
      </c>
      <c r="D26" s="19">
        <f t="shared" si="1"/>
        <v>-1484375</v>
      </c>
      <c r="E26" s="19">
        <v>0</v>
      </c>
      <c r="F26" s="19"/>
      <c r="G26" s="13">
        <f t="shared" si="2"/>
        <v>-2192708.33</v>
      </c>
    </row>
    <row r="27" spans="1:7" x14ac:dyDescent="0.2">
      <c r="A27" s="14" t="s">
        <v>81</v>
      </c>
      <c r="B27" s="15">
        <v>7</v>
      </c>
      <c r="C27" s="19">
        <f t="shared" si="0"/>
        <v>-708333.33</v>
      </c>
      <c r="D27" s="19">
        <f t="shared" si="1"/>
        <v>-1484375</v>
      </c>
      <c r="E27" s="19">
        <v>0</v>
      </c>
      <c r="F27" s="19"/>
      <c r="G27" s="13">
        <f t="shared" si="2"/>
        <v>-2192708.33</v>
      </c>
    </row>
    <row r="28" spans="1:7" x14ac:dyDescent="0.2">
      <c r="A28" s="14" t="s">
        <v>82</v>
      </c>
      <c r="B28" s="15">
        <v>8</v>
      </c>
      <c r="C28" s="19">
        <f t="shared" si="0"/>
        <v>-708333.33</v>
      </c>
      <c r="D28" s="19">
        <f t="shared" si="1"/>
        <v>-1484375</v>
      </c>
      <c r="E28" s="19">
        <v>0</v>
      </c>
      <c r="F28" s="19"/>
      <c r="G28" s="13">
        <f t="shared" si="2"/>
        <v>-2192708.33</v>
      </c>
    </row>
    <row r="29" spans="1:7" x14ac:dyDescent="0.2">
      <c r="A29" s="14" t="s">
        <v>83</v>
      </c>
      <c r="B29" s="15">
        <v>9</v>
      </c>
      <c r="C29" s="19">
        <f t="shared" si="0"/>
        <v>-708333.33</v>
      </c>
      <c r="D29" s="19">
        <f t="shared" si="1"/>
        <v>-1484375</v>
      </c>
      <c r="E29" s="19">
        <f>-ROUND(($E$10*$E$11)/360*2,2)</f>
        <v>-60763.89</v>
      </c>
      <c r="F29" s="19"/>
      <c r="G29" s="13">
        <f t="shared" si="2"/>
        <v>-2253472.2200000002</v>
      </c>
    </row>
    <row r="30" spans="1:7" x14ac:dyDescent="0.2">
      <c r="A30" s="14" t="s">
        <v>84</v>
      </c>
      <c r="B30" s="15">
        <v>10</v>
      </c>
      <c r="C30" s="19">
        <f t="shared" si="0"/>
        <v>-708333.33</v>
      </c>
      <c r="D30" s="19">
        <f t="shared" si="1"/>
        <v>-1484375</v>
      </c>
      <c r="E30" s="19">
        <f>-ROUND(($E$10*$E$11)/12,2)</f>
        <v>-911458.33</v>
      </c>
      <c r="F30" s="19"/>
      <c r="G30" s="13">
        <f t="shared" si="2"/>
        <v>-3104166.66</v>
      </c>
    </row>
    <row r="31" spans="1:7" x14ac:dyDescent="0.2">
      <c r="A31" s="14" t="s">
        <v>85</v>
      </c>
      <c r="B31" s="15">
        <v>11</v>
      </c>
      <c r="C31" s="19">
        <f t="shared" si="0"/>
        <v>-708333.33</v>
      </c>
      <c r="D31" s="19">
        <f t="shared" si="1"/>
        <v>-1484375</v>
      </c>
      <c r="E31" s="19">
        <f>-ROUND(($E$10*$E$11)/12,2)</f>
        <v>-911458.33</v>
      </c>
      <c r="F31" s="19"/>
      <c r="G31" s="13">
        <f t="shared" si="2"/>
        <v>-3104166.66</v>
      </c>
    </row>
    <row r="32" spans="1:7" x14ac:dyDescent="0.2">
      <c r="A32" s="14" t="s">
        <v>86</v>
      </c>
      <c r="B32" s="15">
        <v>12</v>
      </c>
      <c r="C32" s="19">
        <f>-ROUND(($C$10*$C$11)/12,2)-0.04</f>
        <v>-708333.37</v>
      </c>
      <c r="D32" s="19">
        <f t="shared" si="1"/>
        <v>-1484375</v>
      </c>
      <c r="E32" s="19">
        <f>-ROUND(($E$10*$E$11)/12,2)</f>
        <v>-911458.33</v>
      </c>
      <c r="F32" s="19"/>
      <c r="G32" s="13">
        <f>SUM(C32:F32)</f>
        <v>-3104166.7</v>
      </c>
    </row>
    <row r="33" spans="1:7" x14ac:dyDescent="0.2">
      <c r="A33" s="14" t="s">
        <v>203</v>
      </c>
      <c r="B33" s="82"/>
      <c r="C33" s="16">
        <f>SUM(C21:C32)</f>
        <v>-8500000</v>
      </c>
      <c r="D33" s="16">
        <f>SUM(D21:D32)</f>
        <v>-17812500</v>
      </c>
      <c r="E33" s="16">
        <f>SUM(E21:E32)</f>
        <v>-2795138.88</v>
      </c>
      <c r="F33" s="16"/>
      <c r="G33" s="17">
        <f>SUM(C33:F33)</f>
        <v>-29107638.879999999</v>
      </c>
    </row>
    <row r="34" spans="1:7" x14ac:dyDescent="0.2">
      <c r="A34" s="14"/>
      <c r="B34" s="82"/>
      <c r="C34" s="14"/>
      <c r="D34" s="14"/>
      <c r="E34" s="14"/>
      <c r="F34" s="14"/>
      <c r="G34" s="18"/>
    </row>
    <row r="35" spans="1:7" x14ac:dyDescent="0.2">
      <c r="A35" s="81" t="s">
        <v>100</v>
      </c>
      <c r="B35" s="82"/>
      <c r="C35" s="14"/>
      <c r="D35" s="14"/>
      <c r="E35" s="14"/>
      <c r="F35" s="14"/>
      <c r="G35" s="18"/>
    </row>
    <row r="36" spans="1:7" x14ac:dyDescent="0.2">
      <c r="A36" s="14" t="s">
        <v>75</v>
      </c>
      <c r="B36" s="15">
        <v>1</v>
      </c>
      <c r="C36" s="19"/>
      <c r="D36" s="19"/>
      <c r="E36" s="19"/>
      <c r="F36" s="19"/>
      <c r="G36" s="13">
        <f t="shared" ref="G36:G48" si="3">SUM(C36:F36)</f>
        <v>0</v>
      </c>
    </row>
    <row r="37" spans="1:7" x14ac:dyDescent="0.2">
      <c r="A37" s="14" t="s">
        <v>76</v>
      </c>
      <c r="B37" s="15">
        <v>2</v>
      </c>
      <c r="C37" s="19"/>
      <c r="D37" s="19"/>
      <c r="E37" s="19"/>
      <c r="F37" s="19"/>
      <c r="G37" s="13">
        <f t="shared" si="3"/>
        <v>0</v>
      </c>
    </row>
    <row r="38" spans="1:7" x14ac:dyDescent="0.2">
      <c r="A38" s="14" t="s">
        <v>77</v>
      </c>
      <c r="B38" s="15">
        <v>3</v>
      </c>
      <c r="C38" s="19"/>
      <c r="D38" s="19"/>
      <c r="E38" s="19"/>
      <c r="F38" s="19"/>
      <c r="G38" s="13">
        <f t="shared" si="3"/>
        <v>0</v>
      </c>
    </row>
    <row r="39" spans="1:7" x14ac:dyDescent="0.2">
      <c r="A39" s="14" t="s">
        <v>78</v>
      </c>
      <c r="B39" s="15">
        <v>4</v>
      </c>
      <c r="C39" s="19"/>
      <c r="D39" s="19"/>
      <c r="E39" s="19"/>
      <c r="F39" s="19"/>
      <c r="G39" s="13">
        <f t="shared" si="3"/>
        <v>0</v>
      </c>
    </row>
    <row r="40" spans="1:7" x14ac:dyDescent="0.2">
      <c r="A40" s="14" t="s">
        <v>79</v>
      </c>
      <c r="B40" s="15">
        <v>5</v>
      </c>
      <c r="C40" s="19">
        <f>$C$10*$C$11/360*183</f>
        <v>4320833.333333333</v>
      </c>
      <c r="D40" s="19">
        <f>$D$10*$D$11/360*183</f>
        <v>9054687.5</v>
      </c>
      <c r="E40" s="19"/>
      <c r="F40" s="19"/>
      <c r="G40" s="13">
        <f t="shared" si="3"/>
        <v>13375520.833333332</v>
      </c>
    </row>
    <row r="41" spans="1:7" x14ac:dyDescent="0.2">
      <c r="A41" s="14" t="s">
        <v>80</v>
      </c>
      <c r="B41" s="15">
        <v>6</v>
      </c>
      <c r="C41" s="19"/>
      <c r="D41" s="19"/>
      <c r="E41" s="19"/>
      <c r="F41" s="19"/>
      <c r="G41" s="13">
        <f t="shared" si="3"/>
        <v>0</v>
      </c>
    </row>
    <row r="42" spans="1:7" x14ac:dyDescent="0.2">
      <c r="A42" s="14" t="s">
        <v>81</v>
      </c>
      <c r="B42" s="15">
        <v>7</v>
      </c>
      <c r="C42" s="19"/>
      <c r="D42" s="19"/>
      <c r="E42" s="19"/>
      <c r="F42" s="19"/>
      <c r="G42" s="13">
        <f t="shared" si="3"/>
        <v>0</v>
      </c>
    </row>
    <row r="43" spans="1:7" x14ac:dyDescent="0.2">
      <c r="A43" s="14" t="s">
        <v>82</v>
      </c>
      <c r="B43" s="15">
        <v>8</v>
      </c>
      <c r="C43" s="19"/>
      <c r="D43" s="19"/>
      <c r="E43" s="19"/>
      <c r="F43" s="19"/>
      <c r="G43" s="13">
        <f t="shared" si="3"/>
        <v>0</v>
      </c>
    </row>
    <row r="44" spans="1:7" x14ac:dyDescent="0.2">
      <c r="A44" s="14" t="s">
        <v>83</v>
      </c>
      <c r="B44" s="15">
        <v>9</v>
      </c>
      <c r="C44" s="19"/>
      <c r="D44" s="19"/>
      <c r="E44" s="19"/>
      <c r="F44" s="19"/>
      <c r="G44" s="13">
        <f t="shared" si="3"/>
        <v>0</v>
      </c>
    </row>
    <row r="45" spans="1:7" x14ac:dyDescent="0.2">
      <c r="A45" s="14" t="s">
        <v>84</v>
      </c>
      <c r="B45" s="15">
        <v>10</v>
      </c>
      <c r="C45" s="20"/>
      <c r="D45" s="20"/>
      <c r="E45" s="20"/>
      <c r="F45" s="20"/>
      <c r="G45" s="21">
        <f t="shared" si="3"/>
        <v>0</v>
      </c>
    </row>
    <row r="46" spans="1:7" x14ac:dyDescent="0.2">
      <c r="A46" s="14" t="s">
        <v>85</v>
      </c>
      <c r="B46" s="15">
        <v>11</v>
      </c>
      <c r="C46" s="19">
        <f>$C$10*$C$11/12*6</f>
        <v>4250000</v>
      </c>
      <c r="D46" s="19">
        <f>$D$10*$D$11/12*6</f>
        <v>8906250</v>
      </c>
      <c r="E46" s="20"/>
      <c r="F46" s="19"/>
      <c r="G46" s="13">
        <f>SUM(C46:F46)</f>
        <v>13156250</v>
      </c>
    </row>
    <row r="47" spans="1:7" x14ac:dyDescent="0.2">
      <c r="A47" s="14" t="s">
        <v>86</v>
      </c>
      <c r="B47" s="15">
        <v>12</v>
      </c>
      <c r="C47" s="83"/>
      <c r="D47" s="83"/>
      <c r="E47" s="83"/>
      <c r="F47" s="83"/>
      <c r="G47" s="42">
        <f t="shared" si="3"/>
        <v>0</v>
      </c>
    </row>
    <row r="48" spans="1:7" x14ac:dyDescent="0.2">
      <c r="A48" s="14" t="s">
        <v>204</v>
      </c>
      <c r="B48" s="82" t="s">
        <v>103</v>
      </c>
      <c r="C48" s="12">
        <f>SUM(C36:C47)</f>
        <v>8570833.3333333321</v>
      </c>
      <c r="D48" s="12">
        <f>SUM(D36:D47)</f>
        <v>17960937.5</v>
      </c>
      <c r="E48" s="12">
        <f>SUM(E36:E47)</f>
        <v>0</v>
      </c>
      <c r="F48" s="12"/>
      <c r="G48" s="43">
        <f t="shared" si="3"/>
        <v>26531770.833333332</v>
      </c>
    </row>
    <row r="49" spans="1:7" x14ac:dyDescent="0.2">
      <c r="A49" s="14"/>
      <c r="B49" s="14"/>
      <c r="C49" s="14"/>
      <c r="D49" s="14"/>
      <c r="E49" s="14"/>
      <c r="F49" s="14"/>
      <c r="G49" s="18"/>
    </row>
    <row r="50" spans="1:7" x14ac:dyDescent="0.2">
      <c r="A50" s="81" t="s">
        <v>104</v>
      </c>
      <c r="B50" s="14"/>
      <c r="C50" s="14"/>
      <c r="D50" s="14"/>
      <c r="E50" s="14"/>
      <c r="F50" s="14"/>
      <c r="G50" s="80"/>
    </row>
    <row r="51" spans="1:7" x14ac:dyDescent="0.2">
      <c r="A51" s="14" t="s">
        <v>75</v>
      </c>
      <c r="B51" s="15">
        <v>1</v>
      </c>
      <c r="C51" s="63">
        <f>C18+C21+C36</f>
        <v>-1865277.77</v>
      </c>
      <c r="D51" s="63">
        <f>D18+D21+D36</f>
        <v>-3908854.17</v>
      </c>
      <c r="E51" s="63">
        <f>E18+E21+E36</f>
        <v>0</v>
      </c>
      <c r="F51" s="19"/>
      <c r="G51" s="13">
        <f>SUM(C51:F51)</f>
        <v>-5774131.9399999995</v>
      </c>
    </row>
    <row r="52" spans="1:7" x14ac:dyDescent="0.2">
      <c r="A52" s="14" t="s">
        <v>76</v>
      </c>
      <c r="B52" s="15">
        <v>2</v>
      </c>
      <c r="C52" s="63">
        <f t="shared" ref="C52:E62" si="4">C51+C22+C37</f>
        <v>-2573611.1</v>
      </c>
      <c r="D52" s="63">
        <f t="shared" si="4"/>
        <v>-5393229.1699999999</v>
      </c>
      <c r="E52" s="63">
        <f t="shared" si="4"/>
        <v>0</v>
      </c>
      <c r="F52" s="63"/>
      <c r="G52" s="63">
        <f t="shared" ref="G52:G62" si="5">G51+G22+G37</f>
        <v>-7966840.2699999996</v>
      </c>
    </row>
    <row r="53" spans="1:7" x14ac:dyDescent="0.2">
      <c r="A53" s="14" t="s">
        <v>77</v>
      </c>
      <c r="B53" s="15">
        <v>3</v>
      </c>
      <c r="C53" s="63">
        <f t="shared" si="4"/>
        <v>-3281944.43</v>
      </c>
      <c r="D53" s="63">
        <f t="shared" si="4"/>
        <v>-6877604.1699999999</v>
      </c>
      <c r="E53" s="63">
        <f t="shared" si="4"/>
        <v>0</v>
      </c>
      <c r="F53" s="63"/>
      <c r="G53" s="63">
        <f t="shared" si="5"/>
        <v>-10159548.6</v>
      </c>
    </row>
    <row r="54" spans="1:7" x14ac:dyDescent="0.2">
      <c r="A54" s="14" t="s">
        <v>78</v>
      </c>
      <c r="B54" s="15">
        <v>4</v>
      </c>
      <c r="C54" s="63">
        <f t="shared" si="4"/>
        <v>-3990277.7600000002</v>
      </c>
      <c r="D54" s="63">
        <f t="shared" si="4"/>
        <v>-8361979.1699999999</v>
      </c>
      <c r="E54" s="63">
        <f t="shared" si="4"/>
        <v>0</v>
      </c>
      <c r="F54" s="63"/>
      <c r="G54" s="63">
        <f t="shared" si="5"/>
        <v>-12352256.93</v>
      </c>
    </row>
    <row r="55" spans="1:7" x14ac:dyDescent="0.2">
      <c r="A55" s="14" t="s">
        <v>79</v>
      </c>
      <c r="B55" s="15">
        <v>5</v>
      </c>
      <c r="C55" s="63">
        <f t="shared" si="4"/>
        <v>-377777.75666666683</v>
      </c>
      <c r="D55" s="63">
        <f t="shared" si="4"/>
        <v>-791666.66999999993</v>
      </c>
      <c r="E55" s="63">
        <f t="shared" si="4"/>
        <v>0</v>
      </c>
      <c r="F55" s="63"/>
      <c r="G55" s="63">
        <f t="shared" si="5"/>
        <v>-1169444.4266666677</v>
      </c>
    </row>
    <row r="56" spans="1:7" x14ac:dyDescent="0.2">
      <c r="A56" s="14" t="s">
        <v>80</v>
      </c>
      <c r="B56" s="15">
        <v>6</v>
      </c>
      <c r="C56" s="63">
        <f t="shared" si="4"/>
        <v>-1086111.0866666669</v>
      </c>
      <c r="D56" s="63">
        <f t="shared" si="4"/>
        <v>-2276041.67</v>
      </c>
      <c r="E56" s="63">
        <f t="shared" si="4"/>
        <v>0</v>
      </c>
      <c r="F56" s="63"/>
      <c r="G56" s="63">
        <f t="shared" si="5"/>
        <v>-3362152.7566666678</v>
      </c>
    </row>
    <row r="57" spans="1:7" x14ac:dyDescent="0.2">
      <c r="A57" s="14" t="s">
        <v>81</v>
      </c>
      <c r="B57" s="15">
        <v>7</v>
      </c>
      <c r="C57" s="63">
        <f t="shared" si="4"/>
        <v>-1794444.416666667</v>
      </c>
      <c r="D57" s="63">
        <f t="shared" si="4"/>
        <v>-3760416.67</v>
      </c>
      <c r="E57" s="63">
        <f t="shared" si="4"/>
        <v>0</v>
      </c>
      <c r="F57" s="63"/>
      <c r="G57" s="63">
        <f t="shared" si="5"/>
        <v>-5554861.0866666678</v>
      </c>
    </row>
    <row r="58" spans="1:7" x14ac:dyDescent="0.2">
      <c r="A58" s="14" t="s">
        <v>82</v>
      </c>
      <c r="B58" s="15">
        <v>8</v>
      </c>
      <c r="C58" s="63">
        <f t="shared" si="4"/>
        <v>-2502777.7466666671</v>
      </c>
      <c r="D58" s="63">
        <f t="shared" si="4"/>
        <v>-5244791.67</v>
      </c>
      <c r="E58" s="63">
        <f t="shared" si="4"/>
        <v>0</v>
      </c>
      <c r="F58" s="63"/>
      <c r="G58" s="63">
        <f t="shared" si="5"/>
        <v>-7747569.4166666679</v>
      </c>
    </row>
    <row r="59" spans="1:7" x14ac:dyDescent="0.2">
      <c r="A59" s="14" t="s">
        <v>83</v>
      </c>
      <c r="B59" s="15">
        <v>9</v>
      </c>
      <c r="C59" s="63">
        <f t="shared" si="4"/>
        <v>-3211111.0766666671</v>
      </c>
      <c r="D59" s="63">
        <f t="shared" si="4"/>
        <v>-6729166.6699999999</v>
      </c>
      <c r="E59" s="63">
        <f t="shared" si="4"/>
        <v>-60763.89</v>
      </c>
      <c r="F59" s="63"/>
      <c r="G59" s="63">
        <f t="shared" si="5"/>
        <v>-10001041.636666669</v>
      </c>
    </row>
    <row r="60" spans="1:7" x14ac:dyDescent="0.2">
      <c r="A60" s="14" t="s">
        <v>84</v>
      </c>
      <c r="B60" s="15">
        <v>10</v>
      </c>
      <c r="C60" s="63">
        <f t="shared" si="4"/>
        <v>-3919444.4066666672</v>
      </c>
      <c r="D60" s="63">
        <f t="shared" si="4"/>
        <v>-8213541.6699999999</v>
      </c>
      <c r="E60" s="63">
        <f t="shared" si="4"/>
        <v>-972222.22</v>
      </c>
      <c r="F60" s="63"/>
      <c r="G60" s="63">
        <f t="shared" si="5"/>
        <v>-13105208.296666669</v>
      </c>
    </row>
    <row r="61" spans="1:7" x14ac:dyDescent="0.2">
      <c r="A61" s="14" t="s">
        <v>85</v>
      </c>
      <c r="B61" s="15">
        <v>11</v>
      </c>
      <c r="C61" s="63">
        <f t="shared" si="4"/>
        <v>-377777.73666666728</v>
      </c>
      <c r="D61" s="63">
        <f t="shared" si="4"/>
        <v>-791666.66999999993</v>
      </c>
      <c r="E61" s="63">
        <f t="shared" si="4"/>
        <v>-1883680.5499999998</v>
      </c>
      <c r="F61" s="63"/>
      <c r="G61" s="63">
        <f t="shared" si="5"/>
        <v>-3053124.9566666689</v>
      </c>
    </row>
    <row r="62" spans="1:7" x14ac:dyDescent="0.2">
      <c r="A62" s="14" t="s">
        <v>86</v>
      </c>
      <c r="B62" s="15">
        <v>12</v>
      </c>
      <c r="C62" s="63">
        <f t="shared" si="4"/>
        <v>-1086111.1066666674</v>
      </c>
      <c r="D62" s="63">
        <f t="shared" si="4"/>
        <v>-2276041.67</v>
      </c>
      <c r="E62" s="63">
        <f t="shared" si="4"/>
        <v>-2795138.88</v>
      </c>
      <c r="F62" s="63"/>
      <c r="G62" s="63">
        <f t="shared" si="5"/>
        <v>-6157291.6566666691</v>
      </c>
    </row>
    <row r="63" spans="1:7" x14ac:dyDescent="0.2">
      <c r="A63" s="14"/>
      <c r="B63" s="82"/>
      <c r="C63" s="44"/>
      <c r="D63" s="44"/>
      <c r="E63" s="44"/>
      <c r="F63" s="44"/>
      <c r="G63" s="35"/>
    </row>
    <row r="64" spans="1:7" x14ac:dyDescent="0.2">
      <c r="A64" s="14"/>
      <c r="B64" s="82"/>
      <c r="C64" s="14"/>
      <c r="D64" s="14"/>
      <c r="E64" s="14"/>
      <c r="F64" s="14"/>
      <c r="G64" s="18"/>
    </row>
    <row r="65" spans="1:7" s="33" customFormat="1" x14ac:dyDescent="0.2">
      <c r="A65" s="34"/>
      <c r="B65" s="34"/>
      <c r="C65" s="34"/>
      <c r="D65" s="34"/>
      <c r="E65" s="34"/>
      <c r="F65" s="34"/>
      <c r="G65" s="38"/>
    </row>
    <row r="66" spans="1:7" s="33" customFormat="1" x14ac:dyDescent="0.2">
      <c r="A66" s="36"/>
      <c r="B66" s="36"/>
      <c r="C66" s="36"/>
      <c r="D66" s="36"/>
      <c r="E66" s="36"/>
      <c r="F66" s="36"/>
      <c r="G66" s="36"/>
    </row>
    <row r="67" spans="1:7" s="33" customFormat="1" x14ac:dyDescent="0.2">
      <c r="A67" s="34"/>
      <c r="B67" s="34"/>
      <c r="C67" s="34"/>
      <c r="D67" s="34"/>
      <c r="E67" s="34"/>
      <c r="F67" s="34"/>
      <c r="G67" s="38"/>
    </row>
    <row r="68" spans="1:7" s="33" customFormat="1" x14ac:dyDescent="0.2">
      <c r="A68" s="34"/>
      <c r="B68" s="34"/>
      <c r="C68" s="34"/>
      <c r="D68" s="34"/>
      <c r="E68" s="34"/>
      <c r="F68" s="34"/>
      <c r="G68" s="38"/>
    </row>
    <row r="69" spans="1:7" s="33" customFormat="1" x14ac:dyDescent="0.2">
      <c r="A69" s="34"/>
      <c r="B69" s="34"/>
      <c r="C69" s="34"/>
      <c r="D69" s="34"/>
      <c r="E69" s="34"/>
      <c r="F69" s="39"/>
      <c r="G69" s="38"/>
    </row>
    <row r="70" spans="1:7" s="33" customFormat="1" x14ac:dyDescent="0.2">
      <c r="A70" s="34"/>
      <c r="B70" s="34"/>
      <c r="C70" s="34"/>
      <c r="D70" s="34"/>
      <c r="E70" s="34"/>
      <c r="F70" s="39"/>
      <c r="G70" s="38"/>
    </row>
    <row r="71" spans="1:7" s="33" customFormat="1" x14ac:dyDescent="0.2">
      <c r="A71" s="34"/>
      <c r="B71" s="34"/>
      <c r="C71" s="34"/>
      <c r="D71" s="34"/>
      <c r="E71" s="34"/>
      <c r="F71" s="39"/>
      <c r="G71" s="38"/>
    </row>
    <row r="72" spans="1:7" s="33" customFormat="1" x14ac:dyDescent="0.2">
      <c r="A72" s="34"/>
      <c r="B72" s="34"/>
      <c r="C72" s="34"/>
      <c r="D72" s="34"/>
      <c r="E72" s="34"/>
      <c r="F72" s="34"/>
      <c r="G72" s="40"/>
    </row>
    <row r="73" spans="1:7" s="33" customFormat="1" x14ac:dyDescent="0.2"/>
    <row r="74" spans="1:7" s="33" customFormat="1" x14ac:dyDescent="0.2"/>
    <row r="75" spans="1:7" s="33" customFormat="1" x14ac:dyDescent="0.2"/>
    <row r="76" spans="1:7" s="33" customFormat="1" x14ac:dyDescent="0.2"/>
    <row r="77" spans="1:7" s="33" customFormat="1" x14ac:dyDescent="0.2"/>
  </sheetData>
  <pageMargins left="0.7" right="0.7" top="1" bottom="0.75" header="0.25" footer="0.5"/>
  <pageSetup scale="86" orientation="portrait" r:id="rId1"/>
  <headerFooter>
    <oddHeader>&amp;R&amp;"Times New Roman,Bold"&amp;12Attachment to Response to KU KIUC-2 Question No. 2.15
Page &amp;P of &amp;N
Arbough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30"/>
  <sheetViews>
    <sheetView view="pageBreakPreview" topLeftCell="C1" zoomScale="75" zoomScaleNormal="95" workbookViewId="0">
      <selection activeCell="D25" sqref="D25"/>
    </sheetView>
  </sheetViews>
  <sheetFormatPr defaultColWidth="17.7109375" defaultRowHeight="15" x14ac:dyDescent="0.2"/>
  <cols>
    <col min="1" max="1" width="9.85546875" style="112" bestFit="1" customWidth="1"/>
    <col min="2" max="2" width="44.140625" style="111" customWidth="1"/>
    <col min="3" max="3" width="3" style="111" customWidth="1"/>
    <col min="4" max="15" width="17.7109375" style="111" customWidth="1"/>
    <col min="16" max="16384" width="17.7109375" style="111"/>
  </cols>
  <sheetData>
    <row r="1" spans="1:17" ht="15.75" x14ac:dyDescent="0.25">
      <c r="A1" s="84" t="s">
        <v>89</v>
      </c>
    </row>
    <row r="2" spans="1:17" ht="15.75" x14ac:dyDescent="0.25">
      <c r="A2" s="45" t="s">
        <v>105</v>
      </c>
    </row>
    <row r="3" spans="1:17" ht="15.75" x14ac:dyDescent="0.25">
      <c r="A3" s="45">
        <v>2011</v>
      </c>
    </row>
    <row r="4" spans="1:17" x14ac:dyDescent="0.2">
      <c r="N4" s="85"/>
    </row>
    <row r="5" spans="1:17" s="46" customFormat="1" ht="15.75" x14ac:dyDescent="0.25">
      <c r="A5" s="86"/>
      <c r="D5" s="46" t="s">
        <v>107</v>
      </c>
      <c r="E5" s="46" t="s">
        <v>108</v>
      </c>
      <c r="F5" s="46" t="s">
        <v>109</v>
      </c>
      <c r="G5" s="46" t="s">
        <v>110</v>
      </c>
      <c r="H5" s="46" t="s">
        <v>111</v>
      </c>
      <c r="I5" s="46" t="s">
        <v>112</v>
      </c>
      <c r="J5" s="47" t="s">
        <v>113</v>
      </c>
      <c r="K5" s="46" t="s">
        <v>114</v>
      </c>
      <c r="L5" s="46" t="s">
        <v>115</v>
      </c>
      <c r="M5" s="46" t="s">
        <v>116</v>
      </c>
      <c r="N5" s="46" t="s">
        <v>117</v>
      </c>
      <c r="O5" s="46" t="s">
        <v>118</v>
      </c>
      <c r="P5" s="46" t="s">
        <v>40</v>
      </c>
      <c r="Q5" s="111"/>
    </row>
    <row r="6" spans="1:17" ht="16.5" customHeight="1" x14ac:dyDescent="0.2"/>
    <row r="7" spans="1:17" s="114" customFormat="1" ht="15" customHeight="1" x14ac:dyDescent="0.2">
      <c r="A7" s="113">
        <v>145010</v>
      </c>
      <c r="B7" s="114" t="s">
        <v>121</v>
      </c>
      <c r="D7" s="114">
        <f>401015.35+1487700+444181.27</f>
        <v>2332896.62</v>
      </c>
      <c r="E7" s="114">
        <f>362207.41+1487700+404646.67</f>
        <v>2254554.08</v>
      </c>
      <c r="F7" s="114">
        <f>405353.42+448001.67+1487700</f>
        <v>2341055.09</v>
      </c>
      <c r="G7" s="114">
        <v>2307105.39</v>
      </c>
      <c r="H7" s="114">
        <f>405353.42+435558.83+1487700</f>
        <v>2328612.25</v>
      </c>
      <c r="I7" s="114">
        <f>375952.07+1487700+421508.54</f>
        <v>2285160.61</v>
      </c>
      <c r="J7" s="114">
        <f>388483.8+1487700+196703.99</f>
        <v>2072887.79</v>
      </c>
      <c r="K7" s="114">
        <f>388483.8+1487700</f>
        <v>1876183.8</v>
      </c>
      <c r="L7" s="114">
        <f>396618.65+1487700</f>
        <v>1884318.65</v>
      </c>
      <c r="M7" s="114">
        <f>409839.27+1487700</f>
        <v>1897539.27</v>
      </c>
      <c r="N7" s="114">
        <f>396618.65+1487700</f>
        <v>1884318.65</v>
      </c>
      <c r="O7" s="114">
        <f>469840.51+1487700</f>
        <v>1957540.51</v>
      </c>
      <c r="P7" s="114">
        <f>SUM(D7:O7)</f>
        <v>25422172.709999997</v>
      </c>
    </row>
    <row r="8" spans="1:17" s="114" customFormat="1" ht="15" customHeight="1" x14ac:dyDescent="0.2">
      <c r="A8" s="113"/>
    </row>
    <row r="9" spans="1:17" s="114" customFormat="1" ht="15" customHeight="1" x14ac:dyDescent="0.2">
      <c r="A9" s="113">
        <v>233013</v>
      </c>
      <c r="B9" s="114" t="s">
        <v>122</v>
      </c>
      <c r="D9" s="114">
        <f>-47294.64</f>
        <v>-47294.64</v>
      </c>
      <c r="E9" s="114">
        <v>-43021.22</v>
      </c>
      <c r="F9" s="114">
        <v>-47630.64</v>
      </c>
      <c r="G9" s="114">
        <v>-45423.34</v>
      </c>
      <c r="H9" s="114">
        <v>-46726.47</v>
      </c>
      <c r="I9" s="114">
        <v>-45219.17</v>
      </c>
      <c r="J9" s="114">
        <v>-43601.14</v>
      </c>
      <c r="K9" s="114">
        <v>-42689.58</v>
      </c>
      <c r="L9" s="114">
        <v>-41312.5</v>
      </c>
      <c r="M9" s="114">
        <v>-52158.25</v>
      </c>
      <c r="N9" s="114">
        <v>-53148.33</v>
      </c>
      <c r="O9" s="114">
        <v>-54919.94</v>
      </c>
      <c r="P9" s="114">
        <f>SUM(D9:O9)</f>
        <v>-563145.22</v>
      </c>
    </row>
    <row r="10" spans="1:17" s="114" customFormat="1" ht="15" customHeight="1" x14ac:dyDescent="0.2">
      <c r="A10" s="113"/>
    </row>
    <row r="11" spans="1:17" s="114" customFormat="1" ht="15" customHeight="1" x14ac:dyDescent="0.2">
      <c r="A11" s="113">
        <v>233019</v>
      </c>
      <c r="B11" s="114" t="s">
        <v>123</v>
      </c>
      <c r="D11" s="114">
        <v>-45601.440000000002</v>
      </c>
      <c r="E11" s="114">
        <v>-41481.01</v>
      </c>
      <c r="F11" s="114">
        <v>-45925.41</v>
      </c>
      <c r="G11" s="114">
        <v>-43797.120000000003</v>
      </c>
      <c r="H11" s="114">
        <v>-45053.61</v>
      </c>
      <c r="I11" s="114">
        <v>-43600.27</v>
      </c>
      <c r="J11" s="114">
        <v>-42040.17</v>
      </c>
      <c r="K11" s="114">
        <v>-41161.25</v>
      </c>
      <c r="L11" s="114">
        <v>-39833.47</v>
      </c>
      <c r="M11" s="114">
        <v>-49530.12</v>
      </c>
      <c r="N11" s="114">
        <v>-51245.56</v>
      </c>
      <c r="O11" s="114">
        <v>-52953.75</v>
      </c>
      <c r="P11" s="114">
        <f>SUM(D11:O11)</f>
        <v>-542223.17999999993</v>
      </c>
    </row>
    <row r="13" spans="1:17" ht="15" customHeight="1" x14ac:dyDescent="0.2">
      <c r="A13" s="115" t="s">
        <v>124</v>
      </c>
    </row>
    <row r="14" spans="1:17" x14ac:dyDescent="0.2">
      <c r="B14" s="116" t="s">
        <v>125</v>
      </c>
      <c r="D14" s="111">
        <v>2323.44</v>
      </c>
      <c r="E14" s="111">
        <v>-1175.77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4">
        <f>SUM(D14:O14)</f>
        <v>1147.67</v>
      </c>
    </row>
    <row r="15" spans="1:17" x14ac:dyDescent="0.2">
      <c r="B15" s="116" t="s">
        <v>126</v>
      </c>
      <c r="D15" s="111">
        <v>4617.03</v>
      </c>
      <c r="E15" s="111">
        <v>3058.76</v>
      </c>
      <c r="F15" s="111">
        <v>57.83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4">
        <f>SUM(D15:O15)</f>
        <v>7733.62</v>
      </c>
    </row>
    <row r="16" spans="1:17" x14ac:dyDescent="0.2">
      <c r="B16" s="116" t="s">
        <v>127</v>
      </c>
      <c r="D16" s="111">
        <v>18877.02</v>
      </c>
      <c r="E16" s="111">
        <v>22815.4</v>
      </c>
      <c r="F16" s="111">
        <v>25619.68</v>
      </c>
      <c r="G16" s="111">
        <v>22019.77</v>
      </c>
      <c r="H16" s="111">
        <v>21599.66</v>
      </c>
      <c r="I16" s="111">
        <v>17914.63</v>
      </c>
      <c r="J16" s="111">
        <v>67881.05</v>
      </c>
      <c r="K16" s="111">
        <v>213794.73</v>
      </c>
      <c r="L16" s="111">
        <v>206853.19</v>
      </c>
      <c r="M16" s="111">
        <v>235358.07999999999</v>
      </c>
      <c r="N16" s="111">
        <v>242867.7</v>
      </c>
      <c r="O16" s="111">
        <v>297910.45</v>
      </c>
      <c r="P16" s="114">
        <f>SUM(D16:O16)</f>
        <v>1393511.36</v>
      </c>
    </row>
    <row r="17" spans="1:16" x14ac:dyDescent="0.2">
      <c r="B17" s="116" t="s">
        <v>129</v>
      </c>
      <c r="D17" s="111">
        <v>12419.89</v>
      </c>
      <c r="E17" s="111">
        <v>11187.39</v>
      </c>
      <c r="F17" s="111">
        <v>12485.97</v>
      </c>
      <c r="G17" s="111">
        <v>9662.25</v>
      </c>
      <c r="H17" s="111">
        <v>9486.56</v>
      </c>
      <c r="I17" s="111">
        <v>7797.98</v>
      </c>
      <c r="J17" s="111">
        <v>8056.51</v>
      </c>
      <c r="K17" s="111">
        <v>16618.89</v>
      </c>
      <c r="L17" s="111">
        <v>16229.71</v>
      </c>
      <c r="M17" s="111">
        <v>18294.82</v>
      </c>
      <c r="N17" s="111">
        <v>18693.7</v>
      </c>
      <c r="O17" s="111">
        <v>23081.98</v>
      </c>
      <c r="P17" s="114">
        <f>SUM(D17:O17)</f>
        <v>164015.65000000002</v>
      </c>
    </row>
    <row r="19" spans="1:16" ht="16.5" thickBot="1" x14ac:dyDescent="0.3">
      <c r="B19" s="87" t="s">
        <v>133</v>
      </c>
      <c r="D19" s="117">
        <f t="shared" ref="D19:O19" si="0">SUM(D6:D18)</f>
        <v>2278237.92</v>
      </c>
      <c r="E19" s="117">
        <f t="shared" si="0"/>
        <v>2205937.63</v>
      </c>
      <c r="F19" s="117">
        <f t="shared" si="0"/>
        <v>2285662.52</v>
      </c>
      <c r="G19" s="117">
        <f t="shared" si="0"/>
        <v>2249566.9500000002</v>
      </c>
      <c r="H19" s="117">
        <f t="shared" si="0"/>
        <v>2267918.39</v>
      </c>
      <c r="I19" s="117">
        <f t="shared" si="0"/>
        <v>2222053.7799999998</v>
      </c>
      <c r="J19" s="117">
        <f t="shared" si="0"/>
        <v>2063184.0400000003</v>
      </c>
      <c r="K19" s="117">
        <f t="shared" si="0"/>
        <v>2022746.5899999999</v>
      </c>
      <c r="L19" s="117">
        <f t="shared" si="0"/>
        <v>2026255.5799999998</v>
      </c>
      <c r="M19" s="117">
        <f t="shared" si="0"/>
        <v>2049503.8</v>
      </c>
      <c r="N19" s="117">
        <f t="shared" si="0"/>
        <v>2041486.1599999997</v>
      </c>
      <c r="O19" s="117">
        <f t="shared" si="0"/>
        <v>2170659.25</v>
      </c>
      <c r="P19" s="111">
        <f>SUM(P7:P17)</f>
        <v>25883212.609999999</v>
      </c>
    </row>
    <row r="20" spans="1:16" ht="16.5" thickTop="1" x14ac:dyDescent="0.25">
      <c r="B20" s="8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6" ht="15.75" x14ac:dyDescent="0.25">
      <c r="B21" s="87"/>
    </row>
    <row r="22" spans="1:16" ht="16.5" thickBot="1" x14ac:dyDescent="0.3">
      <c r="B22" s="87" t="s">
        <v>134</v>
      </c>
      <c r="D22" s="119">
        <f>+D19</f>
        <v>2278237.92</v>
      </c>
      <c r="E22" s="119">
        <f t="shared" ref="E22:O22" si="1">+E19+D22</f>
        <v>4484175.55</v>
      </c>
      <c r="F22" s="119">
        <f t="shared" si="1"/>
        <v>6769838.0700000003</v>
      </c>
      <c r="G22" s="119">
        <f t="shared" si="1"/>
        <v>9019405.0199999996</v>
      </c>
      <c r="H22" s="119">
        <f t="shared" si="1"/>
        <v>11287323.41</v>
      </c>
      <c r="I22" s="119">
        <f t="shared" si="1"/>
        <v>13509377.189999999</v>
      </c>
      <c r="J22" s="119">
        <f t="shared" si="1"/>
        <v>15572561.23</v>
      </c>
      <c r="K22" s="119">
        <f t="shared" si="1"/>
        <v>17595307.82</v>
      </c>
      <c r="L22" s="119">
        <f t="shared" si="1"/>
        <v>19621563.399999999</v>
      </c>
      <c r="M22" s="119">
        <f t="shared" si="1"/>
        <v>21671067.199999999</v>
      </c>
      <c r="N22" s="119">
        <f t="shared" si="1"/>
        <v>23712553.359999999</v>
      </c>
      <c r="O22" s="119">
        <f t="shared" si="1"/>
        <v>25883212.609999999</v>
      </c>
    </row>
    <row r="23" spans="1:16" ht="15.75" thickTop="1" x14ac:dyDescent="0.2"/>
    <row r="24" spans="1:16" x14ac:dyDescent="0.2">
      <c r="A24" s="115" t="s">
        <v>135</v>
      </c>
      <c r="D24" s="111">
        <v>2278237.92</v>
      </c>
      <c r="E24" s="111">
        <v>4484175.55</v>
      </c>
      <c r="F24" s="111">
        <v>6769838.0700000003</v>
      </c>
      <c r="G24" s="111">
        <v>9019405.0199999996</v>
      </c>
      <c r="H24" s="111">
        <v>11287323.41</v>
      </c>
      <c r="I24" s="111">
        <v>13509377.189999999</v>
      </c>
      <c r="J24" s="111">
        <v>15572561.23</v>
      </c>
      <c r="K24" s="111">
        <v>17595307.82</v>
      </c>
      <c r="L24" s="111">
        <f>20412975.85-791412.45</f>
        <v>19621563.400000002</v>
      </c>
      <c r="M24" s="111">
        <v>21671067.199999999</v>
      </c>
      <c r="N24" s="111">
        <f>24710048.07-997494.71</f>
        <v>23712553.359999999</v>
      </c>
      <c r="O24" s="111">
        <f>26988581.01-1105368.4</f>
        <v>25883212.610000003</v>
      </c>
    </row>
    <row r="25" spans="1:16" x14ac:dyDescent="0.2">
      <c r="B25" s="111" t="s">
        <v>36</v>
      </c>
      <c r="D25" s="111">
        <f t="shared" ref="D25:O25" si="2">+D22-D24</f>
        <v>0</v>
      </c>
      <c r="E25" s="111">
        <f t="shared" si="2"/>
        <v>0</v>
      </c>
      <c r="F25" s="111">
        <f t="shared" si="2"/>
        <v>0</v>
      </c>
      <c r="G25" s="111">
        <f t="shared" si="2"/>
        <v>0</v>
      </c>
      <c r="H25" s="111">
        <f t="shared" si="2"/>
        <v>0</v>
      </c>
      <c r="I25" s="111">
        <f t="shared" si="2"/>
        <v>0</v>
      </c>
      <c r="J25" s="111">
        <f t="shared" si="2"/>
        <v>0</v>
      </c>
      <c r="K25" s="111">
        <f t="shared" si="2"/>
        <v>0</v>
      </c>
      <c r="L25" s="111">
        <f t="shared" si="2"/>
        <v>0</v>
      </c>
      <c r="M25" s="111">
        <f t="shared" si="2"/>
        <v>0</v>
      </c>
      <c r="N25" s="111">
        <f t="shared" si="2"/>
        <v>0</v>
      </c>
      <c r="O25" s="111">
        <f t="shared" si="2"/>
        <v>0</v>
      </c>
    </row>
    <row r="28" spans="1:16" x14ac:dyDescent="0.2">
      <c r="B28" s="120" t="s">
        <v>205</v>
      </c>
      <c r="D28" s="121">
        <v>2.5000000000000001E-3</v>
      </c>
      <c r="E28" s="121">
        <v>2.5000000000000001E-3</v>
      </c>
      <c r="F28" s="121">
        <v>2.5000000000000001E-3</v>
      </c>
      <c r="G28" s="121">
        <v>2E-3</v>
      </c>
      <c r="H28" s="121">
        <v>1.9E-3</v>
      </c>
      <c r="I28" s="121">
        <v>1.6000000000000001E-3</v>
      </c>
      <c r="J28" s="121">
        <v>1.6000000000000001E-3</v>
      </c>
      <c r="K28" s="121">
        <v>1.1999999999999999E-3</v>
      </c>
      <c r="L28" s="121">
        <v>1.6999999999999999E-3</v>
      </c>
      <c r="M28" s="121">
        <v>1.6999999999999999E-3</v>
      </c>
      <c r="N28" s="121">
        <v>1.2999999999999999E-3</v>
      </c>
      <c r="O28" s="121">
        <v>4.4999999999999997E-3</v>
      </c>
    </row>
    <row r="29" spans="1:16" x14ac:dyDescent="0.2">
      <c r="B29" s="120" t="s">
        <v>206</v>
      </c>
      <c r="K29" s="121">
        <v>3.3E-3</v>
      </c>
      <c r="L29" s="121">
        <v>3.3E-3</v>
      </c>
      <c r="M29" s="121">
        <v>3.5999999999999999E-3</v>
      </c>
      <c r="N29" s="121">
        <v>3.8E-3</v>
      </c>
      <c r="O29" s="121">
        <v>4.4999999999999997E-3</v>
      </c>
    </row>
    <row r="30" spans="1:16" x14ac:dyDescent="0.2">
      <c r="A30" s="88" t="s">
        <v>137</v>
      </c>
    </row>
  </sheetData>
  <pageMargins left="0.7" right="0.7" top="0.75" bottom="0.75" header="0.5" footer="0.5"/>
  <pageSetup scale="43" orientation="landscape" r:id="rId1"/>
  <headerFooter>
    <oddFooter>&amp;R&amp;"Times New Roman,Bold"&amp;12Attachment to Response to KU KIUC-2 Question No. 2.15
Page &amp;P of &amp;N
Arbough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33"/>
  <sheetViews>
    <sheetView view="pageBreakPreview" zoomScaleNormal="100" zoomScaleSheetLayoutView="100" workbookViewId="0">
      <pane xSplit="2" ySplit="5" topLeftCell="H6" activePane="bottomRight" state="frozenSplit"/>
      <selection activeCell="D25" sqref="D25"/>
      <selection pane="topRight" activeCell="D25" sqref="D25"/>
      <selection pane="bottomLeft" activeCell="D25" sqref="D25"/>
      <selection pane="bottomRight" activeCell="D25" sqref="D25"/>
    </sheetView>
  </sheetViews>
  <sheetFormatPr defaultColWidth="9.140625" defaultRowHeight="12.75" x14ac:dyDescent="0.2"/>
  <cols>
    <col min="1" max="1" width="2" style="68" customWidth="1"/>
    <col min="2" max="2" width="45.7109375" style="68" customWidth="1"/>
    <col min="3" max="4" width="12.85546875" style="68" bestFit="1" customWidth="1"/>
    <col min="5" max="10" width="14" style="68" bestFit="1" customWidth="1"/>
    <col min="11" max="14" width="14.7109375" style="68" customWidth="1"/>
    <col min="15" max="15" width="20" style="68" customWidth="1"/>
    <col min="16" max="16384" width="9.140625" style="68"/>
  </cols>
  <sheetData>
    <row r="1" spans="1:15" ht="15.75" x14ac:dyDescent="0.25">
      <c r="A1" s="89" t="s">
        <v>56</v>
      </c>
    </row>
    <row r="2" spans="1:15" ht="15.75" x14ac:dyDescent="0.25">
      <c r="A2" s="89" t="s">
        <v>138</v>
      </c>
    </row>
    <row r="3" spans="1:15" s="105" customFormat="1" ht="15.75" x14ac:dyDescent="0.2">
      <c r="A3" s="90" t="s">
        <v>207</v>
      </c>
      <c r="M3" s="48"/>
    </row>
    <row r="4" spans="1:15" s="105" customFormat="1" x14ac:dyDescent="0.2">
      <c r="A4" s="91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 t="s">
        <v>40</v>
      </c>
    </row>
    <row r="5" spans="1:15" x14ac:dyDescent="0.2">
      <c r="B5" s="68" t="s">
        <v>141</v>
      </c>
      <c r="C5" s="49">
        <v>40574</v>
      </c>
      <c r="D5" s="49">
        <v>40602</v>
      </c>
      <c r="E5" s="49">
        <v>40633</v>
      </c>
      <c r="F5" s="49">
        <v>40663</v>
      </c>
      <c r="G5" s="49">
        <v>40694</v>
      </c>
      <c r="H5" s="49">
        <v>40724</v>
      </c>
      <c r="I5" s="49">
        <v>40755</v>
      </c>
      <c r="J5" s="49">
        <v>40786</v>
      </c>
      <c r="K5" s="49">
        <v>40816</v>
      </c>
      <c r="L5" s="49">
        <v>40847</v>
      </c>
      <c r="M5" s="49">
        <v>40877</v>
      </c>
      <c r="N5" s="49">
        <v>40908</v>
      </c>
      <c r="O5" s="92" t="s">
        <v>142</v>
      </c>
    </row>
    <row r="6" spans="1:15" x14ac:dyDescent="0.2">
      <c r="A6" s="93" t="s">
        <v>143</v>
      </c>
    </row>
    <row r="7" spans="1:15" x14ac:dyDescent="0.2">
      <c r="B7" s="68" t="s">
        <v>208</v>
      </c>
      <c r="C7" s="52">
        <v>15484.61</v>
      </c>
      <c r="D7" s="52">
        <v>2191.73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/>
      <c r="N7" s="52"/>
      <c r="O7" s="52">
        <f>SUM(C7:N7)</f>
        <v>17676.34</v>
      </c>
    </row>
    <row r="8" spans="1:15" x14ac:dyDescent="0.2">
      <c r="B8" s="106" t="s">
        <v>209</v>
      </c>
      <c r="C8" s="52">
        <v>49418.63</v>
      </c>
      <c r="D8" s="52">
        <v>45809.32</v>
      </c>
      <c r="E8" s="52">
        <v>50958.5</v>
      </c>
      <c r="F8" s="52">
        <v>49315.07</v>
      </c>
      <c r="G8" s="52">
        <v>50958.9</v>
      </c>
      <c r="H8" s="52">
        <v>49315.07</v>
      </c>
      <c r="I8" s="52">
        <v>50958.9</v>
      </c>
      <c r="J8" s="52">
        <v>50958.9</v>
      </c>
      <c r="K8" s="52">
        <v>49315.07</v>
      </c>
      <c r="L8" s="52">
        <v>51666.67</v>
      </c>
      <c r="M8" s="52">
        <v>50000</v>
      </c>
      <c r="N8" s="52">
        <v>51666.67</v>
      </c>
      <c r="O8" s="52">
        <f>SUM(C8:N8)</f>
        <v>600341.70000000007</v>
      </c>
    </row>
    <row r="9" spans="1:15" s="94" customFormat="1" x14ac:dyDescent="0.2">
      <c r="B9" s="95" t="s">
        <v>146</v>
      </c>
      <c r="C9" s="50">
        <f t="shared" ref="C9:N9" si="0">SUM(C7:C8)</f>
        <v>64903.24</v>
      </c>
      <c r="D9" s="50">
        <f t="shared" si="0"/>
        <v>48001.05</v>
      </c>
      <c r="E9" s="50">
        <f t="shared" si="0"/>
        <v>50958.5</v>
      </c>
      <c r="F9" s="50">
        <f t="shared" si="0"/>
        <v>49315.07</v>
      </c>
      <c r="G9" s="50">
        <f t="shared" si="0"/>
        <v>50958.9</v>
      </c>
      <c r="H9" s="50">
        <f t="shared" si="0"/>
        <v>49315.07</v>
      </c>
      <c r="I9" s="50">
        <f t="shared" si="0"/>
        <v>50958.9</v>
      </c>
      <c r="J9" s="50">
        <f t="shared" si="0"/>
        <v>50958.9</v>
      </c>
      <c r="K9" s="50">
        <f t="shared" si="0"/>
        <v>49315.07</v>
      </c>
      <c r="L9" s="50">
        <f t="shared" si="0"/>
        <v>51666.67</v>
      </c>
      <c r="M9" s="50">
        <f t="shared" si="0"/>
        <v>50000</v>
      </c>
      <c r="N9" s="50">
        <f t="shared" si="0"/>
        <v>51666.67</v>
      </c>
      <c r="O9" s="97"/>
    </row>
    <row r="10" spans="1:15" x14ac:dyDescent="0.2"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">
      <c r="A11" s="93" t="s">
        <v>147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x14ac:dyDescent="0.2">
      <c r="A12" s="9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"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1:15" x14ac:dyDescent="0.2">
      <c r="B14" s="95" t="s">
        <v>150</v>
      </c>
      <c r="C14" s="51">
        <f t="shared" ref="C14:N14" si="1">SUM(C12:C13)</f>
        <v>0</v>
      </c>
      <c r="D14" s="51">
        <f t="shared" si="1"/>
        <v>0</v>
      </c>
      <c r="E14" s="51">
        <f t="shared" si="1"/>
        <v>0</v>
      </c>
      <c r="F14" s="51">
        <f t="shared" si="1"/>
        <v>0</v>
      </c>
      <c r="G14" s="51">
        <f t="shared" si="1"/>
        <v>0</v>
      </c>
      <c r="H14" s="51">
        <f t="shared" si="1"/>
        <v>0</v>
      </c>
      <c r="I14" s="51">
        <f t="shared" si="1"/>
        <v>0</v>
      </c>
      <c r="J14" s="51">
        <f t="shared" si="1"/>
        <v>0</v>
      </c>
      <c r="K14" s="51">
        <f t="shared" si="1"/>
        <v>0</v>
      </c>
      <c r="L14" s="51">
        <f t="shared" si="1"/>
        <v>0</v>
      </c>
      <c r="M14" s="51">
        <f t="shared" si="1"/>
        <v>0</v>
      </c>
      <c r="N14" s="51">
        <f t="shared" si="1"/>
        <v>0</v>
      </c>
      <c r="O14" s="99"/>
    </row>
    <row r="15" spans="1:15" x14ac:dyDescent="0.2"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s="94" customFormat="1" ht="13.5" thickBot="1" x14ac:dyDescent="0.25">
      <c r="B16" s="93" t="s">
        <v>151</v>
      </c>
      <c r="C16" s="53">
        <f t="shared" ref="C16:N16" si="2">+C14+C9</f>
        <v>64903.24</v>
      </c>
      <c r="D16" s="53">
        <f t="shared" si="2"/>
        <v>48001.05</v>
      </c>
      <c r="E16" s="53">
        <f t="shared" si="2"/>
        <v>50958.5</v>
      </c>
      <c r="F16" s="53">
        <f t="shared" si="2"/>
        <v>49315.07</v>
      </c>
      <c r="G16" s="53">
        <f t="shared" si="2"/>
        <v>50958.9</v>
      </c>
      <c r="H16" s="53">
        <f t="shared" si="2"/>
        <v>49315.07</v>
      </c>
      <c r="I16" s="53">
        <f t="shared" si="2"/>
        <v>50958.9</v>
      </c>
      <c r="J16" s="53">
        <f t="shared" si="2"/>
        <v>50958.9</v>
      </c>
      <c r="K16" s="53">
        <f t="shared" si="2"/>
        <v>49315.07</v>
      </c>
      <c r="L16" s="53">
        <f t="shared" si="2"/>
        <v>51666.67</v>
      </c>
      <c r="M16" s="53">
        <f t="shared" si="2"/>
        <v>50000</v>
      </c>
      <c r="N16" s="53">
        <f t="shared" si="2"/>
        <v>51666.67</v>
      </c>
      <c r="O16" s="53">
        <f>+O13+O9</f>
        <v>0</v>
      </c>
    </row>
    <row r="17" spans="1:15" ht="13.5" thickTop="1" x14ac:dyDescent="0.2"/>
    <row r="20" spans="1:15" x14ac:dyDescent="0.2">
      <c r="A20" s="100" t="s">
        <v>152</v>
      </c>
    </row>
    <row r="21" spans="1:15" x14ac:dyDescent="0.2">
      <c r="B21" s="68" t="s">
        <v>153</v>
      </c>
      <c r="C21" s="52">
        <f>+C16</f>
        <v>64903.24</v>
      </c>
      <c r="D21" s="52">
        <f t="shared" ref="D21:L21" si="3">+D16+C21</f>
        <v>112904.29000000001</v>
      </c>
      <c r="E21" s="52">
        <f t="shared" si="3"/>
        <v>163862.79</v>
      </c>
      <c r="F21" s="52">
        <f t="shared" si="3"/>
        <v>213177.86000000002</v>
      </c>
      <c r="G21" s="52">
        <f t="shared" si="3"/>
        <v>264136.76</v>
      </c>
      <c r="H21" s="52">
        <f t="shared" si="3"/>
        <v>313451.83</v>
      </c>
      <c r="I21" s="52">
        <f t="shared" si="3"/>
        <v>364410.73000000004</v>
      </c>
      <c r="J21" s="52">
        <f t="shared" si="3"/>
        <v>415369.63000000006</v>
      </c>
      <c r="K21" s="52">
        <f t="shared" si="3"/>
        <v>464684.70000000007</v>
      </c>
      <c r="L21" s="52">
        <f t="shared" si="3"/>
        <v>516351.37000000005</v>
      </c>
      <c r="M21" s="52">
        <f>+M16+L21</f>
        <v>566351.37000000011</v>
      </c>
      <c r="N21" s="52">
        <f>+N16+M21</f>
        <v>618018.04000000015</v>
      </c>
      <c r="O21" s="52">
        <f>+N21</f>
        <v>618018.04000000015</v>
      </c>
    </row>
    <row r="22" spans="1:15" x14ac:dyDescent="0.2">
      <c r="A22" s="94"/>
      <c r="B22" s="94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96"/>
    </row>
    <row r="23" spans="1:15" x14ac:dyDescent="0.2">
      <c r="A23" s="94"/>
      <c r="B23" s="68" t="s">
        <v>154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96"/>
    </row>
    <row r="24" spans="1:15" s="105" customFormat="1" ht="25.5" x14ac:dyDescent="0.2">
      <c r="B24" s="101" t="s">
        <v>156</v>
      </c>
      <c r="C24" s="107">
        <v>64903.24</v>
      </c>
      <c r="D24" s="107">
        <v>112904.29</v>
      </c>
      <c r="E24" s="107">
        <v>163862.79</v>
      </c>
      <c r="F24" s="107">
        <v>213177.86</v>
      </c>
      <c r="G24" s="107">
        <v>264136.76</v>
      </c>
      <c r="H24" s="107">
        <v>313451.83</v>
      </c>
      <c r="I24" s="107">
        <v>364410.73</v>
      </c>
      <c r="J24" s="107">
        <v>415369.63</v>
      </c>
      <c r="K24" s="107">
        <v>464684.7</v>
      </c>
      <c r="L24" s="107">
        <v>516351.37</v>
      </c>
      <c r="M24" s="107">
        <v>566351.37</v>
      </c>
      <c r="N24" s="107">
        <v>618018.04</v>
      </c>
      <c r="O24" s="107"/>
    </row>
    <row r="25" spans="1:15" s="94" customFormat="1" x14ac:dyDescent="0.2">
      <c r="B25" s="93"/>
      <c r="C25" s="54">
        <f>+C24</f>
        <v>64903.24</v>
      </c>
      <c r="D25" s="54">
        <f t="shared" ref="D25:N25" si="4">+D24</f>
        <v>112904.29</v>
      </c>
      <c r="E25" s="54">
        <f t="shared" si="4"/>
        <v>163862.79</v>
      </c>
      <c r="F25" s="54">
        <f t="shared" si="4"/>
        <v>213177.86</v>
      </c>
      <c r="G25" s="54">
        <f t="shared" si="4"/>
        <v>264136.76</v>
      </c>
      <c r="H25" s="54">
        <f t="shared" si="4"/>
        <v>313451.83</v>
      </c>
      <c r="I25" s="54">
        <f t="shared" si="4"/>
        <v>364410.73</v>
      </c>
      <c r="J25" s="54">
        <f t="shared" si="4"/>
        <v>415369.63</v>
      </c>
      <c r="K25" s="54">
        <f t="shared" si="4"/>
        <v>464684.7</v>
      </c>
      <c r="L25" s="54">
        <f t="shared" si="4"/>
        <v>516351.37</v>
      </c>
      <c r="M25" s="54">
        <f t="shared" si="4"/>
        <v>566351.37</v>
      </c>
      <c r="N25" s="54">
        <f t="shared" si="4"/>
        <v>618018.04</v>
      </c>
      <c r="O25" s="102"/>
    </row>
    <row r="26" spans="1:15" x14ac:dyDescent="0.2">
      <c r="B26" s="94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9"/>
    </row>
    <row r="27" spans="1:15" ht="13.5" thickBot="1" x14ac:dyDescent="0.25">
      <c r="B27" s="68" t="s">
        <v>36</v>
      </c>
      <c r="C27" s="109">
        <f t="shared" ref="C27:N27" si="5">+C21-C25</f>
        <v>0</v>
      </c>
      <c r="D27" s="109">
        <f t="shared" si="5"/>
        <v>0</v>
      </c>
      <c r="E27" s="109">
        <f t="shared" si="5"/>
        <v>0</v>
      </c>
      <c r="F27" s="109">
        <f t="shared" si="5"/>
        <v>0</v>
      </c>
      <c r="G27" s="109">
        <f t="shared" si="5"/>
        <v>0</v>
      </c>
      <c r="H27" s="109">
        <f t="shared" si="5"/>
        <v>0</v>
      </c>
      <c r="I27" s="109">
        <f t="shared" si="5"/>
        <v>0</v>
      </c>
      <c r="J27" s="109">
        <f t="shared" si="5"/>
        <v>0</v>
      </c>
      <c r="K27" s="109">
        <f t="shared" si="5"/>
        <v>0</v>
      </c>
      <c r="L27" s="109">
        <f t="shared" si="5"/>
        <v>0</v>
      </c>
      <c r="M27" s="109">
        <f t="shared" si="5"/>
        <v>0</v>
      </c>
      <c r="N27" s="109">
        <f t="shared" si="5"/>
        <v>0</v>
      </c>
      <c r="O27" s="19"/>
    </row>
    <row r="28" spans="1:15" ht="13.5" thickTop="1" x14ac:dyDescent="0.2"/>
    <row r="29" spans="1:15" x14ac:dyDescent="0.2">
      <c r="B29" s="100" t="s">
        <v>157</v>
      </c>
    </row>
    <row r="30" spans="1:15" s="103" customFormat="1" x14ac:dyDescent="0.2">
      <c r="B30" s="103" t="s">
        <v>210</v>
      </c>
      <c r="C30" s="103">
        <v>-64903.24</v>
      </c>
      <c r="D30" s="103">
        <v>-112904.29</v>
      </c>
      <c r="E30" s="103">
        <v>-163862.79</v>
      </c>
      <c r="F30" s="103">
        <v>-213177.86</v>
      </c>
      <c r="G30" s="103">
        <v>-264136.76</v>
      </c>
      <c r="H30" s="103">
        <v>-313451.83</v>
      </c>
      <c r="I30" s="103">
        <v>-364410.73</v>
      </c>
      <c r="J30" s="103">
        <v>-415369.63</v>
      </c>
      <c r="K30" s="103">
        <v>-464684.7</v>
      </c>
      <c r="L30" s="103">
        <v>-516351.37</v>
      </c>
      <c r="M30" s="103">
        <v>-566351.37</v>
      </c>
      <c r="N30" s="103">
        <v>-618018.04</v>
      </c>
    </row>
    <row r="31" spans="1:15" s="103" customFormat="1" x14ac:dyDescent="0.2">
      <c r="B31" s="104" t="s">
        <v>159</v>
      </c>
      <c r="C31" s="103">
        <f t="shared" ref="C31:N31" si="6">-C25</f>
        <v>-64903.24</v>
      </c>
      <c r="D31" s="103">
        <f t="shared" si="6"/>
        <v>-112904.29</v>
      </c>
      <c r="E31" s="103">
        <f t="shared" si="6"/>
        <v>-163862.79</v>
      </c>
      <c r="F31" s="103">
        <f t="shared" si="6"/>
        <v>-213177.86</v>
      </c>
      <c r="G31" s="103">
        <f t="shared" si="6"/>
        <v>-264136.76</v>
      </c>
      <c r="H31" s="103">
        <f t="shared" si="6"/>
        <v>-313451.83</v>
      </c>
      <c r="I31" s="103">
        <f t="shared" si="6"/>
        <v>-364410.73</v>
      </c>
      <c r="J31" s="103">
        <f t="shared" si="6"/>
        <v>-415369.63</v>
      </c>
      <c r="K31" s="103">
        <f t="shared" si="6"/>
        <v>-464684.7</v>
      </c>
      <c r="L31" s="103">
        <f t="shared" si="6"/>
        <v>-516351.37</v>
      </c>
      <c r="M31" s="103">
        <f t="shared" si="6"/>
        <v>-566351.37</v>
      </c>
      <c r="N31" s="103">
        <f t="shared" si="6"/>
        <v>-618018.04</v>
      </c>
    </row>
    <row r="32" spans="1:15" s="103" customFormat="1" ht="13.5" thickBot="1" x14ac:dyDescent="0.25">
      <c r="B32" s="68" t="s">
        <v>36</v>
      </c>
      <c r="C32" s="110">
        <f t="shared" ref="C32:N32" si="7">+C30-C31</f>
        <v>0</v>
      </c>
      <c r="D32" s="110">
        <f t="shared" si="7"/>
        <v>0</v>
      </c>
      <c r="E32" s="110">
        <f t="shared" si="7"/>
        <v>0</v>
      </c>
      <c r="F32" s="110">
        <f t="shared" si="7"/>
        <v>0</v>
      </c>
      <c r="G32" s="110">
        <f t="shared" si="7"/>
        <v>0</v>
      </c>
      <c r="H32" s="110">
        <f t="shared" si="7"/>
        <v>0</v>
      </c>
      <c r="I32" s="110">
        <f t="shared" si="7"/>
        <v>0</v>
      </c>
      <c r="J32" s="110">
        <f t="shared" si="7"/>
        <v>0</v>
      </c>
      <c r="K32" s="110">
        <f t="shared" si="7"/>
        <v>0</v>
      </c>
      <c r="L32" s="110">
        <f t="shared" si="7"/>
        <v>0</v>
      </c>
      <c r="M32" s="110">
        <f t="shared" si="7"/>
        <v>0</v>
      </c>
      <c r="N32" s="110">
        <f t="shared" si="7"/>
        <v>0</v>
      </c>
    </row>
    <row r="33" ht="13.5" thickTop="1" x14ac:dyDescent="0.2"/>
  </sheetData>
  <pageMargins left="0.7" right="0.7" top="0.75" bottom="0.75" header="0.5" footer="0.5"/>
  <pageSetup scale="50" orientation="landscape" r:id="rId1"/>
  <headerFooter>
    <oddFooter>&amp;R&amp;"Times New Roman,Bold"&amp;12Attachment to Response to KU KIUC-2 Question No. 2.15
Page &amp;P of &amp;N
Arbough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 fitToPage="1"/>
  </sheetPr>
  <dimension ref="A1:E75"/>
  <sheetViews>
    <sheetView topLeftCell="A24" workbookViewId="0">
      <selection activeCell="D25" sqref="D25"/>
    </sheetView>
  </sheetViews>
  <sheetFormatPr defaultColWidth="18.7109375" defaultRowHeight="12.75" x14ac:dyDescent="0.2"/>
  <cols>
    <col min="1" max="1" width="46.7109375" style="122" bestFit="1" customWidth="1"/>
    <col min="2" max="16384" width="18.7109375" style="122"/>
  </cols>
  <sheetData>
    <row r="1" spans="1:5" ht="27" x14ac:dyDescent="0.35">
      <c r="A1" s="123" t="s">
        <v>160</v>
      </c>
      <c r="C1" s="124"/>
      <c r="D1" s="124"/>
      <c r="E1" s="124"/>
    </row>
    <row r="2" spans="1:5" ht="14.25" x14ac:dyDescent="0.2">
      <c r="A2" s="125" t="s">
        <v>211</v>
      </c>
      <c r="C2" s="126"/>
      <c r="D2" s="126"/>
      <c r="E2" s="126"/>
    </row>
    <row r="3" spans="1:5" ht="27" customHeight="1" x14ac:dyDescent="0.2">
      <c r="A3" s="125" t="s">
        <v>212</v>
      </c>
      <c r="C3" s="126"/>
      <c r="D3" s="126"/>
      <c r="E3" s="126"/>
    </row>
    <row r="4" spans="1:5" ht="14.25" customHeight="1" x14ac:dyDescent="0.25">
      <c r="A4" s="127"/>
      <c r="B4" s="128" t="s">
        <v>163</v>
      </c>
      <c r="C4" s="128" t="s">
        <v>163</v>
      </c>
      <c r="D4" s="128" t="s">
        <v>164</v>
      </c>
      <c r="E4" s="129" t="s">
        <v>164</v>
      </c>
    </row>
    <row r="5" spans="1:5" ht="14.25" customHeight="1" x14ac:dyDescent="0.25">
      <c r="A5" s="130"/>
      <c r="B5" s="131" t="s">
        <v>165</v>
      </c>
      <c r="C5" s="131" t="s">
        <v>40</v>
      </c>
      <c r="D5" s="131" t="s">
        <v>166</v>
      </c>
      <c r="E5" s="132" t="s">
        <v>40</v>
      </c>
    </row>
    <row r="6" spans="1:5" ht="15" customHeight="1" x14ac:dyDescent="0.25">
      <c r="A6" s="133"/>
      <c r="B6" s="134" t="s">
        <v>42</v>
      </c>
      <c r="C6" s="134" t="s">
        <v>42</v>
      </c>
      <c r="D6" s="134" t="s">
        <v>167</v>
      </c>
      <c r="E6" s="135" t="s">
        <v>167</v>
      </c>
    </row>
    <row r="7" spans="1:5" ht="15" customHeight="1" x14ac:dyDescent="0.25">
      <c r="A7" s="136"/>
      <c r="B7" s="137"/>
      <c r="C7" s="137"/>
      <c r="D7" s="137"/>
      <c r="E7" s="138"/>
    </row>
    <row r="8" spans="1:5" ht="15" customHeight="1" x14ac:dyDescent="0.25">
      <c r="A8" s="139" t="s">
        <v>0</v>
      </c>
      <c r="B8" s="140"/>
      <c r="C8" s="140"/>
      <c r="D8" s="140"/>
      <c r="E8" s="141"/>
    </row>
    <row r="9" spans="1:5" ht="15" customHeight="1" x14ac:dyDescent="0.25">
      <c r="A9" s="139" t="s">
        <v>1</v>
      </c>
      <c r="B9" s="140">
        <v>0</v>
      </c>
      <c r="C9" s="140">
        <v>0</v>
      </c>
      <c r="D9" s="140">
        <v>0</v>
      </c>
      <c r="E9" s="141">
        <v>0</v>
      </c>
    </row>
    <row r="10" spans="1:5" ht="15" customHeight="1" x14ac:dyDescent="0.25">
      <c r="A10" s="139" t="s">
        <v>168</v>
      </c>
      <c r="B10" s="140">
        <v>0</v>
      </c>
      <c r="C10" s="140">
        <v>0</v>
      </c>
      <c r="D10" s="140">
        <v>0</v>
      </c>
      <c r="E10" s="141">
        <v>0</v>
      </c>
    </row>
    <row r="11" spans="1:5" ht="15" customHeight="1" x14ac:dyDescent="0.25">
      <c r="A11" s="139" t="s">
        <v>169</v>
      </c>
      <c r="B11" s="140">
        <v>0</v>
      </c>
      <c r="C11" s="140">
        <v>0</v>
      </c>
      <c r="D11" s="140">
        <v>0</v>
      </c>
      <c r="E11" s="141">
        <v>0</v>
      </c>
    </row>
    <row r="12" spans="1:5" ht="15" customHeight="1" x14ac:dyDescent="0.25">
      <c r="A12" s="139" t="s">
        <v>2</v>
      </c>
      <c r="B12" s="140">
        <v>0</v>
      </c>
      <c r="C12" s="140">
        <v>0</v>
      </c>
      <c r="D12" s="140">
        <v>0</v>
      </c>
      <c r="E12" s="141">
        <v>0</v>
      </c>
    </row>
    <row r="13" spans="1:5" ht="15" customHeight="1" x14ac:dyDescent="0.25">
      <c r="A13" s="139" t="s">
        <v>3</v>
      </c>
      <c r="B13" s="140">
        <v>0</v>
      </c>
      <c r="C13" s="140">
        <v>0</v>
      </c>
      <c r="D13" s="140">
        <v>0</v>
      </c>
      <c r="E13" s="141">
        <v>0</v>
      </c>
    </row>
    <row r="14" spans="1:5" ht="15" customHeight="1" x14ac:dyDescent="0.25">
      <c r="A14" s="139"/>
      <c r="B14" s="140"/>
      <c r="C14" s="140"/>
      <c r="D14" s="140"/>
      <c r="E14" s="141"/>
    </row>
    <row r="15" spans="1:5" ht="15" customHeight="1" x14ac:dyDescent="0.25">
      <c r="A15" s="139" t="s">
        <v>4</v>
      </c>
      <c r="B15" s="140">
        <v>0</v>
      </c>
      <c r="C15" s="140">
        <v>0</v>
      </c>
      <c r="D15" s="140">
        <v>0</v>
      </c>
      <c r="E15" s="141">
        <v>0</v>
      </c>
    </row>
    <row r="16" spans="1:5" ht="15" customHeight="1" x14ac:dyDescent="0.25">
      <c r="A16" s="139"/>
      <c r="B16" s="140"/>
      <c r="C16" s="140"/>
      <c r="D16" s="140"/>
      <c r="E16" s="141"/>
    </row>
    <row r="17" spans="1:5" ht="15" customHeight="1" x14ac:dyDescent="0.25">
      <c r="A17" s="139" t="s">
        <v>11</v>
      </c>
      <c r="B17" s="140"/>
      <c r="C17" s="140"/>
      <c r="D17" s="140"/>
      <c r="E17" s="141"/>
    </row>
    <row r="18" spans="1:5" ht="15" customHeight="1" x14ac:dyDescent="0.25">
      <c r="A18" s="139" t="s">
        <v>6</v>
      </c>
      <c r="B18" s="140">
        <v>0</v>
      </c>
      <c r="C18" s="140">
        <v>0</v>
      </c>
      <c r="D18" s="140">
        <v>0</v>
      </c>
      <c r="E18" s="141">
        <v>0</v>
      </c>
    </row>
    <row r="19" spans="1:5" ht="15" customHeight="1" x14ac:dyDescent="0.25">
      <c r="A19" s="139" t="s">
        <v>7</v>
      </c>
      <c r="B19" s="140">
        <v>0</v>
      </c>
      <c r="C19" s="140">
        <v>0</v>
      </c>
      <c r="D19" s="140">
        <v>0</v>
      </c>
      <c r="E19" s="141">
        <v>0</v>
      </c>
    </row>
    <row r="20" spans="1:5" ht="15" customHeight="1" x14ac:dyDescent="0.25">
      <c r="A20" s="139" t="s">
        <v>170</v>
      </c>
      <c r="B20" s="140">
        <v>0</v>
      </c>
      <c r="C20" s="140">
        <v>0</v>
      </c>
      <c r="D20" s="140">
        <v>0</v>
      </c>
      <c r="E20" s="141">
        <v>0</v>
      </c>
    </row>
    <row r="21" spans="1:5" ht="15" customHeight="1" x14ac:dyDescent="0.25">
      <c r="A21" s="139" t="s">
        <v>8</v>
      </c>
      <c r="B21" s="140">
        <v>0</v>
      </c>
      <c r="C21" s="140">
        <v>0</v>
      </c>
      <c r="D21" s="140">
        <v>0</v>
      </c>
      <c r="E21" s="141">
        <v>0</v>
      </c>
    </row>
    <row r="22" spans="1:5" ht="15" customHeight="1" x14ac:dyDescent="0.25">
      <c r="A22" s="139" t="s">
        <v>12</v>
      </c>
      <c r="B22" s="140">
        <v>-2440231.92</v>
      </c>
      <c r="C22" s="140">
        <v>-2440633.15</v>
      </c>
      <c r="D22" s="140">
        <v>0</v>
      </c>
      <c r="E22" s="141">
        <v>0</v>
      </c>
    </row>
    <row r="23" spans="1:5" ht="15" customHeight="1" x14ac:dyDescent="0.25">
      <c r="A23" s="139" t="s">
        <v>171</v>
      </c>
      <c r="B23" s="140">
        <v>-165</v>
      </c>
      <c r="C23" s="140">
        <v>-825</v>
      </c>
      <c r="D23" s="140">
        <v>0</v>
      </c>
      <c r="E23" s="141">
        <v>0</v>
      </c>
    </row>
    <row r="24" spans="1:5" ht="15" customHeight="1" x14ac:dyDescent="0.25">
      <c r="A24" s="139" t="s">
        <v>13</v>
      </c>
      <c r="B24" s="140">
        <v>0</v>
      </c>
      <c r="C24" s="140">
        <v>0</v>
      </c>
      <c r="D24" s="140">
        <v>0</v>
      </c>
      <c r="E24" s="141">
        <v>0</v>
      </c>
    </row>
    <row r="25" spans="1:5" ht="15" customHeight="1" x14ac:dyDescent="0.25">
      <c r="A25" s="139" t="s">
        <v>14</v>
      </c>
      <c r="B25" s="140">
        <v>0</v>
      </c>
      <c r="C25" s="140">
        <v>0</v>
      </c>
      <c r="D25" s="140">
        <v>0</v>
      </c>
      <c r="E25" s="141">
        <v>0</v>
      </c>
    </row>
    <row r="26" spans="1:5" ht="15" customHeight="1" x14ac:dyDescent="0.25">
      <c r="A26" s="139"/>
      <c r="B26" s="140"/>
      <c r="C26" s="140"/>
      <c r="D26" s="140"/>
      <c r="E26" s="141"/>
    </row>
    <row r="27" spans="1:5" ht="15" customHeight="1" x14ac:dyDescent="0.25">
      <c r="A27" s="139" t="s">
        <v>15</v>
      </c>
      <c r="B27" s="140">
        <v>-2440396.92</v>
      </c>
      <c r="C27" s="140">
        <v>-2441458.15</v>
      </c>
      <c r="D27" s="140">
        <v>0</v>
      </c>
      <c r="E27" s="141">
        <v>0</v>
      </c>
    </row>
    <row r="28" spans="1:5" ht="15" customHeight="1" x14ac:dyDescent="0.25">
      <c r="A28" s="139"/>
      <c r="B28" s="140"/>
      <c r="C28" s="140"/>
      <c r="D28" s="140"/>
      <c r="E28" s="141"/>
    </row>
    <row r="29" spans="1:5" ht="15" customHeight="1" x14ac:dyDescent="0.25">
      <c r="A29" s="139" t="s">
        <v>17</v>
      </c>
      <c r="B29" s="140">
        <v>-2440396.92</v>
      </c>
      <c r="C29" s="140">
        <v>-2441458.15</v>
      </c>
      <c r="D29" s="140">
        <v>0</v>
      </c>
      <c r="E29" s="141">
        <v>0</v>
      </c>
    </row>
    <row r="30" spans="1:5" ht="15" customHeight="1" x14ac:dyDescent="0.25">
      <c r="A30" s="139"/>
      <c r="B30" s="140"/>
      <c r="C30" s="140"/>
      <c r="D30" s="140"/>
      <c r="E30" s="141"/>
    </row>
    <row r="31" spans="1:5" ht="15" customHeight="1" x14ac:dyDescent="0.25">
      <c r="A31" s="139" t="s">
        <v>16</v>
      </c>
      <c r="B31" s="140">
        <v>0</v>
      </c>
      <c r="C31" s="140">
        <v>0</v>
      </c>
      <c r="D31" s="140">
        <v>0</v>
      </c>
      <c r="E31" s="141">
        <v>0</v>
      </c>
    </row>
    <row r="32" spans="1:5" ht="15" customHeight="1" x14ac:dyDescent="0.25">
      <c r="A32" s="139" t="s">
        <v>172</v>
      </c>
      <c r="B32" s="140">
        <v>0</v>
      </c>
      <c r="C32" s="140">
        <v>0</v>
      </c>
      <c r="D32" s="140">
        <v>0</v>
      </c>
      <c r="E32" s="141">
        <v>0</v>
      </c>
    </row>
    <row r="33" spans="1:5" ht="15" customHeight="1" x14ac:dyDescent="0.25">
      <c r="A33" s="139" t="s">
        <v>18</v>
      </c>
      <c r="B33" s="140">
        <v>33.43</v>
      </c>
      <c r="C33" s="140">
        <v>102.65</v>
      </c>
      <c r="D33" s="140">
        <v>0</v>
      </c>
      <c r="E33" s="141">
        <v>0</v>
      </c>
    </row>
    <row r="34" spans="1:5" ht="15" customHeight="1" x14ac:dyDescent="0.25">
      <c r="A34" s="139" t="s">
        <v>19</v>
      </c>
      <c r="B34" s="140">
        <v>0</v>
      </c>
      <c r="C34" s="140">
        <v>0</v>
      </c>
      <c r="D34" s="140">
        <v>0</v>
      </c>
      <c r="E34" s="141">
        <v>0</v>
      </c>
    </row>
    <row r="35" spans="1:5" ht="15" customHeight="1" x14ac:dyDescent="0.25">
      <c r="A35" s="139" t="s">
        <v>53</v>
      </c>
      <c r="B35" s="140">
        <v>0</v>
      </c>
      <c r="C35" s="140">
        <v>0</v>
      </c>
      <c r="D35" s="140">
        <v>0</v>
      </c>
      <c r="E35" s="141">
        <v>0</v>
      </c>
    </row>
    <row r="36" spans="1:5" ht="15" customHeight="1" x14ac:dyDescent="0.25">
      <c r="A36" s="139" t="s">
        <v>173</v>
      </c>
      <c r="B36" s="140">
        <v>540943.29</v>
      </c>
      <c r="C36" s="140">
        <v>5080590.57</v>
      </c>
      <c r="D36" s="140">
        <v>0</v>
      </c>
      <c r="E36" s="141">
        <v>0</v>
      </c>
    </row>
    <row r="37" spans="1:5" ht="15" customHeight="1" x14ac:dyDescent="0.25">
      <c r="A37" s="139" t="s">
        <v>174</v>
      </c>
      <c r="B37" s="140">
        <v>-140808.51</v>
      </c>
      <c r="C37" s="140">
        <v>-404841.8</v>
      </c>
      <c r="D37" s="140">
        <v>0</v>
      </c>
      <c r="E37" s="141">
        <v>0</v>
      </c>
    </row>
    <row r="38" spans="1:5" ht="15" customHeight="1" x14ac:dyDescent="0.25">
      <c r="A38" s="139" t="s">
        <v>175</v>
      </c>
      <c r="B38" s="140">
        <v>0</v>
      </c>
      <c r="C38" s="140">
        <v>32759.200000000001</v>
      </c>
      <c r="D38" s="140">
        <v>0</v>
      </c>
      <c r="E38" s="141">
        <v>0</v>
      </c>
    </row>
    <row r="39" spans="1:5" ht="15" customHeight="1" x14ac:dyDescent="0.25">
      <c r="A39" s="139" t="s">
        <v>176</v>
      </c>
      <c r="B39" s="140">
        <v>-38750</v>
      </c>
      <c r="C39" s="140">
        <v>-120862.92</v>
      </c>
      <c r="D39" s="140">
        <v>0</v>
      </c>
      <c r="E39" s="141">
        <v>0</v>
      </c>
    </row>
    <row r="40" spans="1:5" ht="15" customHeight="1" x14ac:dyDescent="0.25">
      <c r="A40" s="139" t="s">
        <v>21</v>
      </c>
      <c r="B40" s="140">
        <v>-3269532.94</v>
      </c>
      <c r="C40" s="140">
        <v>-9808182.8599999994</v>
      </c>
      <c r="D40" s="140">
        <v>0</v>
      </c>
      <c r="E40" s="141">
        <v>0</v>
      </c>
    </row>
    <row r="41" spans="1:5" ht="15" customHeight="1" x14ac:dyDescent="0.25">
      <c r="A41" s="139" t="s">
        <v>22</v>
      </c>
      <c r="B41" s="140">
        <v>0</v>
      </c>
      <c r="C41" s="140">
        <v>0</v>
      </c>
      <c r="D41" s="140">
        <v>0</v>
      </c>
      <c r="E41" s="141">
        <v>0</v>
      </c>
    </row>
    <row r="42" spans="1:5" ht="15" customHeight="1" x14ac:dyDescent="0.25">
      <c r="A42" s="139"/>
      <c r="B42" s="140"/>
      <c r="C42" s="140"/>
      <c r="D42" s="140"/>
      <c r="E42" s="141"/>
    </row>
    <row r="43" spans="1:5" ht="15" customHeight="1" x14ac:dyDescent="0.25">
      <c r="A43" s="139" t="s">
        <v>23</v>
      </c>
      <c r="B43" s="140">
        <v>-5348511.6500000004</v>
      </c>
      <c r="C43" s="140">
        <v>-7661893.3099999996</v>
      </c>
      <c r="D43" s="140">
        <v>0</v>
      </c>
      <c r="E43" s="141">
        <v>0</v>
      </c>
    </row>
    <row r="44" spans="1:5" ht="15" customHeight="1" x14ac:dyDescent="0.25">
      <c r="A44" s="139"/>
      <c r="B44" s="140"/>
      <c r="C44" s="140"/>
      <c r="D44" s="140"/>
      <c r="E44" s="141"/>
    </row>
    <row r="45" spans="1:5" ht="15" customHeight="1" x14ac:dyDescent="0.25">
      <c r="A45" s="139" t="s">
        <v>24</v>
      </c>
      <c r="B45" s="140">
        <v>0</v>
      </c>
      <c r="C45" s="140">
        <v>1753905.47</v>
      </c>
      <c r="D45" s="140">
        <v>0</v>
      </c>
      <c r="E45" s="141">
        <v>0</v>
      </c>
    </row>
    <row r="46" spans="1:5" ht="15" customHeight="1" x14ac:dyDescent="0.25">
      <c r="A46" s="139" t="s">
        <v>25</v>
      </c>
      <c r="B46" s="140">
        <v>6201354.46</v>
      </c>
      <c r="C46" s="140">
        <v>5957688.2599999998</v>
      </c>
      <c r="D46" s="140">
        <v>0</v>
      </c>
      <c r="E46" s="141">
        <v>0</v>
      </c>
    </row>
    <row r="47" spans="1:5" ht="15" customHeight="1" x14ac:dyDescent="0.25">
      <c r="A47" s="139"/>
      <c r="B47" s="140"/>
      <c r="C47" s="140"/>
      <c r="D47" s="140"/>
      <c r="E47" s="141"/>
    </row>
    <row r="48" spans="1:5" ht="15" customHeight="1" x14ac:dyDescent="0.25">
      <c r="A48" s="139" t="s">
        <v>26</v>
      </c>
      <c r="B48" s="140">
        <v>6201354.46</v>
      </c>
      <c r="C48" s="140">
        <v>7711593.7300000004</v>
      </c>
      <c r="D48" s="140">
        <v>0</v>
      </c>
      <c r="E48" s="141">
        <v>0</v>
      </c>
    </row>
    <row r="49" spans="1:5" ht="15" customHeight="1" x14ac:dyDescent="0.25">
      <c r="A49" s="139"/>
      <c r="B49" s="140"/>
      <c r="C49" s="140"/>
      <c r="D49" s="140"/>
      <c r="E49" s="141"/>
    </row>
    <row r="50" spans="1:5" ht="15" customHeight="1" x14ac:dyDescent="0.25">
      <c r="A50" s="139" t="s">
        <v>27</v>
      </c>
      <c r="B50" s="140">
        <v>852842.81</v>
      </c>
      <c r="C50" s="140">
        <v>49700.42</v>
      </c>
      <c r="D50" s="140">
        <v>0</v>
      </c>
      <c r="E50" s="141">
        <v>0</v>
      </c>
    </row>
    <row r="51" spans="1:5" ht="15" customHeight="1" x14ac:dyDescent="0.25">
      <c r="A51" s="139"/>
      <c r="B51" s="140"/>
      <c r="C51" s="140"/>
      <c r="D51" s="140"/>
      <c r="E51" s="141"/>
    </row>
    <row r="52" spans="1:5" ht="15" customHeight="1" x14ac:dyDescent="0.25">
      <c r="A52" s="139" t="s">
        <v>177</v>
      </c>
      <c r="B52" s="140">
        <v>0</v>
      </c>
      <c r="C52" s="140">
        <v>0</v>
      </c>
      <c r="D52" s="140">
        <v>0</v>
      </c>
      <c r="E52" s="141">
        <v>0</v>
      </c>
    </row>
    <row r="53" spans="1:5" ht="15" customHeight="1" x14ac:dyDescent="0.25">
      <c r="A53" s="139" t="s">
        <v>178</v>
      </c>
      <c r="B53" s="140">
        <v>0</v>
      </c>
      <c r="C53" s="140">
        <v>0</v>
      </c>
      <c r="D53" s="140">
        <v>0</v>
      </c>
      <c r="E53" s="141">
        <v>0</v>
      </c>
    </row>
    <row r="54" spans="1:5" ht="15" customHeight="1" x14ac:dyDescent="0.25">
      <c r="A54" s="139"/>
      <c r="B54" s="140"/>
      <c r="C54" s="140"/>
      <c r="D54" s="140"/>
      <c r="E54" s="141"/>
    </row>
    <row r="55" spans="1:5" ht="15" customHeight="1" x14ac:dyDescent="0.25">
      <c r="A55" s="139" t="s">
        <v>179</v>
      </c>
      <c r="B55" s="140">
        <v>0</v>
      </c>
      <c r="C55" s="140">
        <v>0</v>
      </c>
      <c r="D55" s="140">
        <v>0</v>
      </c>
      <c r="E55" s="141">
        <v>0</v>
      </c>
    </row>
    <row r="56" spans="1:5" ht="15" customHeight="1" x14ac:dyDescent="0.25">
      <c r="A56" s="139"/>
      <c r="B56" s="140"/>
      <c r="C56" s="140"/>
      <c r="D56" s="140"/>
      <c r="E56" s="141"/>
    </row>
    <row r="57" spans="1:5" ht="15" customHeight="1" x14ac:dyDescent="0.25">
      <c r="A57" s="139" t="s">
        <v>180</v>
      </c>
      <c r="B57" s="140">
        <v>0</v>
      </c>
      <c r="C57" s="140">
        <v>0</v>
      </c>
      <c r="D57" s="140">
        <v>0</v>
      </c>
      <c r="E57" s="141">
        <v>0</v>
      </c>
    </row>
    <row r="58" spans="1:5" ht="15" customHeight="1" x14ac:dyDescent="0.25">
      <c r="A58" s="139" t="s">
        <v>181</v>
      </c>
      <c r="B58" s="140">
        <v>0</v>
      </c>
      <c r="C58" s="140">
        <v>0</v>
      </c>
      <c r="D58" s="140">
        <v>0</v>
      </c>
      <c r="E58" s="141">
        <v>0</v>
      </c>
    </row>
    <row r="59" spans="1:5" ht="15" customHeight="1" x14ac:dyDescent="0.25">
      <c r="A59" s="139"/>
      <c r="B59" s="140"/>
      <c r="C59" s="140"/>
      <c r="D59" s="140"/>
      <c r="E59" s="141"/>
    </row>
    <row r="60" spans="1:5" ht="15" customHeight="1" x14ac:dyDescent="0.25">
      <c r="A60" s="139" t="s">
        <v>182</v>
      </c>
      <c r="B60" s="140">
        <v>0</v>
      </c>
      <c r="C60" s="140">
        <v>0</v>
      </c>
      <c r="D60" s="140">
        <v>0</v>
      </c>
      <c r="E60" s="141">
        <v>0</v>
      </c>
    </row>
    <row r="61" spans="1:5" ht="15" customHeight="1" x14ac:dyDescent="0.25">
      <c r="A61" s="139"/>
      <c r="B61" s="140"/>
      <c r="C61" s="140"/>
      <c r="D61" s="140"/>
      <c r="E61" s="141"/>
    </row>
    <row r="62" spans="1:5" ht="15" customHeight="1" x14ac:dyDescent="0.25">
      <c r="A62" s="139" t="s">
        <v>30</v>
      </c>
      <c r="B62" s="140">
        <v>0</v>
      </c>
      <c r="C62" s="140">
        <v>0</v>
      </c>
      <c r="D62" s="140">
        <v>0</v>
      </c>
      <c r="E62" s="141">
        <v>0</v>
      </c>
    </row>
    <row r="63" spans="1:5" ht="15" customHeight="1" x14ac:dyDescent="0.25">
      <c r="A63" s="139" t="s">
        <v>31</v>
      </c>
      <c r="B63" s="140">
        <v>0</v>
      </c>
      <c r="C63" s="140">
        <v>0</v>
      </c>
      <c r="D63" s="140">
        <v>0</v>
      </c>
      <c r="E63" s="141">
        <v>0</v>
      </c>
    </row>
    <row r="64" spans="1:5" ht="15" customHeight="1" x14ac:dyDescent="0.25">
      <c r="A64" s="139"/>
      <c r="B64" s="140"/>
      <c r="C64" s="140"/>
      <c r="D64" s="140"/>
      <c r="E64" s="141"/>
    </row>
    <row r="65" spans="1:5" ht="15" customHeight="1" x14ac:dyDescent="0.25">
      <c r="A65" s="139" t="s">
        <v>32</v>
      </c>
      <c r="B65" s="140">
        <v>852842.81</v>
      </c>
      <c r="C65" s="140">
        <v>49700.42</v>
      </c>
      <c r="D65" s="140">
        <v>0</v>
      </c>
      <c r="E65" s="141">
        <v>0</v>
      </c>
    </row>
    <row r="66" spans="1:5" ht="15" customHeight="1" x14ac:dyDescent="0.25">
      <c r="A66" s="139"/>
      <c r="B66" s="140"/>
      <c r="C66" s="140"/>
      <c r="D66" s="140"/>
      <c r="E66" s="141"/>
    </row>
    <row r="67" spans="1:5" ht="15" customHeight="1" x14ac:dyDescent="0.25">
      <c r="A67" s="139" t="s">
        <v>33</v>
      </c>
      <c r="B67" s="140">
        <v>0</v>
      </c>
      <c r="C67" s="140">
        <v>0</v>
      </c>
      <c r="D67" s="140">
        <v>0</v>
      </c>
      <c r="E67" s="141">
        <v>0</v>
      </c>
    </row>
    <row r="68" spans="1:5" ht="15" customHeight="1" x14ac:dyDescent="0.25">
      <c r="A68" s="139"/>
      <c r="B68" s="140"/>
      <c r="C68" s="140"/>
      <c r="D68" s="140"/>
      <c r="E68" s="141"/>
    </row>
    <row r="69" spans="1:5" ht="15" customHeight="1" x14ac:dyDescent="0.25">
      <c r="A69" s="139" t="s">
        <v>34</v>
      </c>
      <c r="B69" s="140">
        <v>852842.81</v>
      </c>
      <c r="C69" s="140">
        <v>49700.42</v>
      </c>
      <c r="D69" s="140">
        <v>0</v>
      </c>
      <c r="E69" s="141">
        <v>0</v>
      </c>
    </row>
    <row r="70" spans="1:5" ht="15" customHeight="1" x14ac:dyDescent="0.25">
      <c r="A70" s="139"/>
      <c r="B70" s="140"/>
      <c r="C70" s="140"/>
      <c r="D70" s="140"/>
      <c r="E70" s="141"/>
    </row>
    <row r="71" spans="1:5" ht="15" customHeight="1" x14ac:dyDescent="0.25">
      <c r="A71" s="139" t="s">
        <v>35</v>
      </c>
      <c r="B71" s="140">
        <v>-852842.81</v>
      </c>
      <c r="C71" s="140">
        <v>-49700.42</v>
      </c>
      <c r="D71" s="140">
        <v>0</v>
      </c>
      <c r="E71" s="141">
        <v>0</v>
      </c>
    </row>
    <row r="72" spans="1:5" ht="15" customHeight="1" x14ac:dyDescent="0.25">
      <c r="A72" s="139"/>
      <c r="B72" s="140"/>
      <c r="C72" s="140"/>
      <c r="D72" s="140"/>
      <c r="E72" s="141"/>
    </row>
    <row r="73" spans="1:5" ht="15" customHeight="1" x14ac:dyDescent="0.25">
      <c r="A73" s="142" t="s">
        <v>36</v>
      </c>
      <c r="B73" s="143">
        <v>0</v>
      </c>
      <c r="C73" s="143">
        <v>0</v>
      </c>
      <c r="D73" s="143">
        <v>0</v>
      </c>
      <c r="E73" s="144">
        <v>0</v>
      </c>
    </row>
    <row r="74" spans="1:5" ht="15" customHeight="1" x14ac:dyDescent="0.2"/>
    <row r="75" spans="1:5" ht="15" customHeight="1" x14ac:dyDescent="0.2"/>
  </sheetData>
  <pageMargins left="0.7" right="0.7" top="0.75" bottom="0.75" header="0.5" footer="0.5"/>
  <pageSetup scale="64" orientation="portrait" r:id="rId1"/>
  <headerFooter>
    <oddHeader>&amp;R&amp;"Times New Roman,Bold"&amp;12Attachment to Response to KU KIUC-2 Question No. 2.15
Page &amp;P of &amp;N
Arbough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88"/>
  <sheetViews>
    <sheetView workbookViewId="0">
      <selection activeCell="D25" sqref="D25"/>
    </sheetView>
  </sheetViews>
  <sheetFormatPr defaultColWidth="9.140625" defaultRowHeight="12.75" x14ac:dyDescent="0.2"/>
  <cols>
    <col min="1" max="1" width="34" style="68" customWidth="1"/>
    <col min="2" max="2" width="5.7109375" style="68" customWidth="1"/>
    <col min="3" max="3" width="15.85546875" style="68" bestFit="1" customWidth="1"/>
    <col min="4" max="5" width="17.28515625" style="68" bestFit="1" customWidth="1"/>
    <col min="6" max="6" width="4.85546875" style="68" customWidth="1"/>
    <col min="7" max="7" width="16.28515625" style="68" customWidth="1"/>
    <col min="8" max="8" width="9.140625" style="68"/>
    <col min="9" max="11" width="10.85546875" style="68" bestFit="1" customWidth="1"/>
    <col min="12" max="16384" width="9.140625" style="68"/>
  </cols>
  <sheetData>
    <row r="1" spans="1:7" ht="13.5" thickBot="1" x14ac:dyDescent="0.25">
      <c r="A1" s="66" t="s">
        <v>56</v>
      </c>
      <c r="B1" s="66"/>
      <c r="C1" s="14"/>
      <c r="D1" s="14"/>
      <c r="E1" s="14"/>
      <c r="F1" s="14"/>
      <c r="G1" s="67" t="s">
        <v>90</v>
      </c>
    </row>
    <row r="2" spans="1:7" x14ac:dyDescent="0.2">
      <c r="A2" s="2" t="s">
        <v>183</v>
      </c>
      <c r="B2" s="14"/>
      <c r="C2" s="14"/>
      <c r="D2" s="14"/>
      <c r="E2" s="14"/>
      <c r="F2" s="14"/>
      <c r="G2" s="18"/>
    </row>
    <row r="3" spans="1:7" x14ac:dyDescent="0.2">
      <c r="A3" s="2" t="s">
        <v>213</v>
      </c>
      <c r="B3" s="34"/>
      <c r="C3" s="14"/>
      <c r="D3" s="14"/>
      <c r="E3" s="14"/>
      <c r="F3" s="14"/>
      <c r="G3" s="18"/>
    </row>
    <row r="4" spans="1:7" ht="13.5" thickBot="1" x14ac:dyDescent="0.25">
      <c r="A4" s="14"/>
      <c r="B4" s="14"/>
      <c r="C4" s="69"/>
      <c r="D4" s="69"/>
      <c r="E4" s="69"/>
      <c r="F4" s="69"/>
      <c r="G4" s="70" t="s">
        <v>52</v>
      </c>
    </row>
    <row r="5" spans="1:7" x14ac:dyDescent="0.2">
      <c r="A5" s="71" t="s">
        <v>60</v>
      </c>
      <c r="C5" s="1">
        <v>221016</v>
      </c>
      <c r="D5" s="1">
        <v>221017</v>
      </c>
      <c r="E5" s="1">
        <v>221018</v>
      </c>
      <c r="F5" s="1"/>
      <c r="G5" s="27"/>
    </row>
    <row r="6" spans="1:7" x14ac:dyDescent="0.2">
      <c r="A6" s="71" t="s">
        <v>61</v>
      </c>
      <c r="B6" s="1"/>
      <c r="C6" s="1">
        <v>181016</v>
      </c>
      <c r="D6" s="1">
        <v>181017</v>
      </c>
      <c r="E6" s="1">
        <v>181018</v>
      </c>
      <c r="F6" s="1"/>
      <c r="G6" s="27"/>
    </row>
    <row r="7" spans="1:7" x14ac:dyDescent="0.2">
      <c r="A7" s="71" t="s">
        <v>62</v>
      </c>
      <c r="B7" s="1"/>
      <c r="C7" s="1">
        <v>428016</v>
      </c>
      <c r="D7" s="1">
        <v>428017</v>
      </c>
      <c r="E7" s="1">
        <v>428018</v>
      </c>
      <c r="F7" s="1"/>
      <c r="G7" s="27"/>
    </row>
    <row r="8" spans="1:7" x14ac:dyDescent="0.2">
      <c r="A8" s="14"/>
      <c r="B8" s="14"/>
      <c r="C8" s="14"/>
      <c r="D8" s="2"/>
      <c r="E8" s="2"/>
      <c r="F8" s="14"/>
      <c r="G8" s="18"/>
    </row>
    <row r="9" spans="1:7" x14ac:dyDescent="0.2">
      <c r="A9" s="14"/>
      <c r="B9" s="14"/>
      <c r="C9" s="14"/>
      <c r="D9" s="2"/>
      <c r="E9" s="2"/>
      <c r="F9" s="14"/>
      <c r="G9" s="61"/>
    </row>
    <row r="10" spans="1:7" x14ac:dyDescent="0.2">
      <c r="A10" s="72" t="s">
        <v>63</v>
      </c>
      <c r="B10" s="73"/>
      <c r="C10" s="3">
        <v>400000000</v>
      </c>
      <c r="D10" s="3">
        <v>475000000</v>
      </c>
      <c r="E10" s="3">
        <v>250000000</v>
      </c>
      <c r="F10" s="3"/>
      <c r="G10" s="55">
        <f>SUM(C10:E10)+F10</f>
        <v>1125000000</v>
      </c>
    </row>
    <row r="11" spans="1:7" x14ac:dyDescent="0.2">
      <c r="A11" s="74" t="s">
        <v>64</v>
      </c>
      <c r="B11" s="34"/>
      <c r="C11" s="4">
        <f>2400000+16740</f>
        <v>2416740</v>
      </c>
      <c r="D11" s="4">
        <f>3087500+16740</f>
        <v>3104240</v>
      </c>
      <c r="E11" s="4">
        <v>0</v>
      </c>
      <c r="F11" s="5"/>
      <c r="G11" s="162">
        <f>SUM(C11:E11)+F11</f>
        <v>5520980</v>
      </c>
    </row>
    <row r="12" spans="1:7" x14ac:dyDescent="0.2">
      <c r="A12" s="74" t="s">
        <v>65</v>
      </c>
      <c r="B12" s="34"/>
      <c r="C12" s="4">
        <v>157798.68</v>
      </c>
      <c r="D12" s="4">
        <v>157798.67000000001</v>
      </c>
      <c r="E12" s="4">
        <v>0</v>
      </c>
      <c r="F12" s="5"/>
      <c r="G12" s="162">
        <f>SUM(C12:E12)+F12</f>
        <v>315597.34999999998</v>
      </c>
    </row>
    <row r="13" spans="1:7" x14ac:dyDescent="0.2">
      <c r="A13" s="74" t="s">
        <v>214</v>
      </c>
      <c r="B13" s="34"/>
      <c r="C13" s="4">
        <v>459826.72</v>
      </c>
      <c r="D13" s="4">
        <v>476910.92</v>
      </c>
      <c r="E13" s="4">
        <v>2203732.84</v>
      </c>
      <c r="F13" s="5"/>
      <c r="G13" s="162">
        <f>SUM(C13:E13)+F13</f>
        <v>3140470.4799999995</v>
      </c>
    </row>
    <row r="14" spans="1:7" x14ac:dyDescent="0.2">
      <c r="A14" s="74" t="s">
        <v>66</v>
      </c>
      <c r="B14" s="34"/>
      <c r="C14" s="6">
        <v>2.1250000000000002E-2</v>
      </c>
      <c r="D14" s="6">
        <v>3.7499999999999999E-2</v>
      </c>
      <c r="E14" s="6">
        <v>4.3749999999999997E-2</v>
      </c>
      <c r="F14" s="7"/>
      <c r="G14" s="162"/>
    </row>
    <row r="15" spans="1:7" x14ac:dyDescent="0.2">
      <c r="A15" s="74" t="s">
        <v>67</v>
      </c>
      <c r="B15" s="34"/>
      <c r="C15" s="8" t="s">
        <v>68</v>
      </c>
      <c r="D15" s="8" t="s">
        <v>68</v>
      </c>
      <c r="E15" s="8" t="s">
        <v>185</v>
      </c>
      <c r="F15" s="8"/>
      <c r="G15" s="162"/>
    </row>
    <row r="16" spans="1:7" x14ac:dyDescent="0.2">
      <c r="A16" s="74" t="s">
        <v>69</v>
      </c>
      <c r="B16" s="34"/>
      <c r="C16" s="9">
        <v>40494</v>
      </c>
      <c r="D16" s="9">
        <v>40494</v>
      </c>
      <c r="E16" s="9">
        <v>40815</v>
      </c>
      <c r="F16" s="9"/>
      <c r="G16" s="162"/>
    </row>
    <row r="17" spans="1:11" x14ac:dyDescent="0.2">
      <c r="A17" s="75" t="s">
        <v>70</v>
      </c>
      <c r="B17" s="34"/>
      <c r="C17" s="9">
        <v>42323</v>
      </c>
      <c r="D17" s="9">
        <v>44150</v>
      </c>
      <c r="E17" s="9">
        <v>44470</v>
      </c>
      <c r="F17" s="9"/>
      <c r="G17" s="162"/>
    </row>
    <row r="18" spans="1:11" x14ac:dyDescent="0.2">
      <c r="A18" s="76" t="s">
        <v>71</v>
      </c>
      <c r="B18" s="77"/>
      <c r="C18" s="10">
        <v>60</v>
      </c>
      <c r="D18" s="10">
        <v>120</v>
      </c>
      <c r="E18" s="10">
        <v>120</v>
      </c>
      <c r="F18" s="11"/>
      <c r="G18" s="163"/>
    </row>
    <row r="19" spans="1:11" x14ac:dyDescent="0.2">
      <c r="A19" s="14"/>
      <c r="B19" s="14"/>
      <c r="C19" s="14"/>
      <c r="D19" s="14"/>
      <c r="E19" s="14"/>
      <c r="F19" s="14"/>
      <c r="G19" s="18"/>
    </row>
    <row r="20" spans="1:11" x14ac:dyDescent="0.2">
      <c r="A20" s="78" t="s">
        <v>72</v>
      </c>
      <c r="B20" s="73"/>
      <c r="C20" s="73"/>
      <c r="D20" s="73"/>
      <c r="E20" s="73"/>
      <c r="F20" s="73"/>
      <c r="G20" s="55"/>
    </row>
    <row r="21" spans="1:11" x14ac:dyDescent="0.2">
      <c r="A21" s="76" t="s">
        <v>186</v>
      </c>
      <c r="B21" s="77"/>
      <c r="C21" s="12">
        <v>2384006.9200000013</v>
      </c>
      <c r="D21" s="12">
        <v>3336157.01</v>
      </c>
      <c r="E21" s="12">
        <v>2151416.02</v>
      </c>
      <c r="F21" s="12"/>
      <c r="G21" s="164">
        <v>7871579.9500000011</v>
      </c>
    </row>
    <row r="22" spans="1:11" x14ac:dyDescent="0.2">
      <c r="A22" s="34"/>
      <c r="B22" s="34"/>
      <c r="C22" s="44"/>
      <c r="D22" s="44"/>
      <c r="E22" s="44"/>
      <c r="F22" s="44"/>
      <c r="G22" s="35"/>
    </row>
    <row r="23" spans="1:11" x14ac:dyDescent="0.2">
      <c r="A23" s="31" t="s">
        <v>215</v>
      </c>
      <c r="B23" s="34">
        <v>-14</v>
      </c>
      <c r="C23" s="56">
        <v>0</v>
      </c>
      <c r="D23" s="56">
        <v>0</v>
      </c>
      <c r="E23" s="56">
        <v>0</v>
      </c>
      <c r="F23" s="34">
        <v>-3</v>
      </c>
      <c r="G23" s="56">
        <f>SUM(C23:E23)</f>
        <v>0</v>
      </c>
    </row>
    <row r="24" spans="1:11" x14ac:dyDescent="0.2">
      <c r="A24" s="31" t="s">
        <v>216</v>
      </c>
      <c r="B24" s="34">
        <v>-15</v>
      </c>
      <c r="C24" s="56">
        <v>0</v>
      </c>
      <c r="D24" s="56">
        <v>0</v>
      </c>
      <c r="E24" s="56">
        <v>0</v>
      </c>
      <c r="F24" s="34">
        <v>-4</v>
      </c>
      <c r="G24" s="56">
        <f t="shared" ref="G24" si="0">SUM(C24:E24)</f>
        <v>0</v>
      </c>
    </row>
    <row r="25" spans="1:11" x14ac:dyDescent="0.2">
      <c r="A25" s="34"/>
      <c r="B25" s="34"/>
      <c r="C25" s="44"/>
      <c r="D25" s="44"/>
      <c r="E25" s="44"/>
      <c r="F25" s="44"/>
      <c r="G25" s="35"/>
    </row>
    <row r="26" spans="1:11" x14ac:dyDescent="0.2">
      <c r="A26" s="81" t="s">
        <v>74</v>
      </c>
      <c r="B26" s="14"/>
      <c r="C26" s="14"/>
      <c r="D26" s="14"/>
      <c r="E26" s="14"/>
      <c r="F26" s="14"/>
      <c r="G26" s="80"/>
    </row>
    <row r="27" spans="1:11" x14ac:dyDescent="0.2">
      <c r="A27" s="14" t="s">
        <v>75</v>
      </c>
      <c r="B27" s="15">
        <v>1</v>
      </c>
      <c r="C27" s="19">
        <f>ROUND(-51505.17-(C23/(C$18+B23)),2)</f>
        <v>-51505.17</v>
      </c>
      <c r="D27" s="19">
        <f>ROUND(-31383.69-(D23/(D$18+B23)),2)</f>
        <v>-31383.69</v>
      </c>
      <c r="E27" s="19">
        <f>ROUND(-18388.17-(E23/(E$18+F23)),2)</f>
        <v>-18388.169999999998</v>
      </c>
      <c r="F27" s="19"/>
      <c r="G27" s="13">
        <f t="shared" ref="G27:G29" si="1">SUM(C27:F27)</f>
        <v>-101277.03</v>
      </c>
      <c r="I27" s="52"/>
      <c r="J27" s="52"/>
      <c r="K27" s="52"/>
    </row>
    <row r="28" spans="1:11" x14ac:dyDescent="0.2">
      <c r="A28" s="14" t="s">
        <v>76</v>
      </c>
      <c r="B28" s="15">
        <v>2</v>
      </c>
      <c r="C28" s="19">
        <f>ROUND(C27-(C24/(C$18+B24)),2)</f>
        <v>-51505.17</v>
      </c>
      <c r="D28" s="19">
        <f>ROUND(D27-(D24/(D$18+B24)),2)</f>
        <v>-31383.69</v>
      </c>
      <c r="E28" s="19">
        <f>ROUND(E27-(E24/(E$18+F24)),2)</f>
        <v>-18388.169999999998</v>
      </c>
      <c r="F28" s="14"/>
      <c r="G28" s="13">
        <f t="shared" si="1"/>
        <v>-101277.03</v>
      </c>
    </row>
    <row r="29" spans="1:11" x14ac:dyDescent="0.2">
      <c r="A29" s="14" t="s">
        <v>77</v>
      </c>
      <c r="B29" s="15">
        <v>3</v>
      </c>
      <c r="C29" s="19" t="e">
        <f>ROUND(C28-(#REF!/(C$18+#REF!)),2)</f>
        <v>#REF!</v>
      </c>
      <c r="D29" s="19" t="e">
        <f>ROUND(D28-(#REF!/(D$18+#REF!)),2)</f>
        <v>#REF!</v>
      </c>
      <c r="E29" s="19" t="e">
        <f>ROUND(E28-(#REF!/(E$18+#REF!)),2)</f>
        <v>#REF!</v>
      </c>
      <c r="F29" s="14"/>
      <c r="G29" s="13" t="e">
        <f t="shared" si="1"/>
        <v>#REF!</v>
      </c>
    </row>
    <row r="30" spans="1:11" x14ac:dyDescent="0.2">
      <c r="A30" s="14"/>
      <c r="B30" s="82"/>
      <c r="C30" s="14"/>
      <c r="D30" s="14"/>
      <c r="E30" s="14"/>
      <c r="F30" s="14"/>
      <c r="G30" s="18"/>
    </row>
    <row r="31" spans="1:11" x14ac:dyDescent="0.2">
      <c r="A31" s="81" t="s">
        <v>88</v>
      </c>
      <c r="B31" s="82"/>
      <c r="C31" s="14"/>
      <c r="D31" s="14"/>
      <c r="E31" s="14"/>
      <c r="F31" s="14"/>
      <c r="G31" s="18"/>
    </row>
    <row r="32" spans="1:11" x14ac:dyDescent="0.2">
      <c r="A32" s="14" t="s">
        <v>75</v>
      </c>
      <c r="B32" s="15">
        <v>1</v>
      </c>
      <c r="C32" s="19">
        <f>C21+C23+C27</f>
        <v>2332501.7500000014</v>
      </c>
      <c r="D32" s="19">
        <f>D21+D23+D27</f>
        <v>3304773.32</v>
      </c>
      <c r="E32" s="19">
        <f>E21+E23+E27</f>
        <v>2133027.85</v>
      </c>
      <c r="F32" s="19"/>
      <c r="G32" s="13">
        <f>SUM(C32:F32)</f>
        <v>7770302.9200000018</v>
      </c>
    </row>
    <row r="33" spans="1:7" x14ac:dyDescent="0.2">
      <c r="A33" s="14" t="s">
        <v>76</v>
      </c>
      <c r="B33" s="15">
        <v>2</v>
      </c>
      <c r="C33" s="19">
        <f>C32+C24+C28</f>
        <v>2280996.5800000015</v>
      </c>
      <c r="D33" s="19">
        <f>D32+D24+D28</f>
        <v>3273389.63</v>
      </c>
      <c r="E33" s="19">
        <f>E32+E24+E28</f>
        <v>2114639.6800000002</v>
      </c>
      <c r="F33" s="19"/>
      <c r="G33" s="13">
        <f>SUM(C33:F33)</f>
        <v>7669025.8900000006</v>
      </c>
    </row>
    <row r="34" spans="1:7" x14ac:dyDescent="0.2">
      <c r="A34" s="14" t="s">
        <v>77</v>
      </c>
      <c r="B34" s="15">
        <v>3</v>
      </c>
      <c r="C34" s="19" t="e">
        <f>C33+#REF!+C29</f>
        <v>#REF!</v>
      </c>
      <c r="D34" s="19" t="e">
        <f>D33+#REF!+D29</f>
        <v>#REF!</v>
      </c>
      <c r="E34" s="19" t="e">
        <f>E33+#REF!+E29</f>
        <v>#REF!</v>
      </c>
      <c r="F34" s="19"/>
      <c r="G34" s="13" t="e">
        <f>SUM(C34:F34)</f>
        <v>#REF!</v>
      </c>
    </row>
    <row r="44" spans="1:7" x14ac:dyDescent="0.2">
      <c r="A44" s="14"/>
      <c r="B44" s="14"/>
      <c r="C44" s="14"/>
      <c r="D44" s="14"/>
      <c r="E44" s="14"/>
      <c r="F44" s="14"/>
      <c r="G44" s="24"/>
    </row>
    <row r="45" spans="1:7" x14ac:dyDescent="0.2">
      <c r="A45" s="14"/>
      <c r="B45" s="14"/>
      <c r="C45" s="14"/>
      <c r="D45" s="14"/>
      <c r="E45" s="14"/>
      <c r="F45" s="14"/>
      <c r="G45" s="18"/>
    </row>
    <row r="46" spans="1:7" x14ac:dyDescent="0.2">
      <c r="A46" s="14"/>
      <c r="B46" s="14"/>
      <c r="C46" s="25"/>
      <c r="D46" s="25"/>
      <c r="E46" s="25"/>
      <c r="F46" s="25"/>
      <c r="G46" s="18"/>
    </row>
    <row r="47" spans="1:7" x14ac:dyDescent="0.2">
      <c r="A47" s="14"/>
      <c r="B47" s="14"/>
      <c r="C47" s="25"/>
      <c r="D47" s="25"/>
      <c r="E47" s="25"/>
      <c r="F47" s="25"/>
      <c r="G47" s="18"/>
    </row>
    <row r="48" spans="1:7" x14ac:dyDescent="0.2">
      <c r="A48" s="71"/>
      <c r="B48" s="1"/>
      <c r="C48" s="26"/>
      <c r="D48" s="26"/>
      <c r="E48" s="26"/>
      <c r="F48" s="26"/>
      <c r="G48" s="27"/>
    </row>
    <row r="49" spans="1:11" x14ac:dyDescent="0.2">
      <c r="A49" s="160"/>
      <c r="B49" s="161"/>
      <c r="C49" s="28"/>
      <c r="D49" s="29"/>
      <c r="E49" s="29"/>
      <c r="F49" s="29"/>
      <c r="G49" s="30"/>
    </row>
    <row r="50" spans="1:11" x14ac:dyDescent="0.2">
      <c r="A50" s="31"/>
      <c r="B50" s="8"/>
      <c r="C50" s="32"/>
      <c r="D50" s="32"/>
      <c r="E50" s="32"/>
      <c r="F50" s="32"/>
      <c r="G50" s="4"/>
      <c r="H50" s="33"/>
      <c r="I50" s="33"/>
      <c r="J50" s="33"/>
      <c r="K50" s="33"/>
    </row>
    <row r="51" spans="1:11" x14ac:dyDescent="0.2">
      <c r="A51" s="34"/>
      <c r="B51" s="35"/>
      <c r="C51" s="35"/>
      <c r="D51" s="35"/>
      <c r="E51" s="35"/>
      <c r="F51" s="35"/>
      <c r="G51" s="35"/>
      <c r="H51" s="33"/>
      <c r="I51" s="33"/>
      <c r="J51" s="33"/>
      <c r="K51" s="33"/>
    </row>
    <row r="52" spans="1:11" x14ac:dyDescent="0.2">
      <c r="A52" s="8"/>
      <c r="B52" s="8"/>
      <c r="C52" s="8"/>
      <c r="D52" s="8"/>
      <c r="E52" s="8"/>
      <c r="F52" s="8"/>
      <c r="G52" s="4"/>
      <c r="H52" s="33"/>
      <c r="I52" s="33"/>
      <c r="J52" s="33"/>
      <c r="K52" s="33"/>
    </row>
    <row r="53" spans="1:11" x14ac:dyDescent="0.2">
      <c r="A53" s="36"/>
      <c r="B53" s="36"/>
      <c r="C53" s="37"/>
      <c r="D53" s="37"/>
      <c r="E53" s="37"/>
      <c r="F53" s="37"/>
      <c r="G53" s="37"/>
      <c r="H53" s="33"/>
      <c r="I53" s="33"/>
      <c r="J53" s="33"/>
      <c r="K53" s="33"/>
    </row>
    <row r="54" spans="1:11" x14ac:dyDescent="0.2">
      <c r="A54" s="34"/>
      <c r="B54" s="34"/>
      <c r="C54" s="34"/>
      <c r="D54" s="34"/>
      <c r="E54" s="34"/>
      <c r="F54" s="34"/>
      <c r="G54" s="38"/>
      <c r="H54" s="33"/>
      <c r="I54" s="33"/>
      <c r="J54" s="33"/>
      <c r="K54" s="33"/>
    </row>
    <row r="55" spans="1:11" x14ac:dyDescent="0.2">
      <c r="A55" s="34"/>
      <c r="B55" s="34"/>
      <c r="C55" s="34"/>
      <c r="D55" s="34"/>
      <c r="E55" s="34"/>
      <c r="F55" s="34"/>
      <c r="G55" s="24"/>
      <c r="H55" s="33"/>
      <c r="I55" s="33"/>
      <c r="J55" s="33"/>
      <c r="K55" s="33"/>
    </row>
    <row r="56" spans="1:11" x14ac:dyDescent="0.2">
      <c r="A56" s="34"/>
      <c r="B56" s="34"/>
      <c r="C56" s="34"/>
      <c r="D56" s="34"/>
      <c r="E56" s="34"/>
      <c r="F56" s="34"/>
      <c r="G56" s="38"/>
      <c r="H56" s="33"/>
      <c r="I56" s="33"/>
      <c r="J56" s="33"/>
      <c r="K56" s="33"/>
    </row>
    <row r="57" spans="1:11" x14ac:dyDescent="0.2">
      <c r="A57" s="36"/>
      <c r="B57" s="36"/>
      <c r="C57" s="36"/>
      <c r="D57" s="36"/>
      <c r="E57" s="36"/>
      <c r="F57" s="36"/>
      <c r="G57" s="36"/>
      <c r="H57" s="33"/>
      <c r="I57" s="33"/>
      <c r="J57" s="33"/>
      <c r="K57" s="33"/>
    </row>
    <row r="58" spans="1:11" x14ac:dyDescent="0.2">
      <c r="A58" s="34"/>
      <c r="B58" s="34"/>
      <c r="C58" s="34"/>
      <c r="D58" s="34"/>
      <c r="E58" s="34"/>
      <c r="F58" s="34"/>
      <c r="G58" s="38"/>
      <c r="H58" s="33"/>
      <c r="I58" s="33"/>
      <c r="J58" s="33"/>
      <c r="K58" s="33"/>
    </row>
    <row r="59" spans="1:11" x14ac:dyDescent="0.2">
      <c r="A59" s="34"/>
      <c r="B59" s="34"/>
      <c r="C59" s="34"/>
      <c r="D59" s="34"/>
      <c r="E59" s="34"/>
      <c r="F59" s="34"/>
      <c r="G59" s="38"/>
      <c r="H59" s="33"/>
      <c r="I59" s="33"/>
      <c r="J59" s="33"/>
      <c r="K59" s="33"/>
    </row>
    <row r="60" spans="1:11" x14ac:dyDescent="0.2">
      <c r="A60" s="34"/>
      <c r="B60" s="34"/>
      <c r="C60" s="34"/>
      <c r="D60" s="34"/>
      <c r="E60" s="34"/>
      <c r="F60" s="39"/>
      <c r="G60" s="38"/>
      <c r="H60" s="33"/>
      <c r="I60" s="33"/>
      <c r="J60" s="33"/>
      <c r="K60" s="33"/>
    </row>
    <row r="61" spans="1:11" x14ac:dyDescent="0.2">
      <c r="A61" s="34"/>
      <c r="B61" s="34"/>
      <c r="C61" s="34"/>
      <c r="D61" s="34"/>
      <c r="E61" s="34"/>
      <c r="F61" s="39"/>
      <c r="G61" s="38"/>
      <c r="H61" s="33"/>
      <c r="I61" s="33"/>
      <c r="J61" s="33"/>
      <c r="K61" s="33"/>
    </row>
    <row r="62" spans="1:11" x14ac:dyDescent="0.2">
      <c r="A62" s="34"/>
      <c r="B62" s="34"/>
      <c r="C62" s="34"/>
      <c r="D62" s="34"/>
      <c r="E62" s="34"/>
      <c r="F62" s="39"/>
      <c r="G62" s="38"/>
      <c r="H62" s="33"/>
      <c r="I62" s="33"/>
      <c r="J62" s="33"/>
      <c r="K62" s="33"/>
    </row>
    <row r="63" spans="1:11" x14ac:dyDescent="0.2">
      <c r="A63" s="34"/>
      <c r="B63" s="34"/>
      <c r="C63" s="34"/>
      <c r="D63" s="34"/>
      <c r="E63" s="34"/>
      <c r="F63" s="34"/>
      <c r="G63" s="40"/>
      <c r="H63" s="33"/>
      <c r="I63" s="33"/>
      <c r="J63" s="33"/>
      <c r="K63" s="33"/>
    </row>
    <row r="64" spans="1:11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70" spans="1:11" s="33" customFormat="1" x14ac:dyDescent="0.2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11" s="33" customFormat="1" x14ac:dyDescent="0.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1:11" s="33" customFormat="1" x14ac:dyDescent="0.2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1:11" s="33" customFormat="1" x14ac:dyDescent="0.2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1:11" s="33" customFormat="1" x14ac:dyDescent="0.2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1:11" s="33" customFormat="1" x14ac:dyDescent="0.2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1:11" s="33" customFormat="1" x14ac:dyDescent="0.2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1:11" s="33" customFormat="1" x14ac:dyDescent="0.2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1:11" s="33" customFormat="1" x14ac:dyDescent="0.2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1:11" s="33" customFormat="1" x14ac:dyDescent="0.2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1:11" s="33" customFormat="1" x14ac:dyDescent="0.2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1:11" s="33" customFormat="1" x14ac:dyDescent="0.2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1:11" s="33" customFormat="1" x14ac:dyDescent="0.2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1:11" s="33" customFormat="1" x14ac:dyDescent="0.2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1:11" s="33" customFormat="1" x14ac:dyDescent="0.2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1:11" s="33" customFormat="1" x14ac:dyDescent="0.2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1:11" s="33" customFormat="1" x14ac:dyDescent="0.2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1:11" s="33" customFormat="1" x14ac:dyDescent="0.2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1:11" s="33" customFormat="1" x14ac:dyDescent="0.2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</row>
  </sheetData>
  <pageMargins left="0.7" right="0.7" top="1" bottom="0.75" header="0.25" footer="0.5"/>
  <pageSetup scale="83" orientation="portrait" r:id="rId1"/>
  <headerFooter>
    <oddHeader>&amp;R&amp;"Times New Roman,Bold"&amp;12Attachment to Response to KU KIUC-2 Question No. 2.15
Page &amp;P of &amp;N
Arbough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G73"/>
  <sheetViews>
    <sheetView workbookViewId="0">
      <selection activeCell="D25" sqref="D25"/>
    </sheetView>
  </sheetViews>
  <sheetFormatPr defaultColWidth="9.140625" defaultRowHeight="12.75" x14ac:dyDescent="0.2"/>
  <cols>
    <col min="1" max="1" width="34" style="68" customWidth="1"/>
    <col min="2" max="2" width="5.42578125" style="68" customWidth="1"/>
    <col min="3" max="3" width="15.85546875" style="68" bestFit="1" customWidth="1"/>
    <col min="4" max="5" width="17.28515625" style="68" bestFit="1" customWidth="1"/>
    <col min="6" max="6" width="4.85546875" style="68" customWidth="1"/>
    <col min="7" max="7" width="16.42578125" style="68" bestFit="1" customWidth="1"/>
    <col min="8" max="16384" width="9.140625" style="68"/>
  </cols>
  <sheetData>
    <row r="1" spans="1:7" ht="13.5" thickBot="1" x14ac:dyDescent="0.25">
      <c r="A1" s="66" t="s">
        <v>89</v>
      </c>
      <c r="B1" s="66"/>
      <c r="C1" s="14"/>
      <c r="D1" s="14"/>
      <c r="E1" s="14"/>
      <c r="F1" s="14"/>
      <c r="G1" s="67" t="s">
        <v>90</v>
      </c>
    </row>
    <row r="2" spans="1:7" x14ac:dyDescent="0.2">
      <c r="A2" s="2" t="s">
        <v>199</v>
      </c>
      <c r="B2" s="14"/>
      <c r="C2" s="14"/>
      <c r="D2" s="14"/>
      <c r="E2" s="14"/>
      <c r="F2" s="14"/>
      <c r="G2" s="18"/>
    </row>
    <row r="3" spans="1:7" x14ac:dyDescent="0.2">
      <c r="A3" s="2" t="s">
        <v>213</v>
      </c>
      <c r="B3" s="34"/>
      <c r="C3" s="14"/>
      <c r="D3" s="14"/>
      <c r="E3" s="14"/>
      <c r="F3" s="14"/>
      <c r="G3" s="18"/>
    </row>
    <row r="4" spans="1:7" ht="13.5" thickBot="1" x14ac:dyDescent="0.25">
      <c r="A4" s="14"/>
      <c r="B4" s="14"/>
      <c r="C4" s="69"/>
      <c r="D4" s="69"/>
      <c r="E4" s="69"/>
      <c r="F4" s="69"/>
      <c r="G4" s="70" t="s">
        <v>52</v>
      </c>
    </row>
    <row r="5" spans="1:7" x14ac:dyDescent="0.2">
      <c r="A5" s="71" t="s">
        <v>60</v>
      </c>
      <c r="C5" s="1">
        <v>221016</v>
      </c>
      <c r="D5" s="1">
        <v>221017</v>
      </c>
      <c r="E5" s="1">
        <v>221018</v>
      </c>
      <c r="F5" s="1"/>
      <c r="G5" s="27"/>
    </row>
    <row r="6" spans="1:7" x14ac:dyDescent="0.2">
      <c r="A6" s="71" t="s">
        <v>92</v>
      </c>
      <c r="B6" s="1"/>
      <c r="C6" s="1">
        <v>226016</v>
      </c>
      <c r="D6" s="1">
        <v>226017</v>
      </c>
      <c r="E6" s="1">
        <v>226018</v>
      </c>
      <c r="F6" s="1"/>
      <c r="G6" s="27"/>
    </row>
    <row r="7" spans="1:7" x14ac:dyDescent="0.2">
      <c r="A7" s="71" t="s">
        <v>93</v>
      </c>
      <c r="B7" s="1"/>
      <c r="C7" s="1">
        <v>428216</v>
      </c>
      <c r="D7" s="1">
        <v>428217</v>
      </c>
      <c r="E7" s="1">
        <v>428218</v>
      </c>
      <c r="F7" s="1"/>
      <c r="G7" s="27"/>
    </row>
    <row r="8" spans="1:7" x14ac:dyDescent="0.2">
      <c r="A8" s="14"/>
      <c r="B8" s="14"/>
      <c r="C8" s="14"/>
      <c r="D8" s="2"/>
      <c r="E8" s="2"/>
      <c r="F8" s="14"/>
      <c r="G8" s="18"/>
    </row>
    <row r="9" spans="1:7" x14ac:dyDescent="0.2">
      <c r="A9" s="14"/>
      <c r="B9" s="14"/>
      <c r="C9" s="14"/>
      <c r="D9" s="2"/>
      <c r="E9" s="2"/>
      <c r="F9" s="14"/>
      <c r="G9" s="18"/>
    </row>
    <row r="10" spans="1:7" x14ac:dyDescent="0.2">
      <c r="A10" s="72" t="s">
        <v>63</v>
      </c>
      <c r="B10" s="73"/>
      <c r="C10" s="3">
        <v>400000000</v>
      </c>
      <c r="D10" s="3">
        <v>475000000</v>
      </c>
      <c r="E10" s="3">
        <v>250000000</v>
      </c>
      <c r="F10" s="3"/>
      <c r="G10" s="59">
        <f>SUM(C10:F10)</f>
        <v>1125000000</v>
      </c>
    </row>
    <row r="11" spans="1:7" x14ac:dyDescent="0.2">
      <c r="A11" s="74" t="s">
        <v>94</v>
      </c>
      <c r="B11" s="34"/>
      <c r="C11" s="5">
        <v>1772000</v>
      </c>
      <c r="D11" s="5">
        <v>3719250</v>
      </c>
      <c r="E11" s="5">
        <v>402500</v>
      </c>
      <c r="F11" s="5"/>
      <c r="G11" s="38"/>
    </row>
    <row r="12" spans="1:7" x14ac:dyDescent="0.2">
      <c r="A12" s="74" t="s">
        <v>66</v>
      </c>
      <c r="B12" s="34"/>
      <c r="C12" s="6">
        <v>2.1250000000000002E-2</v>
      </c>
      <c r="D12" s="6">
        <v>3.7499999999999999E-2</v>
      </c>
      <c r="E12" s="6">
        <v>4.3749999999999997E-2</v>
      </c>
      <c r="F12" s="7"/>
      <c r="G12" s="38"/>
    </row>
    <row r="13" spans="1:7" x14ac:dyDescent="0.2">
      <c r="A13" s="74" t="s">
        <v>67</v>
      </c>
      <c r="B13" s="34"/>
      <c r="C13" s="8" t="s">
        <v>68</v>
      </c>
      <c r="D13" s="8" t="s">
        <v>68</v>
      </c>
      <c r="E13" s="8" t="s">
        <v>185</v>
      </c>
      <c r="F13" s="8"/>
      <c r="G13" s="38"/>
    </row>
    <row r="14" spans="1:7" x14ac:dyDescent="0.2">
      <c r="A14" s="74" t="s">
        <v>69</v>
      </c>
      <c r="B14" s="34"/>
      <c r="C14" s="9">
        <v>40494</v>
      </c>
      <c r="D14" s="9">
        <v>40494</v>
      </c>
      <c r="E14" s="9">
        <v>40815</v>
      </c>
      <c r="F14" s="9"/>
      <c r="G14" s="38"/>
    </row>
    <row r="15" spans="1:7" x14ac:dyDescent="0.2">
      <c r="A15" s="75" t="s">
        <v>70</v>
      </c>
      <c r="B15" s="34"/>
      <c r="C15" s="9">
        <v>42323</v>
      </c>
      <c r="D15" s="9">
        <v>44150</v>
      </c>
      <c r="E15" s="9">
        <v>44470</v>
      </c>
      <c r="F15" s="9"/>
      <c r="G15" s="38"/>
    </row>
    <row r="16" spans="1:7" x14ac:dyDescent="0.2">
      <c r="A16" s="76" t="s">
        <v>71</v>
      </c>
      <c r="B16" s="77"/>
      <c r="C16" s="10">
        <v>60</v>
      </c>
      <c r="D16" s="10">
        <v>120</v>
      </c>
      <c r="E16" s="10">
        <v>120</v>
      </c>
      <c r="F16" s="11"/>
      <c r="G16" s="61"/>
    </row>
    <row r="17" spans="1:7" x14ac:dyDescent="0.2">
      <c r="A17" s="14"/>
      <c r="B17" s="14"/>
      <c r="C17" s="14"/>
      <c r="D17" s="14"/>
      <c r="E17" s="14"/>
      <c r="F17" s="14"/>
      <c r="G17" s="18"/>
    </row>
    <row r="18" spans="1:7" x14ac:dyDescent="0.2">
      <c r="A18" s="78" t="s">
        <v>72</v>
      </c>
      <c r="B18" s="73"/>
      <c r="C18" s="73"/>
      <c r="D18" s="73"/>
      <c r="E18" s="73"/>
      <c r="F18" s="73"/>
      <c r="G18" s="59"/>
    </row>
    <row r="19" spans="1:7" x14ac:dyDescent="0.2">
      <c r="A19" s="76" t="s">
        <v>217</v>
      </c>
      <c r="B19" s="77"/>
      <c r="C19" s="60">
        <v>1369362.2299999991</v>
      </c>
      <c r="D19" s="60">
        <v>3296701.87</v>
      </c>
      <c r="E19" s="60">
        <v>392437.49000000005</v>
      </c>
      <c r="F19" s="60"/>
      <c r="G19" s="158">
        <v>5058501.59</v>
      </c>
    </row>
    <row r="20" spans="1:7" x14ac:dyDescent="0.2">
      <c r="A20" s="14"/>
      <c r="B20" s="14"/>
      <c r="C20" s="14"/>
      <c r="D20" s="14"/>
      <c r="E20" s="14"/>
      <c r="F20" s="14"/>
      <c r="G20" s="80"/>
    </row>
    <row r="21" spans="1:7" x14ac:dyDescent="0.2">
      <c r="A21" s="81" t="s">
        <v>74</v>
      </c>
      <c r="B21" s="14"/>
      <c r="C21" s="14"/>
      <c r="D21" s="14"/>
      <c r="E21" s="14"/>
      <c r="F21" s="14"/>
      <c r="G21" s="80"/>
    </row>
    <row r="22" spans="1:7" x14ac:dyDescent="0.2">
      <c r="A22" s="14" t="s">
        <v>75</v>
      </c>
      <c r="B22" s="15">
        <v>1</v>
      </c>
      <c r="C22" s="19">
        <f>-ROUND(($C$11/$C$16),2)-0.04</f>
        <v>-29533.370000000003</v>
      </c>
      <c r="D22" s="19">
        <f>-ROUND(($D$11/$D$16),2)</f>
        <v>-30993.75</v>
      </c>
      <c r="E22" s="19">
        <f t="shared" ref="E22:E24" si="0">-ROUND(($E$11/$E$16),2)</f>
        <v>-3354.17</v>
      </c>
      <c r="F22" s="19"/>
      <c r="G22" s="13">
        <f>SUM(C22:F22)</f>
        <v>-63881.29</v>
      </c>
    </row>
    <row r="23" spans="1:7" x14ac:dyDescent="0.2">
      <c r="A23" s="14" t="s">
        <v>76</v>
      </c>
      <c r="B23" s="15">
        <v>2</v>
      </c>
      <c r="C23" s="19">
        <f t="shared" ref="C23:C24" si="1">-ROUND(($C$11/$C$16),2)</f>
        <v>-29533.33</v>
      </c>
      <c r="D23" s="19">
        <f t="shared" ref="D23:D24" si="2">-ROUND(($D$11/$D$16),2)</f>
        <v>-30993.75</v>
      </c>
      <c r="E23" s="19">
        <f>-ROUND(($E$11/$E$16),2)+0.04</f>
        <v>-3354.13</v>
      </c>
      <c r="F23" s="19"/>
      <c r="G23" s="13">
        <f t="shared" ref="G23:G24" si="3">SUM(C23:F23)</f>
        <v>-63881.21</v>
      </c>
    </row>
    <row r="24" spans="1:7" x14ac:dyDescent="0.2">
      <c r="A24" s="14" t="s">
        <v>77</v>
      </c>
      <c r="B24" s="15">
        <v>3</v>
      </c>
      <c r="C24" s="19">
        <f t="shared" si="1"/>
        <v>-29533.33</v>
      </c>
      <c r="D24" s="19">
        <f t="shared" si="2"/>
        <v>-30993.75</v>
      </c>
      <c r="E24" s="19">
        <f t="shared" si="0"/>
        <v>-3354.17</v>
      </c>
      <c r="F24" s="19"/>
      <c r="G24" s="13">
        <f t="shared" si="3"/>
        <v>-63881.25</v>
      </c>
    </row>
    <row r="25" spans="1:7" x14ac:dyDescent="0.2">
      <c r="A25" s="14"/>
      <c r="B25" s="82"/>
      <c r="C25" s="14"/>
      <c r="D25" s="14"/>
      <c r="E25" s="14"/>
      <c r="F25" s="14"/>
      <c r="G25" s="18"/>
    </row>
    <row r="26" spans="1:7" x14ac:dyDescent="0.2">
      <c r="A26" s="81" t="s">
        <v>96</v>
      </c>
      <c r="B26" s="82"/>
      <c r="C26" s="14"/>
      <c r="D26" s="14"/>
      <c r="E26" s="14"/>
      <c r="F26" s="14"/>
      <c r="G26" s="18"/>
    </row>
    <row r="27" spans="1:7" x14ac:dyDescent="0.2">
      <c r="A27" s="14" t="s">
        <v>75</v>
      </c>
      <c r="B27" s="15">
        <v>1</v>
      </c>
      <c r="C27" s="19">
        <f>C19+C22</f>
        <v>1339828.8599999989</v>
      </c>
      <c r="D27" s="19">
        <f>D19+D22</f>
        <v>3265708.12</v>
      </c>
      <c r="E27" s="19">
        <f>E19+E22</f>
        <v>389083.32000000007</v>
      </c>
      <c r="F27" s="19"/>
      <c r="G27" s="13">
        <f t="shared" ref="G27:G29" si="4">SUM(C27:F27)</f>
        <v>4994620.2999999989</v>
      </c>
    </row>
    <row r="28" spans="1:7" x14ac:dyDescent="0.2">
      <c r="A28" s="14" t="s">
        <v>76</v>
      </c>
      <c r="B28" s="15">
        <v>2</v>
      </c>
      <c r="C28" s="19">
        <f t="shared" ref="C28:E29" si="5">C27+C23</f>
        <v>1310295.5299999989</v>
      </c>
      <c r="D28" s="19">
        <f t="shared" si="5"/>
        <v>3234714.37</v>
      </c>
      <c r="E28" s="19">
        <f t="shared" si="5"/>
        <v>385729.19000000006</v>
      </c>
      <c r="F28" s="19"/>
      <c r="G28" s="13">
        <f t="shared" si="4"/>
        <v>4930739.0899999989</v>
      </c>
    </row>
    <row r="29" spans="1:7" x14ac:dyDescent="0.2">
      <c r="A29" s="14" t="s">
        <v>77</v>
      </c>
      <c r="B29" s="15">
        <v>3</v>
      </c>
      <c r="C29" s="19">
        <f t="shared" si="5"/>
        <v>1280762.1999999988</v>
      </c>
      <c r="D29" s="19">
        <f t="shared" si="5"/>
        <v>3203720.62</v>
      </c>
      <c r="E29" s="19">
        <f t="shared" si="5"/>
        <v>382375.02000000008</v>
      </c>
      <c r="F29" s="19"/>
      <c r="G29" s="13">
        <f t="shared" si="4"/>
        <v>4866857.8399999989</v>
      </c>
    </row>
    <row r="39" spans="1:7" x14ac:dyDescent="0.2">
      <c r="A39" s="14"/>
      <c r="B39" s="14"/>
      <c r="C39" s="14"/>
      <c r="D39" s="14"/>
      <c r="E39" s="14"/>
      <c r="F39" s="14"/>
      <c r="G39" s="24"/>
    </row>
    <row r="40" spans="1:7" x14ac:dyDescent="0.2">
      <c r="A40" s="14"/>
      <c r="B40" s="14"/>
      <c r="C40" s="14"/>
      <c r="D40" s="14"/>
      <c r="E40" s="14"/>
      <c r="F40" s="14"/>
      <c r="G40" s="18"/>
    </row>
    <row r="41" spans="1:7" x14ac:dyDescent="0.2">
      <c r="A41" s="14"/>
      <c r="B41" s="14"/>
      <c r="C41" s="25"/>
      <c r="D41" s="25"/>
      <c r="E41" s="25"/>
      <c r="F41" s="25"/>
      <c r="G41" s="18"/>
    </row>
    <row r="42" spans="1:7" x14ac:dyDescent="0.2">
      <c r="A42" s="14"/>
      <c r="B42" s="14"/>
      <c r="C42" s="25"/>
      <c r="D42" s="25"/>
      <c r="E42" s="25"/>
      <c r="F42" s="25"/>
      <c r="G42" s="18"/>
    </row>
    <row r="43" spans="1:7" x14ac:dyDescent="0.2">
      <c r="A43" s="71"/>
      <c r="B43" s="1"/>
      <c r="C43" s="26"/>
      <c r="D43" s="26"/>
      <c r="E43" s="26"/>
      <c r="F43" s="26"/>
      <c r="G43" s="27"/>
    </row>
    <row r="44" spans="1:7" x14ac:dyDescent="0.2">
      <c r="A44" s="160"/>
      <c r="B44" s="161"/>
      <c r="C44" s="28"/>
      <c r="D44" s="29"/>
      <c r="E44" s="29"/>
      <c r="F44" s="29"/>
      <c r="G44" s="30"/>
    </row>
    <row r="45" spans="1:7" x14ac:dyDescent="0.2">
      <c r="A45" s="31"/>
      <c r="B45" s="8"/>
      <c r="C45" s="32"/>
      <c r="D45" s="32"/>
      <c r="E45" s="32"/>
      <c r="F45" s="32"/>
      <c r="G45" s="4"/>
    </row>
    <row r="46" spans="1:7" x14ac:dyDescent="0.2">
      <c r="A46" s="34"/>
      <c r="B46" s="35"/>
      <c r="C46" s="35"/>
      <c r="D46" s="35"/>
      <c r="E46" s="35"/>
      <c r="F46" s="35"/>
      <c r="G46" s="35"/>
    </row>
    <row r="47" spans="1:7" x14ac:dyDescent="0.2">
      <c r="A47" s="8"/>
      <c r="B47" s="8"/>
      <c r="C47" s="8"/>
      <c r="D47" s="8"/>
      <c r="E47" s="8"/>
      <c r="F47" s="8"/>
      <c r="G47" s="4"/>
    </row>
    <row r="48" spans="1:7" x14ac:dyDescent="0.2">
      <c r="A48" s="36"/>
      <c r="B48" s="36"/>
      <c r="C48" s="37"/>
      <c r="D48" s="37"/>
      <c r="E48" s="37"/>
      <c r="F48" s="37"/>
      <c r="G48" s="37"/>
    </row>
    <row r="49" spans="1:7" x14ac:dyDescent="0.2">
      <c r="A49" s="34"/>
      <c r="B49" s="34"/>
      <c r="C49" s="34"/>
      <c r="D49" s="34"/>
      <c r="E49" s="34"/>
      <c r="F49" s="34"/>
      <c r="G49" s="38"/>
    </row>
    <row r="50" spans="1:7" x14ac:dyDescent="0.2">
      <c r="A50" s="34"/>
      <c r="B50" s="34"/>
      <c r="C50" s="34"/>
      <c r="D50" s="34"/>
      <c r="E50" s="34"/>
      <c r="F50" s="34"/>
      <c r="G50" s="24"/>
    </row>
    <row r="51" spans="1:7" x14ac:dyDescent="0.2">
      <c r="A51" s="34"/>
      <c r="B51" s="34"/>
      <c r="C51" s="34"/>
      <c r="D51" s="34"/>
      <c r="E51" s="34"/>
      <c r="F51" s="34"/>
      <c r="G51" s="38"/>
    </row>
    <row r="52" spans="1:7" x14ac:dyDescent="0.2">
      <c r="A52" s="36"/>
      <c r="B52" s="36"/>
      <c r="C52" s="36"/>
      <c r="D52" s="36"/>
      <c r="E52" s="36"/>
      <c r="F52" s="36"/>
      <c r="G52" s="36"/>
    </row>
    <row r="53" spans="1:7" x14ac:dyDescent="0.2">
      <c r="A53" s="34"/>
      <c r="B53" s="34"/>
      <c r="C53" s="34"/>
      <c r="D53" s="34"/>
      <c r="E53" s="34"/>
      <c r="F53" s="34"/>
      <c r="G53" s="38"/>
    </row>
    <row r="54" spans="1:7" x14ac:dyDescent="0.2">
      <c r="A54" s="34"/>
      <c r="B54" s="34"/>
      <c r="C54" s="34"/>
      <c r="D54" s="34"/>
      <c r="E54" s="34"/>
      <c r="F54" s="34"/>
      <c r="G54" s="38"/>
    </row>
    <row r="55" spans="1:7" s="33" customFormat="1" x14ac:dyDescent="0.2">
      <c r="A55" s="34"/>
      <c r="B55" s="34"/>
      <c r="C55" s="34"/>
      <c r="D55" s="34"/>
      <c r="E55" s="34"/>
      <c r="F55" s="39"/>
      <c r="G55" s="38"/>
    </row>
    <row r="56" spans="1:7" s="33" customFormat="1" x14ac:dyDescent="0.2">
      <c r="A56" s="34"/>
      <c r="B56" s="34"/>
      <c r="C56" s="34"/>
      <c r="D56" s="34"/>
      <c r="E56" s="34"/>
      <c r="F56" s="39"/>
      <c r="G56" s="38"/>
    </row>
    <row r="57" spans="1:7" s="33" customFormat="1" x14ac:dyDescent="0.2">
      <c r="A57" s="34"/>
      <c r="B57" s="34"/>
      <c r="C57" s="34"/>
      <c r="D57" s="34"/>
      <c r="E57" s="34"/>
      <c r="F57" s="39"/>
      <c r="G57" s="38"/>
    </row>
    <row r="58" spans="1:7" s="33" customFormat="1" x14ac:dyDescent="0.2">
      <c r="A58" s="34"/>
      <c r="B58" s="34"/>
      <c r="C58" s="34"/>
      <c r="D58" s="34"/>
      <c r="E58" s="34"/>
      <c r="F58" s="34"/>
      <c r="G58" s="40"/>
    </row>
    <row r="59" spans="1:7" s="33" customFormat="1" x14ac:dyDescent="0.2"/>
    <row r="60" spans="1:7" s="33" customFormat="1" x14ac:dyDescent="0.2"/>
    <row r="61" spans="1:7" s="33" customFormat="1" x14ac:dyDescent="0.2"/>
    <row r="62" spans="1:7" s="33" customFormat="1" x14ac:dyDescent="0.2"/>
    <row r="63" spans="1:7" s="33" customFormat="1" x14ac:dyDescent="0.2"/>
    <row r="64" spans="1:7" s="33" customFormat="1" x14ac:dyDescent="0.2">
      <c r="A64" s="68"/>
      <c r="B64" s="68"/>
      <c r="C64" s="68"/>
      <c r="D64" s="68"/>
      <c r="E64" s="68"/>
      <c r="F64" s="68"/>
      <c r="G64" s="68"/>
    </row>
    <row r="65" spans="1:7" s="33" customFormat="1" x14ac:dyDescent="0.2">
      <c r="A65" s="68"/>
      <c r="B65" s="68"/>
      <c r="C65" s="68"/>
      <c r="D65" s="68"/>
      <c r="E65" s="68"/>
      <c r="F65" s="68"/>
      <c r="G65" s="68"/>
    </row>
    <row r="66" spans="1:7" s="33" customFormat="1" x14ac:dyDescent="0.2">
      <c r="A66" s="68"/>
      <c r="B66" s="68"/>
      <c r="C66" s="68"/>
      <c r="D66" s="68"/>
      <c r="E66" s="68"/>
      <c r="F66" s="68"/>
      <c r="G66" s="68"/>
    </row>
    <row r="67" spans="1:7" s="33" customFormat="1" x14ac:dyDescent="0.2">
      <c r="A67" s="68"/>
      <c r="B67" s="68"/>
      <c r="C67" s="68"/>
      <c r="D67" s="68"/>
      <c r="E67" s="68"/>
      <c r="F67" s="68"/>
      <c r="G67" s="68"/>
    </row>
    <row r="68" spans="1:7" s="33" customFormat="1" x14ac:dyDescent="0.2">
      <c r="A68" s="68"/>
      <c r="B68" s="68"/>
      <c r="C68" s="68"/>
      <c r="D68" s="68"/>
      <c r="E68" s="68"/>
      <c r="F68" s="68"/>
      <c r="G68" s="68"/>
    </row>
    <row r="69" spans="1:7" s="33" customFormat="1" x14ac:dyDescent="0.2">
      <c r="A69" s="68"/>
      <c r="B69" s="68"/>
      <c r="C69" s="68"/>
      <c r="D69" s="68"/>
      <c r="E69" s="68"/>
      <c r="F69" s="68"/>
      <c r="G69" s="68"/>
    </row>
    <row r="70" spans="1:7" s="33" customFormat="1" x14ac:dyDescent="0.2">
      <c r="A70" s="68"/>
      <c r="B70" s="68"/>
      <c r="C70" s="68"/>
      <c r="D70" s="68"/>
      <c r="E70" s="68"/>
      <c r="F70" s="68"/>
      <c r="G70" s="68"/>
    </row>
    <row r="71" spans="1:7" s="33" customFormat="1" x14ac:dyDescent="0.2">
      <c r="A71" s="68"/>
      <c r="B71" s="68"/>
      <c r="C71" s="68"/>
      <c r="D71" s="68"/>
      <c r="E71" s="68"/>
      <c r="F71" s="68"/>
      <c r="G71" s="68"/>
    </row>
    <row r="72" spans="1:7" s="33" customFormat="1" x14ac:dyDescent="0.2">
      <c r="A72" s="68"/>
      <c r="B72" s="68"/>
      <c r="C72" s="68"/>
      <c r="D72" s="68"/>
      <c r="E72" s="68"/>
      <c r="F72" s="68"/>
      <c r="G72" s="68"/>
    </row>
    <row r="73" spans="1:7" s="33" customFormat="1" x14ac:dyDescent="0.2">
      <c r="A73" s="68"/>
      <c r="B73" s="68"/>
      <c r="C73" s="68"/>
      <c r="D73" s="68"/>
      <c r="E73" s="68"/>
      <c r="F73" s="68"/>
      <c r="G73" s="68"/>
    </row>
  </sheetData>
  <pageMargins left="0.7" right="0.7" top="1" bottom="0.75" header="0.25" footer="0.5"/>
  <pageSetup scale="83" orientation="portrait" r:id="rId1"/>
  <headerFooter>
    <oddHeader>&amp;R&amp;"Times New Roman,Bold"&amp;12Attachment to Response to KU KIUC-2 Question No. 2.15
Page &amp;P of &amp;N
Arbough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G77"/>
  <sheetViews>
    <sheetView workbookViewId="0">
      <selection activeCell="D25" sqref="D25"/>
    </sheetView>
  </sheetViews>
  <sheetFormatPr defaultColWidth="9.140625" defaultRowHeight="12.75" x14ac:dyDescent="0.2"/>
  <cols>
    <col min="1" max="1" width="29.28515625" style="68" customWidth="1"/>
    <col min="2" max="2" width="5.42578125" style="68" customWidth="1"/>
    <col min="3" max="3" width="15.85546875" style="68" bestFit="1" customWidth="1"/>
    <col min="4" max="5" width="17.28515625" style="68" bestFit="1" customWidth="1"/>
    <col min="6" max="6" width="4.85546875" style="68" customWidth="1"/>
    <col min="7" max="7" width="16.42578125" style="68" bestFit="1" customWidth="1"/>
    <col min="8" max="16384" width="9.140625" style="68"/>
  </cols>
  <sheetData>
    <row r="1" spans="1:7" ht="13.5" thickBot="1" x14ac:dyDescent="0.25">
      <c r="A1" s="66" t="s">
        <v>89</v>
      </c>
      <c r="B1" s="66"/>
      <c r="C1" s="14"/>
      <c r="D1" s="14"/>
      <c r="E1" s="14"/>
      <c r="F1" s="14"/>
      <c r="G1" s="67" t="s">
        <v>90</v>
      </c>
    </row>
    <row r="2" spans="1:7" x14ac:dyDescent="0.2">
      <c r="A2" s="2" t="s">
        <v>201</v>
      </c>
      <c r="B2" s="14"/>
      <c r="C2" s="14"/>
      <c r="D2" s="14"/>
      <c r="E2" s="14"/>
      <c r="F2" s="14"/>
      <c r="G2" s="18"/>
    </row>
    <row r="3" spans="1:7" x14ac:dyDescent="0.2">
      <c r="A3" s="2" t="s">
        <v>213</v>
      </c>
      <c r="B3" s="34"/>
      <c r="C3" s="14"/>
      <c r="D3" s="14"/>
      <c r="E3" s="14"/>
      <c r="F3" s="14"/>
      <c r="G3" s="18"/>
    </row>
    <row r="4" spans="1:7" ht="13.5" thickBot="1" x14ac:dyDescent="0.25">
      <c r="A4" s="14"/>
      <c r="B4" s="14"/>
      <c r="C4" s="69"/>
      <c r="D4" s="69"/>
      <c r="E4" s="69"/>
      <c r="F4" s="69"/>
      <c r="G4" s="70" t="s">
        <v>52</v>
      </c>
    </row>
    <row r="5" spans="1:7" x14ac:dyDescent="0.2">
      <c r="A5" s="71" t="s">
        <v>60</v>
      </c>
      <c r="C5" s="1">
        <v>221016</v>
      </c>
      <c r="D5" s="1">
        <v>221017</v>
      </c>
      <c r="E5" s="1">
        <v>221018</v>
      </c>
      <c r="F5" s="1"/>
      <c r="G5" s="27"/>
    </row>
    <row r="6" spans="1:7" x14ac:dyDescent="0.2">
      <c r="A6" s="71" t="s">
        <v>98</v>
      </c>
      <c r="B6" s="1"/>
      <c r="C6" s="1">
        <v>237016</v>
      </c>
      <c r="D6" s="1">
        <v>237017</v>
      </c>
      <c r="E6" s="1">
        <v>237018</v>
      </c>
      <c r="F6" s="1"/>
      <c r="G6" s="27"/>
    </row>
    <row r="7" spans="1:7" x14ac:dyDescent="0.2">
      <c r="A7" s="71" t="s">
        <v>99</v>
      </c>
      <c r="B7" s="1"/>
      <c r="C7" s="1">
        <v>427016</v>
      </c>
      <c r="D7" s="1">
        <v>427017</v>
      </c>
      <c r="E7" s="1">
        <v>427018</v>
      </c>
      <c r="F7" s="1"/>
      <c r="G7" s="27"/>
    </row>
    <row r="8" spans="1:7" x14ac:dyDescent="0.2">
      <c r="A8" s="14"/>
      <c r="B8" s="14"/>
      <c r="C8" s="14"/>
      <c r="D8" s="2"/>
      <c r="E8" s="2"/>
      <c r="F8" s="14"/>
      <c r="G8" s="18"/>
    </row>
    <row r="9" spans="1:7" x14ac:dyDescent="0.2">
      <c r="A9" s="14"/>
      <c r="B9" s="14"/>
      <c r="C9" s="14"/>
      <c r="D9" s="2"/>
      <c r="E9" s="2"/>
      <c r="F9" s="14"/>
      <c r="G9" s="18"/>
    </row>
    <row r="10" spans="1:7" x14ac:dyDescent="0.2">
      <c r="A10" s="72" t="s">
        <v>63</v>
      </c>
      <c r="B10" s="73"/>
      <c r="C10" s="3">
        <v>400000000</v>
      </c>
      <c r="D10" s="3">
        <v>475000000</v>
      </c>
      <c r="E10" s="3">
        <v>250000000</v>
      </c>
      <c r="F10" s="3"/>
      <c r="G10" s="59">
        <f>SUM(C10:F10)</f>
        <v>1125000000</v>
      </c>
    </row>
    <row r="11" spans="1:7" x14ac:dyDescent="0.2">
      <c r="A11" s="74" t="s">
        <v>66</v>
      </c>
      <c r="B11" s="34"/>
      <c r="C11" s="6">
        <v>2.1250000000000002E-2</v>
      </c>
      <c r="D11" s="6">
        <v>3.7499999999999999E-2</v>
      </c>
      <c r="E11" s="6">
        <v>4.3749999999999997E-2</v>
      </c>
      <c r="F11" s="7"/>
      <c r="G11" s="38"/>
    </row>
    <row r="12" spans="1:7" x14ac:dyDescent="0.2">
      <c r="A12" s="74" t="s">
        <v>67</v>
      </c>
      <c r="B12" s="34"/>
      <c r="C12" s="8" t="s">
        <v>68</v>
      </c>
      <c r="D12" s="8" t="s">
        <v>68</v>
      </c>
      <c r="E12" s="8" t="s">
        <v>185</v>
      </c>
      <c r="F12" s="8"/>
      <c r="G12" s="38"/>
    </row>
    <row r="13" spans="1:7" x14ac:dyDescent="0.2">
      <c r="A13" s="74" t="s">
        <v>69</v>
      </c>
      <c r="B13" s="34"/>
      <c r="C13" s="9">
        <v>40494</v>
      </c>
      <c r="D13" s="9">
        <v>40494</v>
      </c>
      <c r="E13" s="9">
        <v>40815</v>
      </c>
      <c r="F13" s="9"/>
      <c r="G13" s="38"/>
    </row>
    <row r="14" spans="1:7" x14ac:dyDescent="0.2">
      <c r="A14" s="75" t="s">
        <v>70</v>
      </c>
      <c r="B14" s="34"/>
      <c r="C14" s="9">
        <v>42323</v>
      </c>
      <c r="D14" s="9">
        <v>44150</v>
      </c>
      <c r="E14" s="9">
        <v>44470</v>
      </c>
      <c r="F14" s="9"/>
      <c r="G14" s="38"/>
    </row>
    <row r="15" spans="1:7" x14ac:dyDescent="0.2">
      <c r="A15" s="76" t="s">
        <v>100</v>
      </c>
      <c r="B15" s="77"/>
      <c r="C15" s="41" t="s">
        <v>101</v>
      </c>
      <c r="D15" s="41" t="s">
        <v>101</v>
      </c>
      <c r="E15" s="41" t="s">
        <v>202</v>
      </c>
      <c r="F15" s="11"/>
      <c r="G15" s="61"/>
    </row>
    <row r="16" spans="1:7" x14ac:dyDescent="0.2">
      <c r="A16" s="14"/>
      <c r="B16" s="14"/>
      <c r="C16" s="14"/>
      <c r="D16" s="14"/>
      <c r="E16" s="14"/>
      <c r="F16" s="14"/>
      <c r="G16" s="18"/>
    </row>
    <row r="17" spans="1:7" x14ac:dyDescent="0.2">
      <c r="A17" s="78" t="s">
        <v>72</v>
      </c>
      <c r="B17" s="73"/>
      <c r="C17" s="73"/>
      <c r="D17" s="73"/>
      <c r="E17" s="73"/>
      <c r="F17" s="73"/>
      <c r="G17" s="59"/>
    </row>
    <row r="18" spans="1:7" x14ac:dyDescent="0.2">
      <c r="A18" s="76" t="s">
        <v>217</v>
      </c>
      <c r="B18" s="77"/>
      <c r="C18" s="62">
        <v>-1086111.1066666674</v>
      </c>
      <c r="D18" s="62">
        <v>-2276041.67</v>
      </c>
      <c r="E18" s="62">
        <v>-2795138.88</v>
      </c>
      <c r="F18" s="62"/>
      <c r="G18" s="79">
        <v>-6157291.6566666691</v>
      </c>
    </row>
    <row r="19" spans="1:7" x14ac:dyDescent="0.2">
      <c r="A19" s="14"/>
      <c r="B19" s="14"/>
      <c r="C19" s="14"/>
      <c r="D19" s="14"/>
      <c r="E19" s="14"/>
      <c r="F19" s="14"/>
      <c r="G19" s="80"/>
    </row>
    <row r="20" spans="1:7" x14ac:dyDescent="0.2">
      <c r="A20" s="81" t="s">
        <v>102</v>
      </c>
      <c r="B20" s="14"/>
      <c r="C20" s="14"/>
      <c r="D20" s="14"/>
      <c r="E20" s="14"/>
      <c r="F20" s="14"/>
      <c r="G20" s="80"/>
    </row>
    <row r="21" spans="1:7" x14ac:dyDescent="0.2">
      <c r="A21" s="14" t="s">
        <v>75</v>
      </c>
      <c r="B21" s="15">
        <v>1</v>
      </c>
      <c r="C21" s="19">
        <f>-ROUND(($C$10*$C$11)/12,2)-0.04</f>
        <v>-708333.37</v>
      </c>
      <c r="D21" s="19">
        <f>-ROUND(($D$10*$D$11)/12,2)</f>
        <v>-1484375</v>
      </c>
      <c r="E21" s="19">
        <f t="shared" ref="E21:E23" si="0">-ROUND(($E$10*$E$11)/12,2)</f>
        <v>-911458.33</v>
      </c>
      <c r="F21" s="19"/>
      <c r="G21" s="13">
        <f>SUM(C21:F21)</f>
        <v>-3104166.7</v>
      </c>
    </row>
    <row r="22" spans="1:7" x14ac:dyDescent="0.2">
      <c r="A22" s="14" t="s">
        <v>76</v>
      </c>
      <c r="B22" s="15">
        <v>2</v>
      </c>
      <c r="C22" s="19">
        <f t="shared" ref="C22:C23" si="1">-ROUND(($C$10*$C$11)/12,2)</f>
        <v>-708333.33</v>
      </c>
      <c r="D22" s="19">
        <f t="shared" ref="D22:D23" si="2">-ROUND(($D$10*$D$11)/12,2)</f>
        <v>-1484375</v>
      </c>
      <c r="E22" s="19">
        <f t="shared" si="0"/>
        <v>-911458.33</v>
      </c>
      <c r="F22" s="19"/>
      <c r="G22" s="13">
        <f t="shared" ref="G22:G23" si="3">SUM(C22:F22)</f>
        <v>-3104166.66</v>
      </c>
    </row>
    <row r="23" spans="1:7" x14ac:dyDescent="0.2">
      <c r="A23" s="14" t="s">
        <v>77</v>
      </c>
      <c r="B23" s="15">
        <v>3</v>
      </c>
      <c r="C23" s="19">
        <f t="shared" si="1"/>
        <v>-708333.33</v>
      </c>
      <c r="D23" s="19">
        <f t="shared" si="2"/>
        <v>-1484375</v>
      </c>
      <c r="E23" s="19">
        <f t="shared" si="0"/>
        <v>-911458.33</v>
      </c>
      <c r="F23" s="19"/>
      <c r="G23" s="13">
        <f t="shared" si="3"/>
        <v>-3104166.66</v>
      </c>
    </row>
    <row r="24" spans="1:7" x14ac:dyDescent="0.2">
      <c r="A24" s="14"/>
      <c r="B24" s="82"/>
      <c r="C24" s="14"/>
      <c r="D24" s="14"/>
      <c r="E24" s="14"/>
      <c r="F24" s="14"/>
      <c r="G24" s="18"/>
    </row>
    <row r="25" spans="1:7" x14ac:dyDescent="0.2">
      <c r="A25" s="81" t="s">
        <v>100</v>
      </c>
      <c r="B25" s="82"/>
      <c r="C25" s="14"/>
      <c r="D25" s="14"/>
      <c r="E25" s="14"/>
      <c r="F25" s="14"/>
      <c r="G25" s="18"/>
    </row>
    <row r="26" spans="1:7" x14ac:dyDescent="0.2">
      <c r="A26" s="14" t="s">
        <v>75</v>
      </c>
      <c r="B26" s="15">
        <v>1</v>
      </c>
      <c r="C26" s="19"/>
      <c r="D26" s="19"/>
      <c r="E26" s="19"/>
      <c r="F26" s="19"/>
      <c r="G26" s="13">
        <f t="shared" ref="G26:G28" si="4">SUM(C26:F26)</f>
        <v>0</v>
      </c>
    </row>
    <row r="27" spans="1:7" x14ac:dyDescent="0.2">
      <c r="A27" s="14" t="s">
        <v>76</v>
      </c>
      <c r="B27" s="15">
        <v>2</v>
      </c>
      <c r="C27" s="19"/>
      <c r="D27" s="19"/>
      <c r="E27" s="19"/>
      <c r="F27" s="19"/>
      <c r="G27" s="13">
        <f t="shared" si="4"/>
        <v>0</v>
      </c>
    </row>
    <row r="28" spans="1:7" x14ac:dyDescent="0.2">
      <c r="A28" s="14" t="s">
        <v>77</v>
      </c>
      <c r="B28" s="15">
        <v>3</v>
      </c>
      <c r="C28" s="19"/>
      <c r="D28" s="19"/>
      <c r="E28" s="19"/>
      <c r="F28" s="19"/>
      <c r="G28" s="13">
        <f t="shared" si="4"/>
        <v>0</v>
      </c>
    </row>
    <row r="29" spans="1:7" x14ac:dyDescent="0.2">
      <c r="A29" s="14"/>
      <c r="B29" s="14"/>
      <c r="C29" s="14"/>
      <c r="D29" s="14"/>
      <c r="E29" s="14"/>
      <c r="F29" s="14"/>
      <c r="G29" s="18"/>
    </row>
    <row r="30" spans="1:7" x14ac:dyDescent="0.2">
      <c r="A30" s="81" t="s">
        <v>104</v>
      </c>
      <c r="B30" s="14"/>
      <c r="C30" s="14"/>
      <c r="D30" s="14"/>
      <c r="E30" s="14"/>
      <c r="F30" s="14"/>
      <c r="G30" s="80"/>
    </row>
    <row r="31" spans="1:7" x14ac:dyDescent="0.2">
      <c r="A31" s="14" t="s">
        <v>75</v>
      </c>
      <c r="B31" s="15">
        <v>1</v>
      </c>
      <c r="C31" s="63">
        <f>C18+C21+C26</f>
        <v>-1794444.4766666675</v>
      </c>
      <c r="D31" s="63">
        <f>D18+D21+D26</f>
        <v>-3760416.67</v>
      </c>
      <c r="E31" s="63">
        <f>E18+E21+E26</f>
        <v>-3706597.21</v>
      </c>
      <c r="F31" s="19"/>
      <c r="G31" s="13">
        <f>SUM(C31:F31)</f>
        <v>-9261458.3566666674</v>
      </c>
    </row>
    <row r="32" spans="1:7" x14ac:dyDescent="0.2">
      <c r="A32" s="14" t="s">
        <v>76</v>
      </c>
      <c r="B32" s="15">
        <v>2</v>
      </c>
      <c r="C32" s="63">
        <f t="shared" ref="C32:E33" si="5">C31+C22+C27</f>
        <v>-2502777.8066666676</v>
      </c>
      <c r="D32" s="63">
        <f t="shared" si="5"/>
        <v>-5244791.67</v>
      </c>
      <c r="E32" s="63">
        <f t="shared" si="5"/>
        <v>-4618055.54</v>
      </c>
      <c r="F32" s="63"/>
      <c r="G32" s="63">
        <f>G31+G22+G27</f>
        <v>-12365625.016666668</v>
      </c>
    </row>
    <row r="33" spans="1:7" x14ac:dyDescent="0.2">
      <c r="A33" s="14" t="s">
        <v>77</v>
      </c>
      <c r="B33" s="15">
        <v>3</v>
      </c>
      <c r="C33" s="63">
        <f t="shared" si="5"/>
        <v>-3211111.1366666676</v>
      </c>
      <c r="D33" s="63">
        <f t="shared" si="5"/>
        <v>-6729166.6699999999</v>
      </c>
      <c r="E33" s="63">
        <f t="shared" si="5"/>
        <v>-5529513.8700000001</v>
      </c>
      <c r="F33" s="63"/>
      <c r="G33" s="63">
        <f>G32+G23+G28</f>
        <v>-15469791.676666668</v>
      </c>
    </row>
    <row r="43" spans="1:7" x14ac:dyDescent="0.2">
      <c r="A43" s="14"/>
      <c r="B43" s="82"/>
      <c r="C43" s="44"/>
      <c r="D43" s="44"/>
      <c r="E43" s="44"/>
      <c r="F43" s="44"/>
      <c r="G43" s="35"/>
    </row>
    <row r="44" spans="1:7" x14ac:dyDescent="0.2">
      <c r="A44" s="14"/>
      <c r="B44" s="82"/>
      <c r="C44" s="14"/>
      <c r="D44" s="14"/>
      <c r="E44" s="14"/>
      <c r="F44" s="14"/>
      <c r="G44" s="18"/>
    </row>
    <row r="45" spans="1:7" x14ac:dyDescent="0.2">
      <c r="A45" s="34"/>
      <c r="B45" s="34"/>
      <c r="C45" s="34"/>
      <c r="D45" s="34"/>
      <c r="E45" s="34"/>
      <c r="F45" s="34"/>
      <c r="G45" s="38"/>
    </row>
    <row r="46" spans="1:7" x14ac:dyDescent="0.2">
      <c r="A46" s="36"/>
      <c r="B46" s="36"/>
      <c r="C46" s="36"/>
      <c r="D46" s="36"/>
      <c r="E46" s="36"/>
      <c r="F46" s="36"/>
      <c r="G46" s="36"/>
    </row>
    <row r="47" spans="1:7" x14ac:dyDescent="0.2">
      <c r="A47" s="34"/>
      <c r="B47" s="34"/>
      <c r="C47" s="34"/>
      <c r="D47" s="34"/>
      <c r="E47" s="34"/>
      <c r="F47" s="34"/>
      <c r="G47" s="38"/>
    </row>
    <row r="48" spans="1:7" x14ac:dyDescent="0.2">
      <c r="A48" s="34"/>
      <c r="B48" s="34"/>
      <c r="C48" s="34"/>
      <c r="D48" s="34"/>
      <c r="E48" s="34"/>
      <c r="F48" s="34"/>
      <c r="G48" s="38"/>
    </row>
    <row r="49" spans="1:7" x14ac:dyDescent="0.2">
      <c r="A49" s="34"/>
      <c r="B49" s="34"/>
      <c r="C49" s="34"/>
      <c r="D49" s="34"/>
      <c r="E49" s="34"/>
      <c r="F49" s="39"/>
      <c r="G49" s="38"/>
    </row>
    <row r="50" spans="1:7" x14ac:dyDescent="0.2">
      <c r="A50" s="34"/>
      <c r="B50" s="34"/>
      <c r="C50" s="34"/>
      <c r="D50" s="34"/>
      <c r="E50" s="34"/>
      <c r="F50" s="39"/>
      <c r="G50" s="38"/>
    </row>
    <row r="51" spans="1:7" x14ac:dyDescent="0.2">
      <c r="A51" s="34"/>
      <c r="B51" s="34"/>
      <c r="C51" s="34"/>
      <c r="D51" s="34"/>
      <c r="E51" s="34"/>
      <c r="F51" s="39"/>
      <c r="G51" s="38"/>
    </row>
    <row r="52" spans="1:7" x14ac:dyDescent="0.2">
      <c r="A52" s="34"/>
      <c r="B52" s="34"/>
      <c r="C52" s="34"/>
      <c r="D52" s="34"/>
      <c r="E52" s="34"/>
      <c r="F52" s="34"/>
      <c r="G52" s="40"/>
    </row>
    <row r="53" spans="1:7" x14ac:dyDescent="0.2">
      <c r="A53" s="33"/>
      <c r="B53" s="33"/>
      <c r="C53" s="33"/>
      <c r="D53" s="33"/>
      <c r="E53" s="33"/>
      <c r="F53" s="33"/>
      <c r="G53" s="33"/>
    </row>
    <row r="54" spans="1:7" x14ac:dyDescent="0.2">
      <c r="A54" s="33"/>
      <c r="B54" s="33"/>
      <c r="C54" s="33"/>
      <c r="D54" s="33"/>
      <c r="E54" s="33"/>
      <c r="F54" s="33"/>
      <c r="G54" s="33"/>
    </row>
    <row r="55" spans="1:7" x14ac:dyDescent="0.2">
      <c r="A55" s="33"/>
      <c r="B55" s="33"/>
      <c r="C55" s="33"/>
      <c r="D55" s="33"/>
      <c r="E55" s="33"/>
      <c r="F55" s="33"/>
      <c r="G55" s="33"/>
    </row>
    <row r="56" spans="1:7" x14ac:dyDescent="0.2">
      <c r="A56" s="33"/>
      <c r="B56" s="33"/>
      <c r="C56" s="33"/>
      <c r="D56" s="33"/>
      <c r="E56" s="33"/>
      <c r="F56" s="33"/>
      <c r="G56" s="33"/>
    </row>
    <row r="57" spans="1:7" x14ac:dyDescent="0.2">
      <c r="A57" s="33"/>
      <c r="B57" s="33"/>
      <c r="C57" s="33"/>
      <c r="D57" s="33"/>
      <c r="E57" s="33"/>
      <c r="F57" s="33"/>
      <c r="G57" s="33"/>
    </row>
    <row r="65" spans="1:7" s="33" customFormat="1" x14ac:dyDescent="0.2">
      <c r="A65" s="68"/>
      <c r="B65" s="68"/>
      <c r="C65" s="68"/>
      <c r="D65" s="68"/>
      <c r="E65" s="68"/>
      <c r="F65" s="68"/>
      <c r="G65" s="68"/>
    </row>
    <row r="66" spans="1:7" s="33" customFormat="1" x14ac:dyDescent="0.2">
      <c r="A66" s="68"/>
      <c r="B66" s="68"/>
      <c r="C66" s="68"/>
      <c r="D66" s="68"/>
      <c r="E66" s="68"/>
      <c r="F66" s="68"/>
      <c r="G66" s="68"/>
    </row>
    <row r="67" spans="1:7" s="33" customFormat="1" x14ac:dyDescent="0.2">
      <c r="A67" s="68"/>
      <c r="B67" s="68"/>
      <c r="C67" s="68"/>
      <c r="D67" s="68"/>
      <c r="E67" s="68"/>
      <c r="F67" s="68"/>
      <c r="G67" s="68"/>
    </row>
    <row r="68" spans="1:7" s="33" customFormat="1" x14ac:dyDescent="0.2">
      <c r="A68" s="68"/>
      <c r="B68" s="68"/>
      <c r="C68" s="68"/>
      <c r="D68" s="68"/>
      <c r="E68" s="68"/>
      <c r="F68" s="68"/>
      <c r="G68" s="68"/>
    </row>
    <row r="69" spans="1:7" s="33" customFormat="1" x14ac:dyDescent="0.2">
      <c r="A69" s="68"/>
      <c r="B69" s="68"/>
      <c r="C69" s="68"/>
      <c r="D69" s="68"/>
      <c r="E69" s="68"/>
      <c r="F69" s="68"/>
      <c r="G69" s="68"/>
    </row>
    <row r="70" spans="1:7" s="33" customFormat="1" x14ac:dyDescent="0.2">
      <c r="A70" s="68"/>
      <c r="B70" s="68"/>
      <c r="C70" s="68"/>
      <c r="D70" s="68"/>
      <c r="E70" s="68"/>
      <c r="F70" s="68"/>
      <c r="G70" s="68"/>
    </row>
    <row r="71" spans="1:7" s="33" customFormat="1" x14ac:dyDescent="0.2">
      <c r="A71" s="68"/>
      <c r="B71" s="68"/>
      <c r="C71" s="68"/>
      <c r="D71" s="68"/>
      <c r="E71" s="68"/>
      <c r="F71" s="68"/>
      <c r="G71" s="68"/>
    </row>
    <row r="72" spans="1:7" s="33" customFormat="1" x14ac:dyDescent="0.2">
      <c r="A72" s="68"/>
      <c r="B72" s="68"/>
      <c r="C72" s="68"/>
      <c r="D72" s="68"/>
      <c r="E72" s="68"/>
      <c r="F72" s="68"/>
      <c r="G72" s="68"/>
    </row>
    <row r="73" spans="1:7" s="33" customFormat="1" x14ac:dyDescent="0.2">
      <c r="A73" s="68"/>
      <c r="B73" s="68"/>
      <c r="C73" s="68"/>
      <c r="D73" s="68"/>
      <c r="E73" s="68"/>
      <c r="F73" s="68"/>
      <c r="G73" s="68"/>
    </row>
    <row r="74" spans="1:7" s="33" customFormat="1" x14ac:dyDescent="0.2">
      <c r="A74" s="68"/>
      <c r="B74" s="68"/>
      <c r="C74" s="68"/>
      <c r="D74" s="68"/>
      <c r="E74" s="68"/>
      <c r="F74" s="68"/>
      <c r="G74" s="68"/>
    </row>
    <row r="75" spans="1:7" s="33" customFormat="1" x14ac:dyDescent="0.2">
      <c r="A75" s="68"/>
      <c r="B75" s="68"/>
      <c r="C75" s="68"/>
      <c r="D75" s="68"/>
      <c r="E75" s="68"/>
      <c r="F75" s="68"/>
      <c r="G75" s="68"/>
    </row>
    <row r="76" spans="1:7" s="33" customFormat="1" x14ac:dyDescent="0.2">
      <c r="A76" s="68"/>
      <c r="B76" s="68"/>
      <c r="C76" s="68"/>
      <c r="D76" s="68"/>
      <c r="E76" s="68"/>
      <c r="F76" s="68"/>
      <c r="G76" s="68"/>
    </row>
    <row r="77" spans="1:7" s="33" customFormat="1" x14ac:dyDescent="0.2">
      <c r="A77" s="68"/>
      <c r="B77" s="68"/>
      <c r="C77" s="68"/>
      <c r="D77" s="68"/>
      <c r="E77" s="68"/>
      <c r="F77" s="68"/>
      <c r="G77" s="68"/>
    </row>
  </sheetData>
  <pageMargins left="0.7" right="0.7" top="1" bottom="0.75" header="0.25" footer="0.5"/>
  <pageSetup scale="86" orientation="portrait" r:id="rId1"/>
  <headerFooter>
    <oddHeader>&amp;R&amp;"Times New Roman,Bold"&amp;12Attachment to Response to KU KIUC-2 Question No. 2.15
Page &amp;P of &amp;N
Arbough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Q30"/>
  <sheetViews>
    <sheetView view="pageBreakPreview" topLeftCell="C1" zoomScale="75" zoomScaleNormal="95" workbookViewId="0">
      <selection activeCell="D25" sqref="D25"/>
    </sheetView>
  </sheetViews>
  <sheetFormatPr defaultColWidth="17.7109375" defaultRowHeight="15" x14ac:dyDescent="0.2"/>
  <cols>
    <col min="1" max="1" width="9.85546875" style="112" bestFit="1" customWidth="1"/>
    <col min="2" max="2" width="44.140625" style="111" customWidth="1"/>
    <col min="3" max="3" width="3" style="111" customWidth="1"/>
    <col min="4" max="15" width="17.7109375" style="111" customWidth="1"/>
    <col min="16" max="16384" width="17.7109375" style="111"/>
  </cols>
  <sheetData>
    <row r="1" spans="1:17" ht="15.75" x14ac:dyDescent="0.25">
      <c r="A1" s="84" t="s">
        <v>89</v>
      </c>
    </row>
    <row r="2" spans="1:17" ht="15.75" x14ac:dyDescent="0.25">
      <c r="A2" s="45" t="s">
        <v>105</v>
      </c>
    </row>
    <row r="3" spans="1:17" ht="15.75" x14ac:dyDescent="0.25">
      <c r="A3" s="45">
        <v>2012</v>
      </c>
    </row>
    <row r="4" spans="1:17" x14ac:dyDescent="0.2">
      <c r="N4" s="85"/>
    </row>
    <row r="5" spans="1:17" s="46" customFormat="1" ht="15.75" x14ac:dyDescent="0.25">
      <c r="A5" s="86"/>
      <c r="D5" s="64" t="s">
        <v>107</v>
      </c>
      <c r="E5" s="64" t="s">
        <v>108</v>
      </c>
      <c r="F5" s="64" t="s">
        <v>109</v>
      </c>
      <c r="G5" s="64" t="s">
        <v>110</v>
      </c>
      <c r="H5" s="64" t="s">
        <v>111</v>
      </c>
      <c r="I5" s="64" t="s">
        <v>112</v>
      </c>
      <c r="J5" s="65" t="s">
        <v>113</v>
      </c>
      <c r="K5" s="64" t="s">
        <v>114</v>
      </c>
      <c r="L5" s="64" t="s">
        <v>115</v>
      </c>
      <c r="M5" s="64" t="s">
        <v>116</v>
      </c>
      <c r="N5" s="64" t="s">
        <v>117</v>
      </c>
      <c r="O5" s="64" t="s">
        <v>118</v>
      </c>
      <c r="P5" s="46" t="s">
        <v>40</v>
      </c>
      <c r="Q5" s="111"/>
    </row>
    <row r="6" spans="1:17" ht="16.5" customHeight="1" x14ac:dyDescent="0.2"/>
    <row r="7" spans="1:17" s="114" customFormat="1" ht="15" customHeight="1" x14ac:dyDescent="0.2">
      <c r="A7" s="113">
        <v>145010</v>
      </c>
      <c r="B7" s="114" t="s">
        <v>121</v>
      </c>
      <c r="D7" s="114">
        <f>469840.51+1487700</f>
        <v>1957540.51</v>
      </c>
      <c r="E7" s="114">
        <f>439528.22+1487700</f>
        <v>1927228.22</v>
      </c>
      <c r="F7" s="114">
        <v>0</v>
      </c>
      <c r="P7" s="114">
        <f>SUM(D7:O7)</f>
        <v>3884768.73</v>
      </c>
    </row>
    <row r="8" spans="1:17" s="114" customFormat="1" ht="15" customHeight="1" x14ac:dyDescent="0.2">
      <c r="A8" s="113"/>
    </row>
    <row r="9" spans="1:17" s="114" customFormat="1" ht="15" customHeight="1" x14ac:dyDescent="0.2">
      <c r="A9" s="113">
        <v>233013</v>
      </c>
      <c r="B9" s="114" t="s">
        <v>122</v>
      </c>
      <c r="D9" s="114">
        <v>-67360.39</v>
      </c>
      <c r="E9" s="114">
        <v>-67062.5</v>
      </c>
      <c r="F9" s="114">
        <v>-71687.5</v>
      </c>
      <c r="P9" s="114">
        <f>SUM(D9:O9)</f>
        <v>-206110.39</v>
      </c>
    </row>
    <row r="10" spans="1:17" s="114" customFormat="1" ht="15" customHeight="1" x14ac:dyDescent="0.2">
      <c r="A10" s="113"/>
    </row>
    <row r="11" spans="1:17" s="114" customFormat="1" ht="15" customHeight="1" x14ac:dyDescent="0.2">
      <c r="A11" s="113">
        <v>233019</v>
      </c>
      <c r="B11" s="114" t="s">
        <v>123</v>
      </c>
      <c r="D11" s="114">
        <v>-64948.81</v>
      </c>
      <c r="E11" s="114">
        <v>-64661.59</v>
      </c>
      <c r="F11" s="114">
        <v>-69121.009999999995</v>
      </c>
      <c r="P11" s="114">
        <f>SUM(D11:O11)</f>
        <v>-198731.40999999997</v>
      </c>
    </row>
    <row r="13" spans="1:17" ht="15" customHeight="1" x14ac:dyDescent="0.2">
      <c r="A13" s="115" t="s">
        <v>124</v>
      </c>
    </row>
    <row r="14" spans="1:17" x14ac:dyDescent="0.2">
      <c r="B14" s="116" t="s">
        <v>125</v>
      </c>
      <c r="D14" s="111">
        <v>0</v>
      </c>
      <c r="E14" s="111">
        <v>0</v>
      </c>
      <c r="F14" s="111">
        <v>0</v>
      </c>
      <c r="P14" s="114">
        <f t="shared" ref="P14:P17" si="0">SUM(D14:O14)</f>
        <v>0</v>
      </c>
    </row>
    <row r="15" spans="1:17" x14ac:dyDescent="0.2">
      <c r="B15" s="116" t="s">
        <v>126</v>
      </c>
      <c r="D15" s="111">
        <v>55.56</v>
      </c>
      <c r="E15" s="111">
        <v>0</v>
      </c>
      <c r="F15" s="111">
        <v>0</v>
      </c>
      <c r="P15" s="114">
        <f t="shared" si="0"/>
        <v>55.56</v>
      </c>
    </row>
    <row r="16" spans="1:17" x14ac:dyDescent="0.2">
      <c r="B16" s="116" t="s">
        <v>127</v>
      </c>
      <c r="D16" s="111">
        <v>333378.64</v>
      </c>
      <c r="E16" s="111">
        <v>275151.78000000003</v>
      </c>
      <c r="F16" s="111">
        <v>519709.05</v>
      </c>
      <c r="P16" s="114">
        <f t="shared" si="0"/>
        <v>1128239.47</v>
      </c>
    </row>
    <row r="17" spans="1:16" x14ac:dyDescent="0.2">
      <c r="B17" s="116" t="s">
        <v>129</v>
      </c>
      <c r="D17" s="111">
        <v>25649.01</v>
      </c>
      <c r="E17" s="111">
        <v>20643.560000000001</v>
      </c>
      <c r="F17" s="111">
        <v>21234.240000000002</v>
      </c>
      <c r="P17" s="114">
        <f t="shared" si="0"/>
        <v>67526.81</v>
      </c>
    </row>
    <row r="19" spans="1:16" ht="16.5" thickBot="1" x14ac:dyDescent="0.3">
      <c r="B19" s="87" t="s">
        <v>133</v>
      </c>
      <c r="D19" s="117">
        <f t="shared" ref="D19:O19" si="1">SUM(D6:D18)</f>
        <v>2184314.52</v>
      </c>
      <c r="E19" s="117">
        <f t="shared" si="1"/>
        <v>2091299.47</v>
      </c>
      <c r="F19" s="117">
        <f t="shared" si="1"/>
        <v>400134.77999999997</v>
      </c>
      <c r="G19" s="117">
        <f t="shared" si="1"/>
        <v>0</v>
      </c>
      <c r="H19" s="117">
        <f t="shared" si="1"/>
        <v>0</v>
      </c>
      <c r="I19" s="117">
        <f t="shared" si="1"/>
        <v>0</v>
      </c>
      <c r="J19" s="117">
        <f t="shared" si="1"/>
        <v>0</v>
      </c>
      <c r="K19" s="117">
        <f t="shared" si="1"/>
        <v>0</v>
      </c>
      <c r="L19" s="117">
        <f t="shared" si="1"/>
        <v>0</v>
      </c>
      <c r="M19" s="117">
        <f t="shared" si="1"/>
        <v>0</v>
      </c>
      <c r="N19" s="117">
        <f t="shared" si="1"/>
        <v>0</v>
      </c>
      <c r="O19" s="117">
        <f t="shared" si="1"/>
        <v>0</v>
      </c>
      <c r="P19" s="111">
        <f>SUM(P7:P18)</f>
        <v>4675748.7699999996</v>
      </c>
    </row>
    <row r="20" spans="1:16" ht="16.5" thickTop="1" x14ac:dyDescent="0.25">
      <c r="B20" s="8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6" ht="15.75" x14ac:dyDescent="0.25">
      <c r="B21" s="87"/>
    </row>
    <row r="22" spans="1:16" ht="16.5" thickBot="1" x14ac:dyDescent="0.3">
      <c r="B22" s="87" t="s">
        <v>134</v>
      </c>
      <c r="D22" s="119">
        <f>+D19</f>
        <v>2184314.52</v>
      </c>
      <c r="E22" s="119">
        <f t="shared" ref="E22:O22" si="2">+E19+D22</f>
        <v>4275613.99</v>
      </c>
      <c r="F22" s="119">
        <f t="shared" si="2"/>
        <v>4675748.7700000005</v>
      </c>
      <c r="G22" s="119">
        <f t="shared" si="2"/>
        <v>4675748.7700000005</v>
      </c>
      <c r="H22" s="119">
        <f t="shared" si="2"/>
        <v>4675748.7700000005</v>
      </c>
      <c r="I22" s="119">
        <f t="shared" si="2"/>
        <v>4675748.7700000005</v>
      </c>
      <c r="J22" s="119">
        <f t="shared" si="2"/>
        <v>4675748.7700000005</v>
      </c>
      <c r="K22" s="119">
        <f t="shared" si="2"/>
        <v>4675748.7700000005</v>
      </c>
      <c r="L22" s="119">
        <f t="shared" si="2"/>
        <v>4675748.7700000005</v>
      </c>
      <c r="M22" s="119">
        <f t="shared" si="2"/>
        <v>4675748.7700000005</v>
      </c>
      <c r="N22" s="119">
        <f t="shared" si="2"/>
        <v>4675748.7700000005</v>
      </c>
      <c r="O22" s="119">
        <f t="shared" si="2"/>
        <v>4675748.7700000005</v>
      </c>
    </row>
    <row r="23" spans="1:16" ht="15.75" thickTop="1" x14ac:dyDescent="0.2"/>
    <row r="24" spans="1:16" x14ac:dyDescent="0.2">
      <c r="A24" s="115" t="s">
        <v>135</v>
      </c>
      <c r="D24" s="111">
        <v>2184314.52</v>
      </c>
      <c r="E24" s="111">
        <v>4275613.99</v>
      </c>
      <c r="F24" s="111">
        <v>4675748.7699999996</v>
      </c>
    </row>
    <row r="25" spans="1:16" x14ac:dyDescent="0.2">
      <c r="B25" s="111" t="s">
        <v>36</v>
      </c>
      <c r="D25" s="111">
        <f t="shared" ref="D25:O25" si="3">+D22-D24</f>
        <v>0</v>
      </c>
      <c r="E25" s="111">
        <f t="shared" si="3"/>
        <v>0</v>
      </c>
      <c r="F25" s="111">
        <f t="shared" si="3"/>
        <v>0</v>
      </c>
      <c r="G25" s="111">
        <f t="shared" si="3"/>
        <v>4675748.7700000005</v>
      </c>
      <c r="H25" s="111">
        <f t="shared" si="3"/>
        <v>4675748.7700000005</v>
      </c>
      <c r="I25" s="111">
        <f t="shared" si="3"/>
        <v>4675748.7700000005</v>
      </c>
      <c r="J25" s="111">
        <f t="shared" si="3"/>
        <v>4675748.7700000005</v>
      </c>
      <c r="K25" s="111">
        <f t="shared" si="3"/>
        <v>4675748.7700000005</v>
      </c>
      <c r="L25" s="111">
        <f t="shared" si="3"/>
        <v>4675748.7700000005</v>
      </c>
      <c r="M25" s="111">
        <f t="shared" si="3"/>
        <v>4675748.7700000005</v>
      </c>
      <c r="N25" s="111">
        <f t="shared" si="3"/>
        <v>4675748.7700000005</v>
      </c>
      <c r="O25" s="111">
        <f t="shared" si="3"/>
        <v>4675748.7700000005</v>
      </c>
    </row>
    <row r="28" spans="1:16" x14ac:dyDescent="0.2">
      <c r="B28" s="120" t="s">
        <v>218</v>
      </c>
      <c r="D28" s="121">
        <v>5.0000000000000001E-3</v>
      </c>
      <c r="E28" s="121">
        <v>4.3E-3</v>
      </c>
      <c r="F28" s="121">
        <v>4.1000000000000003E-3</v>
      </c>
      <c r="G28" s="121"/>
      <c r="H28" s="121"/>
      <c r="I28" s="121"/>
      <c r="J28" s="121"/>
      <c r="K28" s="121"/>
      <c r="L28" s="121"/>
      <c r="M28" s="121"/>
      <c r="N28" s="121"/>
      <c r="O28" s="121"/>
    </row>
    <row r="29" spans="1:16" x14ac:dyDescent="0.2">
      <c r="B29" s="120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</row>
    <row r="30" spans="1:16" x14ac:dyDescent="0.2">
      <c r="A30" s="88" t="s">
        <v>137</v>
      </c>
    </row>
  </sheetData>
  <pageMargins left="0.7" right="0.7" top="0.75" bottom="0.75" header="0.5" footer="0.5"/>
  <pageSetup scale="43" orientation="landscape" r:id="rId1"/>
  <headerFooter>
    <oddFooter>&amp;R&amp;"Times New Roman,Bold"&amp;12Attachment to Response to KU KIUC-2 Question No. 2.15
Page &amp;P of &amp;N
Arbough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33"/>
  <sheetViews>
    <sheetView view="pageBreakPreview" zoomScaleNormal="100" zoomScaleSheetLayoutView="100" workbookViewId="0">
      <pane xSplit="2" ySplit="5" topLeftCell="L6" activePane="bottomRight" state="frozenSplit"/>
      <selection activeCell="D25" sqref="D25"/>
      <selection pane="topRight" activeCell="D25" sqref="D25"/>
      <selection pane="bottomLeft" activeCell="D25" sqref="D25"/>
      <selection pane="bottomRight" activeCell="D25" sqref="D25"/>
    </sheetView>
  </sheetViews>
  <sheetFormatPr defaultColWidth="9.140625" defaultRowHeight="12.75" x14ac:dyDescent="0.2"/>
  <cols>
    <col min="1" max="1" width="2" style="68" customWidth="1"/>
    <col min="2" max="2" width="45.7109375" style="68" customWidth="1"/>
    <col min="3" max="4" width="12.85546875" style="68" bestFit="1" customWidth="1"/>
    <col min="5" max="10" width="14" style="68" bestFit="1" customWidth="1"/>
    <col min="11" max="14" width="14.7109375" style="68" customWidth="1"/>
    <col min="15" max="15" width="3.85546875" style="68" customWidth="1"/>
    <col min="16" max="16" width="20" style="68" customWidth="1"/>
    <col min="17" max="16384" width="9.140625" style="68"/>
  </cols>
  <sheetData>
    <row r="1" spans="1:16" ht="15.75" x14ac:dyDescent="0.25">
      <c r="A1" s="89" t="s">
        <v>56</v>
      </c>
    </row>
    <row r="2" spans="1:16" ht="15.75" x14ac:dyDescent="0.25">
      <c r="A2" s="89" t="s">
        <v>138</v>
      </c>
    </row>
    <row r="3" spans="1:16" s="105" customFormat="1" ht="15.75" x14ac:dyDescent="0.2">
      <c r="A3" s="90" t="s">
        <v>219</v>
      </c>
      <c r="M3" s="48"/>
    </row>
    <row r="4" spans="1:16" s="105" customFormat="1" x14ac:dyDescent="0.2">
      <c r="A4" s="91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 t="s">
        <v>40</v>
      </c>
    </row>
    <row r="5" spans="1:16" x14ac:dyDescent="0.2">
      <c r="B5" s="68" t="s">
        <v>141</v>
      </c>
      <c r="C5" s="49">
        <v>40939</v>
      </c>
      <c r="D5" s="49">
        <v>40967</v>
      </c>
      <c r="E5" s="49">
        <v>40995</v>
      </c>
      <c r="F5" s="49">
        <v>41023</v>
      </c>
      <c r="G5" s="49">
        <v>41051</v>
      </c>
      <c r="H5" s="49">
        <v>41079</v>
      </c>
      <c r="I5" s="49">
        <v>41107</v>
      </c>
      <c r="J5" s="49">
        <v>41135</v>
      </c>
      <c r="K5" s="49">
        <v>41163</v>
      </c>
      <c r="L5" s="49">
        <v>41191</v>
      </c>
      <c r="M5" s="49">
        <v>41219</v>
      </c>
      <c r="N5" s="49">
        <v>41247</v>
      </c>
      <c r="O5" s="92"/>
      <c r="P5" s="92" t="s">
        <v>142</v>
      </c>
    </row>
    <row r="6" spans="1:16" x14ac:dyDescent="0.2">
      <c r="A6" s="93" t="s">
        <v>143</v>
      </c>
    </row>
    <row r="7" spans="1:16" x14ac:dyDescent="0.2">
      <c r="B7" s="68" t="s">
        <v>208</v>
      </c>
      <c r="C7" s="52"/>
      <c r="D7" s="52">
        <v>6862.92</v>
      </c>
      <c r="E7" s="52">
        <v>0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>
        <f>SUM(C7:O7)</f>
        <v>6862.92</v>
      </c>
    </row>
    <row r="8" spans="1:16" x14ac:dyDescent="0.2">
      <c r="B8" s="106" t="s">
        <v>209</v>
      </c>
      <c r="C8" s="52">
        <v>39583.33</v>
      </c>
      <c r="D8" s="52">
        <v>35666.67</v>
      </c>
      <c r="E8" s="52">
        <v>38750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>
        <f>SUM(C8:O8)</f>
        <v>114000</v>
      </c>
    </row>
    <row r="9" spans="1:16" s="94" customFormat="1" x14ac:dyDescent="0.2">
      <c r="B9" s="95" t="s">
        <v>146</v>
      </c>
      <c r="C9" s="50">
        <f t="shared" ref="C9:N9" si="0">SUM(C7:C8)</f>
        <v>39583.33</v>
      </c>
      <c r="D9" s="50">
        <f t="shared" si="0"/>
        <v>42529.59</v>
      </c>
      <c r="E9" s="50">
        <f t="shared" si="0"/>
        <v>38750</v>
      </c>
      <c r="F9" s="50">
        <f t="shared" si="0"/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  <c r="M9" s="50">
        <f t="shared" si="0"/>
        <v>0</v>
      </c>
      <c r="N9" s="50">
        <f t="shared" si="0"/>
        <v>0</v>
      </c>
      <c r="O9" s="96"/>
      <c r="P9" s="97"/>
    </row>
    <row r="10" spans="1:16" x14ac:dyDescent="0.2"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x14ac:dyDescent="0.2">
      <c r="A11" s="93" t="s">
        <v>147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x14ac:dyDescent="0.2">
      <c r="A12" s="9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x14ac:dyDescent="0.2"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52"/>
      <c r="P13" s="98"/>
    </row>
    <row r="14" spans="1:16" x14ac:dyDescent="0.2">
      <c r="B14" s="95" t="s">
        <v>150</v>
      </c>
      <c r="C14" s="51">
        <f t="shared" ref="C14:N14" si="1">SUM(C12:C13)</f>
        <v>0</v>
      </c>
      <c r="D14" s="51">
        <f t="shared" si="1"/>
        <v>0</v>
      </c>
      <c r="E14" s="51">
        <f t="shared" si="1"/>
        <v>0</v>
      </c>
      <c r="F14" s="51">
        <f t="shared" si="1"/>
        <v>0</v>
      </c>
      <c r="G14" s="51">
        <f t="shared" si="1"/>
        <v>0</v>
      </c>
      <c r="H14" s="51">
        <f t="shared" si="1"/>
        <v>0</v>
      </c>
      <c r="I14" s="51">
        <f t="shared" si="1"/>
        <v>0</v>
      </c>
      <c r="J14" s="51">
        <f t="shared" si="1"/>
        <v>0</v>
      </c>
      <c r="K14" s="51">
        <f t="shared" si="1"/>
        <v>0</v>
      </c>
      <c r="L14" s="51">
        <f t="shared" si="1"/>
        <v>0</v>
      </c>
      <c r="M14" s="51">
        <f t="shared" si="1"/>
        <v>0</v>
      </c>
      <c r="N14" s="51">
        <f t="shared" si="1"/>
        <v>0</v>
      </c>
      <c r="O14" s="52"/>
      <c r="P14" s="99"/>
    </row>
    <row r="15" spans="1:16" x14ac:dyDescent="0.2"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s="94" customFormat="1" ht="13.5" thickBot="1" x14ac:dyDescent="0.25">
      <c r="B16" s="93" t="s">
        <v>151</v>
      </c>
      <c r="C16" s="53">
        <f t="shared" ref="C16:N16" si="2">+C14+C9</f>
        <v>39583.33</v>
      </c>
      <c r="D16" s="53">
        <f t="shared" si="2"/>
        <v>42529.59</v>
      </c>
      <c r="E16" s="53">
        <f t="shared" si="2"/>
        <v>38750</v>
      </c>
      <c r="F16" s="53">
        <f t="shared" si="2"/>
        <v>0</v>
      </c>
      <c r="G16" s="53">
        <f t="shared" si="2"/>
        <v>0</v>
      </c>
      <c r="H16" s="53">
        <f t="shared" si="2"/>
        <v>0</v>
      </c>
      <c r="I16" s="53">
        <f t="shared" si="2"/>
        <v>0</v>
      </c>
      <c r="J16" s="53">
        <f t="shared" si="2"/>
        <v>0</v>
      </c>
      <c r="K16" s="53">
        <f t="shared" si="2"/>
        <v>0</v>
      </c>
      <c r="L16" s="53">
        <f t="shared" si="2"/>
        <v>0</v>
      </c>
      <c r="M16" s="53">
        <f t="shared" si="2"/>
        <v>0</v>
      </c>
      <c r="N16" s="53">
        <f t="shared" si="2"/>
        <v>0</v>
      </c>
      <c r="P16" s="53">
        <f>+P13+P9</f>
        <v>0</v>
      </c>
    </row>
    <row r="17" spans="1:16" ht="13.5" thickTop="1" x14ac:dyDescent="0.2"/>
    <row r="20" spans="1:16" x14ac:dyDescent="0.2">
      <c r="A20" s="100" t="s">
        <v>152</v>
      </c>
    </row>
    <row r="21" spans="1:16" x14ac:dyDescent="0.2">
      <c r="B21" s="68" t="s">
        <v>153</v>
      </c>
      <c r="C21" s="52">
        <f>+C16</f>
        <v>39583.33</v>
      </c>
      <c r="D21" s="52">
        <f t="shared" ref="D21:L21" si="3">+D16+C21</f>
        <v>82112.92</v>
      </c>
      <c r="E21" s="52">
        <f t="shared" si="3"/>
        <v>120862.92</v>
      </c>
      <c r="F21" s="52">
        <f t="shared" si="3"/>
        <v>120862.92</v>
      </c>
      <c r="G21" s="52">
        <f t="shared" si="3"/>
        <v>120862.92</v>
      </c>
      <c r="H21" s="52">
        <f t="shared" si="3"/>
        <v>120862.92</v>
      </c>
      <c r="I21" s="52">
        <f t="shared" si="3"/>
        <v>120862.92</v>
      </c>
      <c r="J21" s="52">
        <f t="shared" si="3"/>
        <v>120862.92</v>
      </c>
      <c r="K21" s="52">
        <f t="shared" si="3"/>
        <v>120862.92</v>
      </c>
      <c r="L21" s="52">
        <f t="shared" si="3"/>
        <v>120862.92</v>
      </c>
      <c r="M21" s="52">
        <f>+M16+L21</f>
        <v>120862.92</v>
      </c>
      <c r="N21" s="52">
        <f>+N16+M21</f>
        <v>120862.92</v>
      </c>
      <c r="P21" s="52">
        <f>+N21</f>
        <v>120862.92</v>
      </c>
    </row>
    <row r="22" spans="1:16" x14ac:dyDescent="0.2">
      <c r="A22" s="94"/>
      <c r="B22" s="94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P22" s="96"/>
    </row>
    <row r="23" spans="1:16" x14ac:dyDescent="0.2">
      <c r="A23" s="94"/>
      <c r="B23" s="68" t="s">
        <v>154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P23" s="96"/>
    </row>
    <row r="24" spans="1:16" s="105" customFormat="1" ht="25.5" x14ac:dyDescent="0.2">
      <c r="B24" s="101" t="s">
        <v>156</v>
      </c>
      <c r="C24" s="107">
        <v>39583.33</v>
      </c>
      <c r="D24" s="107">
        <v>82112.92</v>
      </c>
      <c r="E24" s="107">
        <v>120862.92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</row>
    <row r="25" spans="1:16" s="94" customFormat="1" x14ac:dyDescent="0.2">
      <c r="B25" s="93"/>
      <c r="C25" s="54">
        <f>+C24</f>
        <v>39583.33</v>
      </c>
      <c r="D25" s="54">
        <f t="shared" ref="D25:N25" si="4">+D24</f>
        <v>82112.92</v>
      </c>
      <c r="E25" s="54">
        <f t="shared" si="4"/>
        <v>120862.92</v>
      </c>
      <c r="F25" s="54">
        <f t="shared" si="4"/>
        <v>0</v>
      </c>
      <c r="G25" s="54">
        <f t="shared" si="4"/>
        <v>0</v>
      </c>
      <c r="H25" s="54">
        <f t="shared" si="4"/>
        <v>0</v>
      </c>
      <c r="I25" s="54">
        <f t="shared" si="4"/>
        <v>0</v>
      </c>
      <c r="J25" s="54">
        <f t="shared" si="4"/>
        <v>0</v>
      </c>
      <c r="K25" s="54">
        <f t="shared" si="4"/>
        <v>0</v>
      </c>
      <c r="L25" s="54">
        <f t="shared" si="4"/>
        <v>0</v>
      </c>
      <c r="M25" s="54">
        <f t="shared" si="4"/>
        <v>0</v>
      </c>
      <c r="N25" s="54">
        <f t="shared" si="4"/>
        <v>0</v>
      </c>
      <c r="O25" s="102"/>
      <c r="P25" s="102"/>
    </row>
    <row r="26" spans="1:16" x14ac:dyDescent="0.2">
      <c r="B26" s="94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9"/>
      <c r="P26" s="19"/>
    </row>
    <row r="27" spans="1:16" ht="13.5" thickBot="1" x14ac:dyDescent="0.25">
      <c r="B27" s="68" t="s">
        <v>36</v>
      </c>
      <c r="C27" s="109">
        <f t="shared" ref="C27:N27" si="5">+C21-C25</f>
        <v>0</v>
      </c>
      <c r="D27" s="109">
        <f t="shared" si="5"/>
        <v>0</v>
      </c>
      <c r="E27" s="109">
        <f t="shared" si="5"/>
        <v>0</v>
      </c>
      <c r="F27" s="109">
        <f t="shared" si="5"/>
        <v>120862.92</v>
      </c>
      <c r="G27" s="109">
        <f t="shared" si="5"/>
        <v>120862.92</v>
      </c>
      <c r="H27" s="109">
        <f t="shared" si="5"/>
        <v>120862.92</v>
      </c>
      <c r="I27" s="109">
        <f t="shared" si="5"/>
        <v>120862.92</v>
      </c>
      <c r="J27" s="109">
        <f t="shared" si="5"/>
        <v>120862.92</v>
      </c>
      <c r="K27" s="109">
        <f t="shared" si="5"/>
        <v>120862.92</v>
      </c>
      <c r="L27" s="109">
        <f t="shared" si="5"/>
        <v>120862.92</v>
      </c>
      <c r="M27" s="109">
        <f t="shared" si="5"/>
        <v>120862.92</v>
      </c>
      <c r="N27" s="109">
        <f t="shared" si="5"/>
        <v>120862.92</v>
      </c>
      <c r="O27" s="19"/>
      <c r="P27" s="19"/>
    </row>
    <row r="28" spans="1:16" ht="13.5" thickTop="1" x14ac:dyDescent="0.2"/>
    <row r="29" spans="1:16" x14ac:dyDescent="0.2">
      <c r="B29" s="100" t="s">
        <v>157</v>
      </c>
    </row>
    <row r="30" spans="1:16" s="103" customFormat="1" x14ac:dyDescent="0.2">
      <c r="B30" s="103" t="s">
        <v>210</v>
      </c>
      <c r="C30" s="103">
        <v>-39583.33</v>
      </c>
      <c r="D30" s="103">
        <v>-82112.92</v>
      </c>
      <c r="E30" s="103">
        <v>-120862.92</v>
      </c>
    </row>
    <row r="31" spans="1:16" s="103" customFormat="1" x14ac:dyDescent="0.2">
      <c r="B31" s="104" t="s">
        <v>159</v>
      </c>
      <c r="C31" s="103">
        <f t="shared" ref="C31:N31" si="6">-C25</f>
        <v>-39583.33</v>
      </c>
      <c r="D31" s="103">
        <f t="shared" si="6"/>
        <v>-82112.92</v>
      </c>
      <c r="E31" s="103">
        <f t="shared" si="6"/>
        <v>-120862.92</v>
      </c>
      <c r="F31" s="103">
        <f t="shared" si="6"/>
        <v>0</v>
      </c>
      <c r="G31" s="103">
        <f t="shared" si="6"/>
        <v>0</v>
      </c>
      <c r="H31" s="103">
        <f t="shared" si="6"/>
        <v>0</v>
      </c>
      <c r="I31" s="103">
        <f t="shared" si="6"/>
        <v>0</v>
      </c>
      <c r="J31" s="103">
        <f t="shared" si="6"/>
        <v>0</v>
      </c>
      <c r="K31" s="103">
        <f t="shared" si="6"/>
        <v>0</v>
      </c>
      <c r="L31" s="103">
        <f t="shared" si="6"/>
        <v>0</v>
      </c>
      <c r="M31" s="103">
        <f t="shared" si="6"/>
        <v>0</v>
      </c>
      <c r="N31" s="103">
        <f t="shared" si="6"/>
        <v>0</v>
      </c>
    </row>
    <row r="32" spans="1:16" s="103" customFormat="1" ht="13.5" thickBot="1" x14ac:dyDescent="0.25">
      <c r="B32" s="68" t="s">
        <v>36</v>
      </c>
      <c r="C32" s="110">
        <f t="shared" ref="C32:N32" si="7">+C30-C31</f>
        <v>0</v>
      </c>
      <c r="D32" s="110">
        <f t="shared" si="7"/>
        <v>0</v>
      </c>
      <c r="E32" s="110">
        <f t="shared" si="7"/>
        <v>0</v>
      </c>
      <c r="F32" s="110">
        <f t="shared" si="7"/>
        <v>0</v>
      </c>
      <c r="G32" s="110">
        <f t="shared" si="7"/>
        <v>0</v>
      </c>
      <c r="H32" s="110">
        <f t="shared" si="7"/>
        <v>0</v>
      </c>
      <c r="I32" s="110">
        <f t="shared" si="7"/>
        <v>0</v>
      </c>
      <c r="J32" s="110">
        <f t="shared" si="7"/>
        <v>0</v>
      </c>
      <c r="K32" s="110">
        <f t="shared" si="7"/>
        <v>0</v>
      </c>
      <c r="L32" s="110">
        <f t="shared" si="7"/>
        <v>0</v>
      </c>
      <c r="M32" s="110">
        <f t="shared" si="7"/>
        <v>0</v>
      </c>
      <c r="N32" s="110">
        <f t="shared" si="7"/>
        <v>0</v>
      </c>
    </row>
    <row r="33" ht="13.5" thickTop="1" x14ac:dyDescent="0.2"/>
  </sheetData>
  <pageMargins left="0.7" right="0.7" top="0.75" bottom="0.75" header="0.5" footer="0.5"/>
  <pageSetup scale="50" orientation="landscape" r:id="rId1"/>
  <headerFooter>
    <oddFooter>&amp;R&amp;"Times New Roman,Bold"&amp;12Attachment to Response to KU KIUC-2 Question No. 2.15
Page &amp;P of &amp;N
Arbough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B69"/>
  <sheetViews>
    <sheetView workbookViewId="0">
      <selection activeCell="D27" sqref="D27"/>
    </sheetView>
  </sheetViews>
  <sheetFormatPr defaultColWidth="18.7109375" defaultRowHeight="12.75" x14ac:dyDescent="0.2"/>
  <cols>
    <col min="1" max="1" width="45.28515625" style="170" customWidth="1"/>
    <col min="2" max="16384" width="18.7109375" style="170"/>
  </cols>
  <sheetData>
    <row r="1" spans="1:2" ht="27" x14ac:dyDescent="0.35">
      <c r="A1" s="145" t="s">
        <v>46</v>
      </c>
      <c r="B1" s="124"/>
    </row>
    <row r="2" spans="1:2" ht="14.25" x14ac:dyDescent="0.2">
      <c r="A2" s="171" t="s">
        <v>47</v>
      </c>
      <c r="B2" s="126"/>
    </row>
    <row r="3" spans="1:2" ht="27" customHeight="1" x14ac:dyDescent="0.2">
      <c r="A3" s="126" t="s">
        <v>48</v>
      </c>
      <c r="B3" s="126"/>
    </row>
    <row r="4" spans="1:2" ht="14.25" customHeight="1" x14ac:dyDescent="0.2">
      <c r="A4" s="126" t="s">
        <v>49</v>
      </c>
      <c r="B4" s="126"/>
    </row>
    <row r="5" spans="1:2" ht="14.25" customHeight="1" x14ac:dyDescent="0.2">
      <c r="A5" s="126" t="s">
        <v>50</v>
      </c>
      <c r="B5" s="126"/>
    </row>
    <row r="6" spans="1:2" ht="14.25" customHeight="1" x14ac:dyDescent="0.25">
      <c r="A6" s="127"/>
      <c r="B6" s="129" t="s">
        <v>52</v>
      </c>
    </row>
    <row r="7" spans="1:2" ht="14.25" customHeight="1" x14ac:dyDescent="0.25">
      <c r="A7" s="133"/>
      <c r="B7" s="135" t="s">
        <v>51</v>
      </c>
    </row>
    <row r="8" spans="1:2" ht="15" customHeight="1" x14ac:dyDescent="0.25">
      <c r="A8" s="136"/>
      <c r="B8" s="138"/>
    </row>
    <row r="9" spans="1:2" ht="15" customHeight="1" x14ac:dyDescent="0.25">
      <c r="A9" s="139" t="s">
        <v>0</v>
      </c>
      <c r="B9" s="141"/>
    </row>
    <row r="10" spans="1:2" ht="15" customHeight="1" x14ac:dyDescent="0.25">
      <c r="A10" s="139" t="s">
        <v>1</v>
      </c>
      <c r="B10" s="141">
        <v>0</v>
      </c>
    </row>
    <row r="11" spans="1:2" ht="15" customHeight="1" x14ac:dyDescent="0.25">
      <c r="A11" s="139" t="s">
        <v>2</v>
      </c>
      <c r="B11" s="141">
        <v>0</v>
      </c>
    </row>
    <row r="12" spans="1:2" ht="15" customHeight="1" x14ac:dyDescent="0.25">
      <c r="A12" s="139" t="s">
        <v>3</v>
      </c>
      <c r="B12" s="141">
        <v>0</v>
      </c>
    </row>
    <row r="13" spans="1:2" ht="15" customHeight="1" x14ac:dyDescent="0.25">
      <c r="A13" s="139"/>
      <c r="B13" s="141"/>
    </row>
    <row r="14" spans="1:2" ht="15" customHeight="1" x14ac:dyDescent="0.25">
      <c r="A14" s="139" t="s">
        <v>4</v>
      </c>
      <c r="B14" s="141">
        <v>0</v>
      </c>
    </row>
    <row r="15" spans="1:2" ht="15" customHeight="1" x14ac:dyDescent="0.25">
      <c r="A15" s="139"/>
      <c r="B15" s="141"/>
    </row>
    <row r="16" spans="1:2" ht="15" customHeight="1" x14ac:dyDescent="0.25">
      <c r="A16" s="139" t="s">
        <v>5</v>
      </c>
      <c r="B16" s="141"/>
    </row>
    <row r="17" spans="1:2" ht="15" customHeight="1" x14ac:dyDescent="0.25">
      <c r="A17" s="139" t="s">
        <v>6</v>
      </c>
      <c r="B17" s="141">
        <v>0</v>
      </c>
    </row>
    <row r="18" spans="1:2" ht="15" customHeight="1" x14ac:dyDescent="0.25">
      <c r="A18" s="139" t="s">
        <v>7</v>
      </c>
      <c r="B18" s="141">
        <v>0</v>
      </c>
    </row>
    <row r="19" spans="1:2" ht="15" customHeight="1" x14ac:dyDescent="0.25">
      <c r="A19" s="139" t="s">
        <v>8</v>
      </c>
      <c r="B19" s="141">
        <v>0</v>
      </c>
    </row>
    <row r="20" spans="1:2" ht="15" customHeight="1" x14ac:dyDescent="0.25">
      <c r="A20" s="139"/>
      <c r="B20" s="141"/>
    </row>
    <row r="21" spans="1:2" ht="15" customHeight="1" x14ac:dyDescent="0.25">
      <c r="A21" s="139" t="s">
        <v>9</v>
      </c>
      <c r="B21" s="141">
        <v>0</v>
      </c>
    </row>
    <row r="22" spans="1:2" ht="15" customHeight="1" x14ac:dyDescent="0.25">
      <c r="A22" s="139"/>
      <c r="B22" s="141"/>
    </row>
    <row r="23" spans="1:2" ht="15" customHeight="1" x14ac:dyDescent="0.25">
      <c r="A23" s="139" t="s">
        <v>10</v>
      </c>
      <c r="B23" s="141">
        <v>0</v>
      </c>
    </row>
    <row r="24" spans="1:2" ht="15" customHeight="1" x14ac:dyDescent="0.25">
      <c r="A24" s="139"/>
      <c r="B24" s="141"/>
    </row>
    <row r="25" spans="1:2" ht="15" customHeight="1" x14ac:dyDescent="0.25">
      <c r="A25" s="139" t="s">
        <v>11</v>
      </c>
      <c r="B25" s="141"/>
    </row>
    <row r="26" spans="1:2" ht="15" customHeight="1" x14ac:dyDescent="0.25">
      <c r="A26" s="139" t="s">
        <v>12</v>
      </c>
      <c r="B26" s="141">
        <v>3322784.63</v>
      </c>
    </row>
    <row r="27" spans="1:2" ht="15" customHeight="1" x14ac:dyDescent="0.25">
      <c r="A27" s="139" t="s">
        <v>13</v>
      </c>
      <c r="B27" s="141">
        <v>0</v>
      </c>
    </row>
    <row r="28" spans="1:2" ht="15" customHeight="1" x14ac:dyDescent="0.25">
      <c r="A28" s="139" t="s">
        <v>14</v>
      </c>
      <c r="B28" s="141">
        <v>0</v>
      </c>
    </row>
    <row r="29" spans="1:2" ht="15" customHeight="1" x14ac:dyDescent="0.25">
      <c r="A29" s="139"/>
      <c r="B29" s="141"/>
    </row>
    <row r="30" spans="1:2" ht="15" customHeight="1" x14ac:dyDescent="0.25">
      <c r="A30" s="139" t="s">
        <v>15</v>
      </c>
      <c r="B30" s="141">
        <v>3322784.63</v>
      </c>
    </row>
    <row r="31" spans="1:2" ht="15" customHeight="1" x14ac:dyDescent="0.25">
      <c r="A31" s="139"/>
      <c r="B31" s="141"/>
    </row>
    <row r="32" spans="1:2" ht="15" customHeight="1" x14ac:dyDescent="0.25">
      <c r="A32" s="139" t="s">
        <v>16</v>
      </c>
      <c r="B32" s="141">
        <v>-350000</v>
      </c>
    </row>
    <row r="33" spans="1:2" ht="15" customHeight="1" x14ac:dyDescent="0.25">
      <c r="A33" s="139"/>
      <c r="B33" s="141"/>
    </row>
    <row r="34" spans="1:2" ht="15" customHeight="1" x14ac:dyDescent="0.25">
      <c r="A34" s="139" t="s">
        <v>17</v>
      </c>
      <c r="B34" s="141">
        <v>2972784.63</v>
      </c>
    </row>
    <row r="35" spans="1:2" ht="15" customHeight="1" x14ac:dyDescent="0.25">
      <c r="A35" s="139"/>
      <c r="B35" s="141"/>
    </row>
    <row r="36" spans="1:2" ht="15" customHeight="1" x14ac:dyDescent="0.25">
      <c r="A36" s="139" t="s">
        <v>18</v>
      </c>
      <c r="B36" s="141">
        <v>49610.559999999998</v>
      </c>
    </row>
    <row r="37" spans="1:2" ht="15" customHeight="1" x14ac:dyDescent="0.25">
      <c r="A37" s="139" t="s">
        <v>19</v>
      </c>
      <c r="B37" s="141">
        <v>0</v>
      </c>
    </row>
    <row r="38" spans="1:2" ht="15" customHeight="1" x14ac:dyDescent="0.25">
      <c r="A38" s="139" t="s">
        <v>53</v>
      </c>
      <c r="B38" s="141">
        <v>105000000</v>
      </c>
    </row>
    <row r="39" spans="1:2" ht="15" customHeight="1" x14ac:dyDescent="0.25">
      <c r="A39" s="139" t="s">
        <v>20</v>
      </c>
      <c r="B39" s="141">
        <v>2395.0500000000002</v>
      </c>
    </row>
    <row r="40" spans="1:2" ht="15" customHeight="1" x14ac:dyDescent="0.25">
      <c r="A40" s="139" t="s">
        <v>54</v>
      </c>
      <c r="B40" s="141">
        <v>29191820.199999999</v>
      </c>
    </row>
    <row r="41" spans="1:2" ht="15" customHeight="1" x14ac:dyDescent="0.25">
      <c r="A41" s="139" t="s">
        <v>55</v>
      </c>
      <c r="B41" s="141">
        <v>-47493945.880000003</v>
      </c>
    </row>
    <row r="42" spans="1:2" ht="15" customHeight="1" x14ac:dyDescent="0.25">
      <c r="A42" s="139" t="s">
        <v>21</v>
      </c>
      <c r="B42" s="141">
        <v>0</v>
      </c>
    </row>
    <row r="43" spans="1:2" ht="15" customHeight="1" x14ac:dyDescent="0.25">
      <c r="A43" s="139" t="s">
        <v>22</v>
      </c>
      <c r="B43" s="141">
        <v>0</v>
      </c>
    </row>
    <row r="44" spans="1:2" ht="15" customHeight="1" x14ac:dyDescent="0.25">
      <c r="A44" s="139"/>
      <c r="B44" s="141"/>
    </row>
    <row r="45" spans="1:2" ht="15" customHeight="1" x14ac:dyDescent="0.25">
      <c r="A45" s="139" t="s">
        <v>23</v>
      </c>
      <c r="B45" s="141">
        <v>89722664.560000002</v>
      </c>
    </row>
    <row r="46" spans="1:2" ht="15" customHeight="1" x14ac:dyDescent="0.25">
      <c r="A46" s="139"/>
      <c r="B46" s="141"/>
    </row>
    <row r="47" spans="1:2" ht="15" customHeight="1" x14ac:dyDescent="0.25">
      <c r="A47" s="139" t="s">
        <v>24</v>
      </c>
      <c r="B47" s="141">
        <v>-11922873.41</v>
      </c>
    </row>
    <row r="48" spans="1:2" ht="15" customHeight="1" x14ac:dyDescent="0.25">
      <c r="A48" s="139" t="s">
        <v>25</v>
      </c>
      <c r="B48" s="141">
        <v>14148447.960000001</v>
      </c>
    </row>
    <row r="49" spans="1:2" ht="15" customHeight="1" x14ac:dyDescent="0.25">
      <c r="A49" s="139"/>
      <c r="B49" s="141"/>
    </row>
    <row r="50" spans="1:2" ht="15" customHeight="1" x14ac:dyDescent="0.25">
      <c r="A50" s="139" t="s">
        <v>26</v>
      </c>
      <c r="B50" s="141">
        <v>2225574.5499999998</v>
      </c>
    </row>
    <row r="51" spans="1:2" ht="15" customHeight="1" x14ac:dyDescent="0.25">
      <c r="A51" s="139"/>
      <c r="B51" s="141"/>
    </row>
    <row r="52" spans="1:2" ht="15" customHeight="1" x14ac:dyDescent="0.25">
      <c r="A52" s="139" t="s">
        <v>27</v>
      </c>
      <c r="B52" s="141">
        <v>91948239.109999999</v>
      </c>
    </row>
    <row r="53" spans="1:2" ht="15" customHeight="1" x14ac:dyDescent="0.25">
      <c r="A53" s="139"/>
      <c r="B53" s="141"/>
    </row>
    <row r="54" spans="1:2" ht="15" customHeight="1" x14ac:dyDescent="0.25">
      <c r="A54" s="139" t="s">
        <v>28</v>
      </c>
      <c r="B54" s="141">
        <v>3073.33</v>
      </c>
    </row>
    <row r="55" spans="1:2" ht="15" customHeight="1" x14ac:dyDescent="0.25">
      <c r="A55" s="139" t="s">
        <v>29</v>
      </c>
      <c r="B55" s="141">
        <v>0</v>
      </c>
    </row>
    <row r="56" spans="1:2" ht="15" customHeight="1" x14ac:dyDescent="0.25">
      <c r="A56" s="139" t="s">
        <v>30</v>
      </c>
      <c r="B56" s="141">
        <v>0</v>
      </c>
    </row>
    <row r="57" spans="1:2" ht="15" customHeight="1" x14ac:dyDescent="0.25">
      <c r="A57" s="139" t="s">
        <v>31</v>
      </c>
      <c r="B57" s="141">
        <v>0</v>
      </c>
    </row>
    <row r="58" spans="1:2" ht="15" customHeight="1" x14ac:dyDescent="0.25">
      <c r="A58" s="139"/>
      <c r="B58" s="141"/>
    </row>
    <row r="59" spans="1:2" ht="15" customHeight="1" x14ac:dyDescent="0.25">
      <c r="A59" s="139" t="s">
        <v>32</v>
      </c>
      <c r="B59" s="141">
        <v>91951312.439999998</v>
      </c>
    </row>
    <row r="60" spans="1:2" ht="15" customHeight="1" x14ac:dyDescent="0.25">
      <c r="A60" s="139"/>
      <c r="B60" s="141"/>
    </row>
    <row r="61" spans="1:2" ht="15" customHeight="1" x14ac:dyDescent="0.25">
      <c r="A61" s="139" t="s">
        <v>33</v>
      </c>
      <c r="B61" s="141">
        <v>0</v>
      </c>
    </row>
    <row r="62" spans="1:2" ht="15" customHeight="1" x14ac:dyDescent="0.25">
      <c r="A62" s="139"/>
      <c r="B62" s="141"/>
    </row>
    <row r="63" spans="1:2" ht="15" customHeight="1" x14ac:dyDescent="0.25">
      <c r="A63" s="139" t="s">
        <v>34</v>
      </c>
      <c r="B63" s="141">
        <v>91951312.439999998</v>
      </c>
    </row>
    <row r="64" spans="1:2" ht="15" customHeight="1" x14ac:dyDescent="0.25">
      <c r="A64" s="139"/>
      <c r="B64" s="141"/>
    </row>
    <row r="65" spans="1:2" ht="15" customHeight="1" x14ac:dyDescent="0.25">
      <c r="A65" s="139" t="s">
        <v>35</v>
      </c>
      <c r="B65" s="141">
        <v>-91951312.439999998</v>
      </c>
    </row>
    <row r="66" spans="1:2" ht="15" customHeight="1" x14ac:dyDescent="0.25">
      <c r="A66" s="139"/>
      <c r="B66" s="141"/>
    </row>
    <row r="67" spans="1:2" ht="15" customHeight="1" x14ac:dyDescent="0.25">
      <c r="A67" s="142" t="s">
        <v>36</v>
      </c>
      <c r="B67" s="144">
        <v>0</v>
      </c>
    </row>
    <row r="68" spans="1:2" ht="15" customHeight="1" x14ac:dyDescent="0.2"/>
    <row r="69" spans="1:2" ht="15" customHeight="1" x14ac:dyDescent="0.2"/>
  </sheetData>
  <pageMargins left="0.7" right="0.7" top="0.75" bottom="0.75" header="0.5" footer="0.5"/>
  <pageSetup scale="69" orientation="portrait" r:id="rId1"/>
  <headerFooter>
    <oddHeader>&amp;R&amp;"Times New Roman,Bold"&amp;12Attachment to Response to KU KIUC-2 Question No. 2.15
Page &amp;P of &amp;N
Arbough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4"/>
  <sheetViews>
    <sheetView workbookViewId="0">
      <selection activeCell="C22" sqref="C22"/>
    </sheetView>
  </sheetViews>
  <sheetFormatPr defaultColWidth="9.140625" defaultRowHeight="12.75" x14ac:dyDescent="0.2"/>
  <cols>
    <col min="1" max="1" width="34" style="68" customWidth="1"/>
    <col min="2" max="2" width="5.7109375" style="68" customWidth="1"/>
    <col min="3" max="3" width="15.85546875" style="68" bestFit="1" customWidth="1"/>
    <col min="4" max="4" width="17.28515625" style="68" bestFit="1" customWidth="1"/>
    <col min="5" max="5" width="4.85546875" style="68" customWidth="1"/>
    <col min="6" max="6" width="16.28515625" style="68" customWidth="1"/>
    <col min="7" max="16384" width="9.140625" style="68"/>
  </cols>
  <sheetData>
    <row r="1" spans="1:6" ht="13.5" thickBot="1" x14ac:dyDescent="0.25">
      <c r="A1" s="66" t="s">
        <v>56</v>
      </c>
      <c r="B1" s="66"/>
      <c r="C1" s="14"/>
      <c r="D1" s="14"/>
      <c r="E1" s="14"/>
      <c r="F1" s="67" t="s">
        <v>57</v>
      </c>
    </row>
    <row r="2" spans="1:6" x14ac:dyDescent="0.2">
      <c r="A2" s="2" t="s">
        <v>58</v>
      </c>
      <c r="B2" s="14"/>
      <c r="C2" s="14"/>
      <c r="D2" s="14"/>
      <c r="E2" s="14"/>
      <c r="F2" s="18"/>
    </row>
    <row r="3" spans="1:6" x14ac:dyDescent="0.2">
      <c r="A3" s="2" t="s">
        <v>59</v>
      </c>
      <c r="B3" s="34"/>
      <c r="C3" s="14"/>
      <c r="D3" s="14"/>
      <c r="E3" s="14"/>
      <c r="F3" s="18"/>
    </row>
    <row r="4" spans="1:6" ht="13.5" thickBot="1" x14ac:dyDescent="0.25">
      <c r="A4" s="14"/>
      <c r="B4" s="14"/>
      <c r="C4" s="69"/>
      <c r="D4" s="69"/>
      <c r="E4" s="69"/>
      <c r="F4" s="70" t="s">
        <v>52</v>
      </c>
    </row>
    <row r="5" spans="1:6" x14ac:dyDescent="0.2">
      <c r="A5" s="71" t="s">
        <v>60</v>
      </c>
      <c r="C5" s="1">
        <v>221016</v>
      </c>
      <c r="D5" s="1">
        <v>221017</v>
      </c>
      <c r="E5" s="1"/>
      <c r="F5" s="27"/>
    </row>
    <row r="6" spans="1:6" x14ac:dyDescent="0.2">
      <c r="A6" s="71" t="s">
        <v>61</v>
      </c>
      <c r="B6" s="1"/>
      <c r="C6" s="1">
        <v>181016</v>
      </c>
      <c r="D6" s="1">
        <v>181017</v>
      </c>
      <c r="E6" s="1"/>
      <c r="F6" s="27"/>
    </row>
    <row r="7" spans="1:6" x14ac:dyDescent="0.2">
      <c r="A7" s="71" t="s">
        <v>62</v>
      </c>
      <c r="B7" s="1"/>
      <c r="C7" s="1">
        <v>428016</v>
      </c>
      <c r="D7" s="1">
        <v>428017</v>
      </c>
      <c r="E7" s="1"/>
      <c r="F7" s="27"/>
    </row>
    <row r="8" spans="1:6" x14ac:dyDescent="0.2">
      <c r="A8" s="14"/>
      <c r="B8" s="14"/>
      <c r="C8" s="14"/>
      <c r="D8" s="2"/>
      <c r="E8" s="14"/>
      <c r="F8" s="18"/>
    </row>
    <row r="9" spans="1:6" x14ac:dyDescent="0.2">
      <c r="A9" s="14"/>
      <c r="B9" s="14"/>
      <c r="C9" s="14"/>
      <c r="D9" s="2"/>
      <c r="E9" s="14"/>
      <c r="F9" s="18"/>
    </row>
    <row r="10" spans="1:6" x14ac:dyDescent="0.2">
      <c r="A10" s="72" t="s">
        <v>63</v>
      </c>
      <c r="B10" s="73"/>
      <c r="C10" s="3">
        <v>400000000</v>
      </c>
      <c r="D10" s="3">
        <v>475000000</v>
      </c>
      <c r="E10" s="3"/>
      <c r="F10" s="59">
        <f>SUM(C10:D10)+E10</f>
        <v>875000000</v>
      </c>
    </row>
    <row r="11" spans="1:6" x14ac:dyDescent="0.2">
      <c r="A11" s="74" t="s">
        <v>64</v>
      </c>
      <c r="B11" s="34"/>
      <c r="C11" s="4">
        <f>2400000+16740</f>
        <v>2416740</v>
      </c>
      <c r="D11" s="4">
        <f>3087500+16740</f>
        <v>3104240</v>
      </c>
      <c r="E11" s="5"/>
      <c r="F11" s="38"/>
    </row>
    <row r="12" spans="1:6" x14ac:dyDescent="0.2">
      <c r="A12" s="74" t="s">
        <v>65</v>
      </c>
      <c r="B12" s="34"/>
      <c r="C12" s="4">
        <v>157798.68</v>
      </c>
      <c r="D12" s="4">
        <v>157798.67000000001</v>
      </c>
      <c r="E12" s="5"/>
      <c r="F12" s="38"/>
    </row>
    <row r="13" spans="1:6" x14ac:dyDescent="0.2">
      <c r="A13" s="74" t="s">
        <v>66</v>
      </c>
      <c r="B13" s="34"/>
      <c r="C13" s="6">
        <v>2.1250000000000002E-2</v>
      </c>
      <c r="D13" s="6">
        <v>3.7499999999999999E-2</v>
      </c>
      <c r="E13" s="7"/>
      <c r="F13" s="38"/>
    </row>
    <row r="14" spans="1:6" x14ac:dyDescent="0.2">
      <c r="A14" s="74" t="s">
        <v>67</v>
      </c>
      <c r="B14" s="34"/>
      <c r="C14" s="8" t="s">
        <v>68</v>
      </c>
      <c r="D14" s="8" t="s">
        <v>68</v>
      </c>
      <c r="E14" s="8"/>
      <c r="F14" s="38"/>
    </row>
    <row r="15" spans="1:6" x14ac:dyDescent="0.2">
      <c r="A15" s="74" t="s">
        <v>69</v>
      </c>
      <c r="B15" s="34"/>
      <c r="C15" s="9">
        <v>40494</v>
      </c>
      <c r="D15" s="9">
        <v>40494</v>
      </c>
      <c r="E15" s="9"/>
      <c r="F15" s="38"/>
    </row>
    <row r="16" spans="1:6" x14ac:dyDescent="0.2">
      <c r="A16" s="75" t="s">
        <v>70</v>
      </c>
      <c r="B16" s="34"/>
      <c r="C16" s="9">
        <v>42323</v>
      </c>
      <c r="D16" s="9">
        <v>44150</v>
      </c>
      <c r="E16" s="9"/>
      <c r="F16" s="38"/>
    </row>
    <row r="17" spans="1:6" x14ac:dyDescent="0.2">
      <c r="A17" s="76" t="s">
        <v>71</v>
      </c>
      <c r="B17" s="77"/>
      <c r="C17" s="10">
        <v>60</v>
      </c>
      <c r="D17" s="10">
        <v>120</v>
      </c>
      <c r="E17" s="11"/>
      <c r="F17" s="61"/>
    </row>
    <row r="18" spans="1:6" x14ac:dyDescent="0.2">
      <c r="A18" s="14"/>
      <c r="B18" s="14"/>
      <c r="C18" s="14"/>
      <c r="D18" s="14"/>
      <c r="E18" s="14"/>
      <c r="F18" s="18"/>
    </row>
    <row r="19" spans="1:6" x14ac:dyDescent="0.2">
      <c r="A19" s="78" t="s">
        <v>72</v>
      </c>
      <c r="B19" s="73"/>
      <c r="C19" s="73"/>
      <c r="D19" s="73"/>
      <c r="E19" s="73"/>
      <c r="F19" s="59"/>
    </row>
    <row r="20" spans="1:6" x14ac:dyDescent="0.2">
      <c r="A20" s="76" t="s">
        <v>73</v>
      </c>
      <c r="B20" s="77"/>
      <c r="C20" s="12">
        <v>0</v>
      </c>
      <c r="D20" s="12">
        <v>0</v>
      </c>
      <c r="E20" s="12"/>
      <c r="F20" s="43">
        <f>SUM(C20:E20)</f>
        <v>0</v>
      </c>
    </row>
    <row r="21" spans="1:6" x14ac:dyDescent="0.2">
      <c r="A21" s="14"/>
      <c r="B21" s="14"/>
      <c r="C21" s="14"/>
      <c r="D21" s="14"/>
      <c r="E21" s="14"/>
      <c r="F21" s="80"/>
    </row>
    <row r="22" spans="1:6" x14ac:dyDescent="0.2">
      <c r="A22" s="81" t="s">
        <v>74</v>
      </c>
      <c r="B22" s="14"/>
      <c r="C22" s="14"/>
      <c r="D22" s="14"/>
      <c r="E22" s="14"/>
      <c r="F22" s="80"/>
    </row>
    <row r="23" spans="1:6" x14ac:dyDescent="0.2">
      <c r="A23" s="14" t="s">
        <v>75</v>
      </c>
      <c r="B23" s="15">
        <v>1</v>
      </c>
      <c r="C23" s="14"/>
      <c r="D23" s="14"/>
      <c r="E23" s="14"/>
      <c r="F23" s="13">
        <f t="shared" ref="F23:F32" si="0">SUM(C23:E23)</f>
        <v>0</v>
      </c>
    </row>
    <row r="24" spans="1:6" x14ac:dyDescent="0.2">
      <c r="A24" s="14" t="s">
        <v>76</v>
      </c>
      <c r="B24" s="15">
        <v>2</v>
      </c>
      <c r="C24" s="14"/>
      <c r="D24" s="14"/>
      <c r="E24" s="14"/>
      <c r="F24" s="13">
        <f t="shared" si="0"/>
        <v>0</v>
      </c>
    </row>
    <row r="25" spans="1:6" x14ac:dyDescent="0.2">
      <c r="A25" s="14" t="s">
        <v>77</v>
      </c>
      <c r="B25" s="15">
        <v>3</v>
      </c>
      <c r="C25" s="14"/>
      <c r="D25" s="14"/>
      <c r="E25" s="14"/>
      <c r="F25" s="13">
        <f t="shared" si="0"/>
        <v>0</v>
      </c>
    </row>
    <row r="26" spans="1:6" x14ac:dyDescent="0.2">
      <c r="A26" s="14" t="s">
        <v>78</v>
      </c>
      <c r="B26" s="15">
        <v>4</v>
      </c>
      <c r="C26" s="14"/>
      <c r="D26" s="14"/>
      <c r="E26" s="14"/>
      <c r="F26" s="13">
        <f t="shared" si="0"/>
        <v>0</v>
      </c>
    </row>
    <row r="27" spans="1:6" x14ac:dyDescent="0.2">
      <c r="A27" s="14" t="s">
        <v>79</v>
      </c>
      <c r="B27" s="15">
        <v>5</v>
      </c>
      <c r="C27" s="14"/>
      <c r="D27" s="14"/>
      <c r="E27" s="14"/>
      <c r="F27" s="13">
        <f t="shared" si="0"/>
        <v>0</v>
      </c>
    </row>
    <row r="28" spans="1:6" x14ac:dyDescent="0.2">
      <c r="A28" s="14" t="s">
        <v>80</v>
      </c>
      <c r="B28" s="15">
        <v>6</v>
      </c>
      <c r="C28" s="14"/>
      <c r="D28" s="14"/>
      <c r="E28" s="14"/>
      <c r="F28" s="13">
        <f t="shared" si="0"/>
        <v>0</v>
      </c>
    </row>
    <row r="29" spans="1:6" x14ac:dyDescent="0.2">
      <c r="A29" s="14" t="s">
        <v>81</v>
      </c>
      <c r="B29" s="15">
        <v>7</v>
      </c>
      <c r="C29" s="14"/>
      <c r="D29" s="14"/>
      <c r="E29" s="14"/>
      <c r="F29" s="13">
        <f t="shared" si="0"/>
        <v>0</v>
      </c>
    </row>
    <row r="30" spans="1:6" x14ac:dyDescent="0.2">
      <c r="A30" s="14" t="s">
        <v>82</v>
      </c>
      <c r="B30" s="15">
        <v>8</v>
      </c>
      <c r="C30" s="14"/>
      <c r="D30" s="14"/>
      <c r="E30" s="14"/>
      <c r="F30" s="13">
        <f t="shared" si="0"/>
        <v>0</v>
      </c>
    </row>
    <row r="31" spans="1:6" x14ac:dyDescent="0.2">
      <c r="A31" s="14" t="s">
        <v>83</v>
      </c>
      <c r="B31" s="15">
        <v>9</v>
      </c>
      <c r="C31" s="14"/>
      <c r="D31" s="14"/>
      <c r="E31" s="14"/>
      <c r="F31" s="13">
        <f t="shared" si="0"/>
        <v>0</v>
      </c>
    </row>
    <row r="32" spans="1:6" x14ac:dyDescent="0.2">
      <c r="A32" s="14" t="s">
        <v>84</v>
      </c>
      <c r="B32" s="15">
        <v>10</v>
      </c>
      <c r="C32" s="14"/>
      <c r="D32" s="14"/>
      <c r="E32" s="14"/>
      <c r="F32" s="13">
        <f t="shared" si="0"/>
        <v>0</v>
      </c>
    </row>
    <row r="33" spans="1:6" x14ac:dyDescent="0.2">
      <c r="A33" s="14" t="s">
        <v>85</v>
      </c>
      <c r="B33" s="15">
        <v>11</v>
      </c>
      <c r="C33" s="19">
        <f>ROUND(($C$11/$C$17)/30*19,2)</f>
        <v>25510.03</v>
      </c>
      <c r="D33" s="19">
        <f>ROUND(($D$11/$D$17)/30*19,2)</f>
        <v>16383.49</v>
      </c>
      <c r="E33" s="19"/>
      <c r="F33" s="13">
        <f>SUM(C33:E33)</f>
        <v>41893.519999999997</v>
      </c>
    </row>
    <row r="34" spans="1:6" x14ac:dyDescent="0.2">
      <c r="A34" s="14" t="s">
        <v>86</v>
      </c>
      <c r="B34" s="15">
        <v>12</v>
      </c>
      <c r="C34" s="19">
        <f>ROUND(($C$11/$C$17)+($C12/($C$17-1)),2)</f>
        <v>42953.55</v>
      </c>
      <c r="D34" s="19">
        <f>ROUND(($D$11/$D$17)+($D$12/($D$17-1)),2)</f>
        <v>27194.71</v>
      </c>
      <c r="E34" s="19"/>
      <c r="F34" s="13">
        <f>SUM(C34:E34)</f>
        <v>70148.260000000009</v>
      </c>
    </row>
    <row r="35" spans="1:6" x14ac:dyDescent="0.2">
      <c r="A35" s="14" t="s">
        <v>87</v>
      </c>
      <c r="B35" s="82"/>
      <c r="C35" s="16">
        <f>SUM(C33:C34)</f>
        <v>68463.58</v>
      </c>
      <c r="D35" s="16">
        <f>SUM(D33:D34)</f>
        <v>43578.2</v>
      </c>
      <c r="E35" s="16"/>
      <c r="F35" s="17">
        <f>SUM(C35:E35)</f>
        <v>112041.78</v>
      </c>
    </row>
    <row r="36" spans="1:6" x14ac:dyDescent="0.2">
      <c r="A36" s="14"/>
      <c r="B36" s="82"/>
      <c r="C36" s="14"/>
      <c r="D36" s="14"/>
      <c r="E36" s="14"/>
      <c r="F36" s="18"/>
    </row>
    <row r="37" spans="1:6" x14ac:dyDescent="0.2">
      <c r="A37" s="81" t="s">
        <v>88</v>
      </c>
      <c r="B37" s="82"/>
      <c r="C37" s="14"/>
      <c r="D37" s="14"/>
      <c r="E37" s="14"/>
      <c r="F37" s="18"/>
    </row>
    <row r="38" spans="1:6" x14ac:dyDescent="0.2">
      <c r="A38" s="14" t="s">
        <v>75</v>
      </c>
      <c r="B38" s="15">
        <v>1</v>
      </c>
      <c r="C38" s="19"/>
      <c r="D38" s="19"/>
      <c r="E38" s="19"/>
      <c r="F38" s="13">
        <f t="shared" ref="F38:F49" si="1">SUM(C38:E38)</f>
        <v>0</v>
      </c>
    </row>
    <row r="39" spans="1:6" x14ac:dyDescent="0.2">
      <c r="A39" s="14" t="s">
        <v>76</v>
      </c>
      <c r="B39" s="15">
        <v>2</v>
      </c>
      <c r="C39" s="19"/>
      <c r="D39" s="19"/>
      <c r="E39" s="19"/>
      <c r="F39" s="13">
        <f t="shared" si="1"/>
        <v>0</v>
      </c>
    </row>
    <row r="40" spans="1:6" x14ac:dyDescent="0.2">
      <c r="A40" s="14" t="s">
        <v>77</v>
      </c>
      <c r="B40" s="15">
        <v>3</v>
      </c>
      <c r="C40" s="19"/>
      <c r="D40" s="19"/>
      <c r="E40" s="19"/>
      <c r="F40" s="13">
        <f t="shared" si="1"/>
        <v>0</v>
      </c>
    </row>
    <row r="41" spans="1:6" x14ac:dyDescent="0.2">
      <c r="A41" s="14" t="s">
        <v>78</v>
      </c>
      <c r="B41" s="15">
        <v>4</v>
      </c>
      <c r="C41" s="19"/>
      <c r="D41" s="19"/>
      <c r="E41" s="19"/>
      <c r="F41" s="13">
        <f t="shared" si="1"/>
        <v>0</v>
      </c>
    </row>
    <row r="42" spans="1:6" x14ac:dyDescent="0.2">
      <c r="A42" s="14" t="s">
        <v>79</v>
      </c>
      <c r="B42" s="15">
        <v>5</v>
      </c>
      <c r="C42" s="19"/>
      <c r="D42" s="19"/>
      <c r="E42" s="19"/>
      <c r="F42" s="13">
        <f t="shared" si="1"/>
        <v>0</v>
      </c>
    </row>
    <row r="43" spans="1:6" x14ac:dyDescent="0.2">
      <c r="A43" s="14" t="s">
        <v>80</v>
      </c>
      <c r="B43" s="15">
        <v>6</v>
      </c>
      <c r="C43" s="19"/>
      <c r="D43" s="19"/>
      <c r="E43" s="19"/>
      <c r="F43" s="13">
        <f t="shared" si="1"/>
        <v>0</v>
      </c>
    </row>
    <row r="44" spans="1:6" x14ac:dyDescent="0.2">
      <c r="A44" s="14" t="s">
        <v>81</v>
      </c>
      <c r="B44" s="15">
        <v>7</v>
      </c>
      <c r="C44" s="19"/>
      <c r="D44" s="19"/>
      <c r="E44" s="19"/>
      <c r="F44" s="13">
        <f t="shared" si="1"/>
        <v>0</v>
      </c>
    </row>
    <row r="45" spans="1:6" x14ac:dyDescent="0.2">
      <c r="A45" s="14" t="s">
        <v>82</v>
      </c>
      <c r="B45" s="15">
        <v>8</v>
      </c>
      <c r="C45" s="19"/>
      <c r="D45" s="19"/>
      <c r="E45" s="19"/>
      <c r="F45" s="13">
        <f t="shared" si="1"/>
        <v>0</v>
      </c>
    </row>
    <row r="46" spans="1:6" x14ac:dyDescent="0.2">
      <c r="A46" s="14" t="s">
        <v>83</v>
      </c>
      <c r="B46" s="15">
        <v>9</v>
      </c>
      <c r="C46" s="19"/>
      <c r="D46" s="19"/>
      <c r="E46" s="19"/>
      <c r="F46" s="13">
        <f t="shared" si="1"/>
        <v>0</v>
      </c>
    </row>
    <row r="47" spans="1:6" x14ac:dyDescent="0.2">
      <c r="A47" s="14" t="s">
        <v>84</v>
      </c>
      <c r="B47" s="15">
        <v>10</v>
      </c>
      <c r="C47" s="20"/>
      <c r="D47" s="20"/>
      <c r="E47" s="20"/>
      <c r="F47" s="21">
        <f t="shared" si="1"/>
        <v>0</v>
      </c>
    </row>
    <row r="48" spans="1:6" x14ac:dyDescent="0.2">
      <c r="A48" s="14" t="s">
        <v>85</v>
      </c>
      <c r="B48" s="15">
        <v>11</v>
      </c>
      <c r="C48" s="159">
        <f>$C$11-C33</f>
        <v>2391229.9700000002</v>
      </c>
      <c r="D48" s="159">
        <f>$D$11-D33</f>
        <v>3087856.51</v>
      </c>
      <c r="E48" s="159"/>
      <c r="F48" s="21">
        <f t="shared" si="1"/>
        <v>5479086.4800000004</v>
      </c>
    </row>
    <row r="49" spans="1:6" x14ac:dyDescent="0.2">
      <c r="A49" s="14" t="s">
        <v>86</v>
      </c>
      <c r="B49" s="15">
        <v>12</v>
      </c>
      <c r="C49" s="22">
        <f>C48+C12-C34</f>
        <v>2506075.1000000006</v>
      </c>
      <c r="D49" s="22">
        <f>D48+D12-D34</f>
        <v>3218460.4699999997</v>
      </c>
      <c r="E49" s="22"/>
      <c r="F49" s="23">
        <f t="shared" si="1"/>
        <v>5724535.5700000003</v>
      </c>
    </row>
    <row r="50" spans="1:6" x14ac:dyDescent="0.2">
      <c r="A50" s="14"/>
      <c r="B50" s="14"/>
      <c r="C50" s="14"/>
      <c r="D50" s="14"/>
      <c r="E50" s="14"/>
      <c r="F50" s="24"/>
    </row>
    <row r="51" spans="1:6" x14ac:dyDescent="0.2">
      <c r="A51" s="14"/>
      <c r="B51" s="14"/>
      <c r="C51" s="14"/>
      <c r="D51" s="14"/>
      <c r="E51" s="14"/>
      <c r="F51" s="18"/>
    </row>
    <row r="52" spans="1:6" x14ac:dyDescent="0.2">
      <c r="A52" s="14"/>
      <c r="B52" s="14"/>
      <c r="C52" s="25"/>
      <c r="D52" s="25"/>
      <c r="E52" s="25"/>
      <c r="F52" s="18"/>
    </row>
    <row r="53" spans="1:6" x14ac:dyDescent="0.2">
      <c r="A53" s="14"/>
      <c r="B53" s="14"/>
      <c r="C53" s="25"/>
      <c r="D53" s="25"/>
      <c r="E53" s="25"/>
      <c r="F53" s="18"/>
    </row>
    <row r="54" spans="1:6" x14ac:dyDescent="0.2">
      <c r="A54" s="71"/>
      <c r="B54" s="1"/>
      <c r="C54" s="26"/>
      <c r="D54" s="26"/>
      <c r="E54" s="26"/>
      <c r="F54" s="27"/>
    </row>
    <row r="55" spans="1:6" x14ac:dyDescent="0.2">
      <c r="A55" s="160"/>
      <c r="B55" s="161"/>
      <c r="C55" s="28"/>
      <c r="D55" s="29"/>
      <c r="E55" s="29"/>
      <c r="F55" s="30"/>
    </row>
    <row r="56" spans="1:6" s="33" customFormat="1" x14ac:dyDescent="0.2">
      <c r="A56" s="31"/>
      <c r="B56" s="8"/>
      <c r="C56" s="32"/>
      <c r="D56" s="32"/>
      <c r="E56" s="32"/>
      <c r="F56" s="4"/>
    </row>
    <row r="57" spans="1:6" s="33" customFormat="1" x14ac:dyDescent="0.2">
      <c r="A57" s="34"/>
      <c r="B57" s="35"/>
      <c r="C57" s="35"/>
      <c r="D57" s="35"/>
      <c r="E57" s="35"/>
      <c r="F57" s="35"/>
    </row>
    <row r="58" spans="1:6" s="33" customFormat="1" x14ac:dyDescent="0.2">
      <c r="A58" s="8"/>
      <c r="B58" s="8"/>
      <c r="C58" s="8"/>
      <c r="D58" s="8"/>
      <c r="E58" s="8"/>
      <c r="F58" s="4"/>
    </row>
    <row r="59" spans="1:6" s="33" customFormat="1" x14ac:dyDescent="0.2">
      <c r="A59" s="36"/>
      <c r="B59" s="36"/>
      <c r="C59" s="37"/>
      <c r="D59" s="37"/>
      <c r="E59" s="37"/>
      <c r="F59" s="37"/>
    </row>
    <row r="60" spans="1:6" s="33" customFormat="1" x14ac:dyDescent="0.2">
      <c r="A60" s="34"/>
      <c r="B60" s="34"/>
      <c r="C60" s="34"/>
      <c r="D60" s="34"/>
      <c r="E60" s="34"/>
      <c r="F60" s="38"/>
    </row>
    <row r="61" spans="1:6" s="33" customFormat="1" x14ac:dyDescent="0.2">
      <c r="A61" s="34"/>
      <c r="B61" s="34"/>
      <c r="C61" s="34"/>
      <c r="D61" s="34"/>
      <c r="E61" s="34"/>
      <c r="F61" s="24"/>
    </row>
    <row r="62" spans="1:6" s="33" customFormat="1" x14ac:dyDescent="0.2">
      <c r="A62" s="34"/>
      <c r="B62" s="34"/>
      <c r="C62" s="34"/>
      <c r="D62" s="34"/>
      <c r="E62" s="34"/>
      <c r="F62" s="38"/>
    </row>
    <row r="63" spans="1:6" s="33" customFormat="1" x14ac:dyDescent="0.2">
      <c r="A63" s="36"/>
      <c r="B63" s="36"/>
      <c r="C63" s="36"/>
      <c r="D63" s="36"/>
      <c r="E63" s="36"/>
      <c r="F63" s="36"/>
    </row>
    <row r="64" spans="1:6" s="33" customFormat="1" x14ac:dyDescent="0.2">
      <c r="A64" s="34"/>
      <c r="B64" s="34"/>
      <c r="C64" s="34"/>
      <c r="D64" s="34"/>
      <c r="E64" s="34"/>
      <c r="F64" s="38"/>
    </row>
    <row r="65" spans="1:6" s="33" customFormat="1" x14ac:dyDescent="0.2">
      <c r="A65" s="34"/>
      <c r="B65" s="34"/>
      <c r="C65" s="34"/>
      <c r="D65" s="34"/>
      <c r="E65" s="34"/>
      <c r="F65" s="38"/>
    </row>
    <row r="66" spans="1:6" s="33" customFormat="1" x14ac:dyDescent="0.2">
      <c r="A66" s="34"/>
      <c r="B66" s="34"/>
      <c r="C66" s="34"/>
      <c r="D66" s="34"/>
      <c r="E66" s="39"/>
      <c r="F66" s="38"/>
    </row>
    <row r="67" spans="1:6" s="33" customFormat="1" x14ac:dyDescent="0.2">
      <c r="A67" s="34"/>
      <c r="B67" s="34"/>
      <c r="C67" s="34"/>
      <c r="D67" s="34"/>
      <c r="E67" s="39"/>
      <c r="F67" s="38"/>
    </row>
    <row r="68" spans="1:6" s="33" customFormat="1" x14ac:dyDescent="0.2">
      <c r="A68" s="34"/>
      <c r="B68" s="34"/>
      <c r="C68" s="34"/>
      <c r="D68" s="34"/>
      <c r="E68" s="39"/>
      <c r="F68" s="38"/>
    </row>
    <row r="69" spans="1:6" s="33" customFormat="1" x14ac:dyDescent="0.2">
      <c r="A69" s="34"/>
      <c r="B69" s="34"/>
      <c r="C69" s="34"/>
      <c r="D69" s="34"/>
      <c r="E69" s="34"/>
      <c r="F69" s="40"/>
    </row>
    <row r="70" spans="1:6" s="33" customFormat="1" x14ac:dyDescent="0.2"/>
    <row r="71" spans="1:6" s="33" customFormat="1" x14ac:dyDescent="0.2"/>
    <row r="72" spans="1:6" s="33" customFormat="1" x14ac:dyDescent="0.2"/>
    <row r="73" spans="1:6" s="33" customFormat="1" x14ac:dyDescent="0.2"/>
    <row r="74" spans="1:6" s="33" customFormat="1" x14ac:dyDescent="0.2"/>
  </sheetData>
  <pageMargins left="0.7" right="0.7" top="1" bottom="0.5" header="0.25" footer="0.5"/>
  <pageSetup scale="98" orientation="portrait" r:id="rId1"/>
  <headerFooter>
    <oddHeader>&amp;R&amp;"Times New Roman,Bold"&amp;12Attachment to Response to KU KIUC-2 Question No. 2.15
Page &amp;P of &amp;N
Arbough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73"/>
  <sheetViews>
    <sheetView workbookViewId="0">
      <selection activeCell="D25" sqref="D25"/>
    </sheetView>
  </sheetViews>
  <sheetFormatPr defaultColWidth="9.140625" defaultRowHeight="12.75" x14ac:dyDescent="0.2"/>
  <cols>
    <col min="1" max="1" width="34" style="68" customWidth="1"/>
    <col min="2" max="2" width="5.42578125" style="68" customWidth="1"/>
    <col min="3" max="3" width="15.85546875" style="68" bestFit="1" customWidth="1"/>
    <col min="4" max="4" width="17.28515625" style="68" bestFit="1" customWidth="1"/>
    <col min="5" max="5" width="4.85546875" style="68" customWidth="1"/>
    <col min="6" max="6" width="14.5703125" style="68" customWidth="1"/>
    <col min="7" max="16384" width="9.140625" style="68"/>
  </cols>
  <sheetData>
    <row r="1" spans="1:6" ht="13.5" thickBot="1" x14ac:dyDescent="0.25">
      <c r="A1" s="66" t="s">
        <v>89</v>
      </c>
      <c r="B1" s="66"/>
      <c r="C1" s="14"/>
      <c r="D1" s="14"/>
      <c r="E1" s="14"/>
      <c r="F1" s="67" t="s">
        <v>90</v>
      </c>
    </row>
    <row r="2" spans="1:6" x14ac:dyDescent="0.2">
      <c r="A2" s="2" t="s">
        <v>91</v>
      </c>
      <c r="B2" s="14"/>
      <c r="C2" s="14"/>
      <c r="D2" s="14"/>
      <c r="E2" s="14"/>
      <c r="F2" s="18"/>
    </row>
    <row r="3" spans="1:6" x14ac:dyDescent="0.2">
      <c r="A3" s="2" t="s">
        <v>59</v>
      </c>
      <c r="B3" s="34"/>
      <c r="C3" s="14"/>
      <c r="D3" s="14"/>
      <c r="E3" s="14"/>
      <c r="F3" s="18"/>
    </row>
    <row r="4" spans="1:6" ht="13.5" thickBot="1" x14ac:dyDescent="0.25">
      <c r="A4" s="14"/>
      <c r="B4" s="14"/>
      <c r="C4" s="69"/>
      <c r="D4" s="69"/>
      <c r="E4" s="69"/>
      <c r="F4" s="70" t="s">
        <v>52</v>
      </c>
    </row>
    <row r="5" spans="1:6" x14ac:dyDescent="0.2">
      <c r="A5" s="71" t="s">
        <v>60</v>
      </c>
      <c r="C5" s="1">
        <v>221016</v>
      </c>
      <c r="D5" s="1">
        <v>221017</v>
      </c>
      <c r="E5" s="1"/>
      <c r="F5" s="27"/>
    </row>
    <row r="6" spans="1:6" x14ac:dyDescent="0.2">
      <c r="A6" s="71" t="s">
        <v>92</v>
      </c>
      <c r="B6" s="1"/>
      <c r="C6" s="1">
        <v>226016</v>
      </c>
      <c r="D6" s="1">
        <v>226017</v>
      </c>
      <c r="E6" s="1"/>
      <c r="F6" s="27"/>
    </row>
    <row r="7" spans="1:6" x14ac:dyDescent="0.2">
      <c r="A7" s="71" t="s">
        <v>93</v>
      </c>
      <c r="B7" s="1"/>
      <c r="C7" s="1">
        <v>428216</v>
      </c>
      <c r="D7" s="1">
        <v>428217</v>
      </c>
      <c r="E7" s="1"/>
      <c r="F7" s="27"/>
    </row>
    <row r="8" spans="1:6" x14ac:dyDescent="0.2">
      <c r="A8" s="14"/>
      <c r="B8" s="14"/>
      <c r="C8" s="14"/>
      <c r="D8" s="2"/>
      <c r="E8" s="14"/>
      <c r="F8" s="18"/>
    </row>
    <row r="9" spans="1:6" x14ac:dyDescent="0.2">
      <c r="A9" s="14"/>
      <c r="B9" s="14"/>
      <c r="C9" s="14"/>
      <c r="D9" s="2"/>
      <c r="E9" s="14"/>
      <c r="F9" s="18"/>
    </row>
    <row r="10" spans="1:6" x14ac:dyDescent="0.2">
      <c r="A10" s="72" t="s">
        <v>63</v>
      </c>
      <c r="B10" s="73"/>
      <c r="C10" s="3">
        <v>400000000</v>
      </c>
      <c r="D10" s="3">
        <v>475000000</v>
      </c>
      <c r="E10" s="3"/>
      <c r="F10" s="59">
        <f>SUM(C10:D10)+E10</f>
        <v>875000000</v>
      </c>
    </row>
    <row r="11" spans="1:6" x14ac:dyDescent="0.2">
      <c r="A11" s="74" t="s">
        <v>94</v>
      </c>
      <c r="B11" s="34"/>
      <c r="C11" s="5">
        <v>1772000</v>
      </c>
      <c r="D11" s="5">
        <v>3719250</v>
      </c>
      <c r="E11" s="5"/>
      <c r="F11" s="38"/>
    </row>
    <row r="12" spans="1:6" x14ac:dyDescent="0.2">
      <c r="A12" s="74" t="s">
        <v>66</v>
      </c>
      <c r="B12" s="34"/>
      <c r="C12" s="6">
        <v>2.1250000000000002E-2</v>
      </c>
      <c r="D12" s="6">
        <v>3.7499999999999999E-2</v>
      </c>
      <c r="E12" s="7"/>
      <c r="F12" s="38"/>
    </row>
    <row r="13" spans="1:6" x14ac:dyDescent="0.2">
      <c r="A13" s="74" t="s">
        <v>67</v>
      </c>
      <c r="B13" s="34"/>
      <c r="C13" s="8" t="s">
        <v>68</v>
      </c>
      <c r="D13" s="8" t="s">
        <v>68</v>
      </c>
      <c r="E13" s="8"/>
      <c r="F13" s="38"/>
    </row>
    <row r="14" spans="1:6" x14ac:dyDescent="0.2">
      <c r="A14" s="74" t="s">
        <v>69</v>
      </c>
      <c r="B14" s="34"/>
      <c r="C14" s="9">
        <v>40494</v>
      </c>
      <c r="D14" s="9">
        <v>40494</v>
      </c>
      <c r="E14" s="9"/>
      <c r="F14" s="38"/>
    </row>
    <row r="15" spans="1:6" x14ac:dyDescent="0.2">
      <c r="A15" s="75" t="s">
        <v>70</v>
      </c>
      <c r="B15" s="34"/>
      <c r="C15" s="9">
        <v>42323</v>
      </c>
      <c r="D15" s="9">
        <v>44150</v>
      </c>
      <c r="E15" s="9"/>
      <c r="F15" s="38"/>
    </row>
    <row r="16" spans="1:6" x14ac:dyDescent="0.2">
      <c r="A16" s="76" t="s">
        <v>71</v>
      </c>
      <c r="B16" s="77"/>
      <c r="C16" s="10">
        <v>60</v>
      </c>
      <c r="D16" s="10">
        <v>120</v>
      </c>
      <c r="E16" s="11"/>
      <c r="F16" s="61"/>
    </row>
    <row r="17" spans="1:6" x14ac:dyDescent="0.2">
      <c r="A17" s="14"/>
      <c r="B17" s="14"/>
      <c r="C17" s="14"/>
      <c r="D17" s="14"/>
      <c r="E17" s="14"/>
      <c r="F17" s="18"/>
    </row>
    <row r="18" spans="1:6" x14ac:dyDescent="0.2">
      <c r="A18" s="78" t="s">
        <v>72</v>
      </c>
      <c r="B18" s="73"/>
      <c r="C18" s="73"/>
      <c r="D18" s="73"/>
      <c r="E18" s="73"/>
      <c r="F18" s="59"/>
    </row>
    <row r="19" spans="1:6" x14ac:dyDescent="0.2">
      <c r="A19" s="76" t="s">
        <v>73</v>
      </c>
      <c r="B19" s="77"/>
      <c r="C19" s="12">
        <v>0</v>
      </c>
      <c r="D19" s="12">
        <v>0</v>
      </c>
      <c r="E19" s="12"/>
      <c r="F19" s="43">
        <f>SUM(C19:E19)</f>
        <v>0</v>
      </c>
    </row>
    <row r="20" spans="1:6" x14ac:dyDescent="0.2">
      <c r="A20" s="14"/>
      <c r="B20" s="14"/>
      <c r="C20" s="14"/>
      <c r="D20" s="14"/>
      <c r="E20" s="14"/>
      <c r="F20" s="80"/>
    </row>
    <row r="21" spans="1:6" x14ac:dyDescent="0.2">
      <c r="A21" s="81" t="s">
        <v>74</v>
      </c>
      <c r="B21" s="14"/>
      <c r="C21" s="14"/>
      <c r="D21" s="14"/>
      <c r="E21" s="14"/>
      <c r="F21" s="80"/>
    </row>
    <row r="22" spans="1:6" x14ac:dyDescent="0.2">
      <c r="A22" s="14" t="s">
        <v>75</v>
      </c>
      <c r="B22" s="15">
        <v>1</v>
      </c>
      <c r="C22" s="14"/>
      <c r="D22" s="14"/>
      <c r="E22" s="14"/>
      <c r="F22" s="13">
        <f t="shared" ref="F22:F31" si="0">SUM(C22:E22)</f>
        <v>0</v>
      </c>
    </row>
    <row r="23" spans="1:6" x14ac:dyDescent="0.2">
      <c r="A23" s="14" t="s">
        <v>76</v>
      </c>
      <c r="B23" s="15">
        <v>2</v>
      </c>
      <c r="C23" s="14"/>
      <c r="D23" s="14"/>
      <c r="E23" s="14"/>
      <c r="F23" s="13">
        <f t="shared" si="0"/>
        <v>0</v>
      </c>
    </row>
    <row r="24" spans="1:6" x14ac:dyDescent="0.2">
      <c r="A24" s="14" t="s">
        <v>77</v>
      </c>
      <c r="B24" s="15">
        <v>3</v>
      </c>
      <c r="C24" s="14"/>
      <c r="D24" s="14"/>
      <c r="E24" s="14"/>
      <c r="F24" s="13">
        <f t="shared" si="0"/>
        <v>0</v>
      </c>
    </row>
    <row r="25" spans="1:6" x14ac:dyDescent="0.2">
      <c r="A25" s="14" t="s">
        <v>78</v>
      </c>
      <c r="B25" s="15">
        <v>4</v>
      </c>
      <c r="C25" s="14"/>
      <c r="D25" s="14"/>
      <c r="E25" s="14"/>
      <c r="F25" s="13">
        <f t="shared" si="0"/>
        <v>0</v>
      </c>
    </row>
    <row r="26" spans="1:6" x14ac:dyDescent="0.2">
      <c r="A26" s="14" t="s">
        <v>79</v>
      </c>
      <c r="B26" s="15">
        <v>5</v>
      </c>
      <c r="C26" s="14"/>
      <c r="D26" s="14"/>
      <c r="E26" s="14"/>
      <c r="F26" s="13">
        <f t="shared" si="0"/>
        <v>0</v>
      </c>
    </row>
    <row r="27" spans="1:6" x14ac:dyDescent="0.2">
      <c r="A27" s="14" t="s">
        <v>80</v>
      </c>
      <c r="B27" s="15">
        <v>6</v>
      </c>
      <c r="C27" s="14"/>
      <c r="D27" s="14"/>
      <c r="E27" s="14"/>
      <c r="F27" s="13">
        <f t="shared" si="0"/>
        <v>0</v>
      </c>
    </row>
    <row r="28" spans="1:6" x14ac:dyDescent="0.2">
      <c r="A28" s="14" t="s">
        <v>81</v>
      </c>
      <c r="B28" s="15">
        <v>7</v>
      </c>
      <c r="C28" s="14"/>
      <c r="D28" s="14"/>
      <c r="E28" s="14"/>
      <c r="F28" s="13">
        <f t="shared" si="0"/>
        <v>0</v>
      </c>
    </row>
    <row r="29" spans="1:6" x14ac:dyDescent="0.2">
      <c r="A29" s="14" t="s">
        <v>82</v>
      </c>
      <c r="B29" s="15">
        <v>8</v>
      </c>
      <c r="C29" s="14"/>
      <c r="D29" s="14"/>
      <c r="E29" s="14"/>
      <c r="F29" s="13">
        <f t="shared" si="0"/>
        <v>0</v>
      </c>
    </row>
    <row r="30" spans="1:6" x14ac:dyDescent="0.2">
      <c r="A30" s="14" t="s">
        <v>83</v>
      </c>
      <c r="B30" s="15">
        <v>9</v>
      </c>
      <c r="C30" s="14"/>
      <c r="D30" s="14"/>
      <c r="E30" s="14"/>
      <c r="F30" s="13">
        <f t="shared" si="0"/>
        <v>0</v>
      </c>
    </row>
    <row r="31" spans="1:6" x14ac:dyDescent="0.2">
      <c r="A31" s="14" t="s">
        <v>84</v>
      </c>
      <c r="B31" s="15">
        <v>10</v>
      </c>
      <c r="C31" s="14"/>
      <c r="D31" s="14"/>
      <c r="E31" s="14"/>
      <c r="F31" s="13">
        <f t="shared" si="0"/>
        <v>0</v>
      </c>
    </row>
    <row r="32" spans="1:6" x14ac:dyDescent="0.2">
      <c r="A32" s="14" t="s">
        <v>85</v>
      </c>
      <c r="B32" s="15">
        <v>11</v>
      </c>
      <c r="C32" s="19">
        <f>ROUND(($C$11/$C$16)/30*19,2)</f>
        <v>18704.439999999999</v>
      </c>
      <c r="D32" s="19">
        <f>ROUND(($D$11/$D$16)/30*19,2)</f>
        <v>19629.38</v>
      </c>
      <c r="E32" s="19"/>
      <c r="F32" s="13">
        <f>SUM(C32:E32)</f>
        <v>38333.82</v>
      </c>
    </row>
    <row r="33" spans="1:6" x14ac:dyDescent="0.2">
      <c r="A33" s="14" t="s">
        <v>86</v>
      </c>
      <c r="B33" s="15">
        <v>12</v>
      </c>
      <c r="C33" s="19">
        <f>ROUND(($C$11/$C$16),2)</f>
        <v>29533.33</v>
      </c>
      <c r="D33" s="19">
        <f>ROUND(($D$11/$D$16),2)</f>
        <v>30993.75</v>
      </c>
      <c r="E33" s="19"/>
      <c r="F33" s="13">
        <f>SUM(C33:E33)</f>
        <v>60527.08</v>
      </c>
    </row>
    <row r="34" spans="1:6" x14ac:dyDescent="0.2">
      <c r="A34" s="14" t="s">
        <v>95</v>
      </c>
      <c r="B34" s="82"/>
      <c r="C34" s="16">
        <f>SUM(C32:C33)</f>
        <v>48237.770000000004</v>
      </c>
      <c r="D34" s="16">
        <f>SUM(D32:D33)</f>
        <v>50623.130000000005</v>
      </c>
      <c r="E34" s="16"/>
      <c r="F34" s="17">
        <f>SUM(C34:E34)</f>
        <v>98860.900000000009</v>
      </c>
    </row>
    <row r="35" spans="1:6" x14ac:dyDescent="0.2">
      <c r="A35" s="14"/>
      <c r="B35" s="82"/>
      <c r="C35" s="14"/>
      <c r="D35" s="14"/>
      <c r="E35" s="14"/>
      <c r="F35" s="18"/>
    </row>
    <row r="36" spans="1:6" x14ac:dyDescent="0.2">
      <c r="A36" s="81" t="s">
        <v>96</v>
      </c>
      <c r="B36" s="82"/>
      <c r="C36" s="14"/>
      <c r="D36" s="14"/>
      <c r="E36" s="14"/>
      <c r="F36" s="18"/>
    </row>
    <row r="37" spans="1:6" x14ac:dyDescent="0.2">
      <c r="A37" s="14" t="s">
        <v>75</v>
      </c>
      <c r="B37" s="15">
        <v>1</v>
      </c>
      <c r="C37" s="19"/>
      <c r="D37" s="19"/>
      <c r="E37" s="19"/>
      <c r="F37" s="13">
        <f t="shared" ref="F37:F48" si="1">SUM(C37:E37)</f>
        <v>0</v>
      </c>
    </row>
    <row r="38" spans="1:6" x14ac:dyDescent="0.2">
      <c r="A38" s="14" t="s">
        <v>76</v>
      </c>
      <c r="B38" s="15">
        <v>2</v>
      </c>
      <c r="C38" s="19"/>
      <c r="D38" s="19"/>
      <c r="E38" s="19"/>
      <c r="F38" s="13">
        <f t="shared" si="1"/>
        <v>0</v>
      </c>
    </row>
    <row r="39" spans="1:6" x14ac:dyDescent="0.2">
      <c r="A39" s="14" t="s">
        <v>77</v>
      </c>
      <c r="B39" s="15">
        <v>3</v>
      </c>
      <c r="C39" s="19"/>
      <c r="D39" s="19"/>
      <c r="E39" s="19"/>
      <c r="F39" s="13">
        <f t="shared" si="1"/>
        <v>0</v>
      </c>
    </row>
    <row r="40" spans="1:6" x14ac:dyDescent="0.2">
      <c r="A40" s="14" t="s">
        <v>78</v>
      </c>
      <c r="B40" s="15">
        <v>4</v>
      </c>
      <c r="C40" s="19"/>
      <c r="D40" s="19"/>
      <c r="E40" s="19"/>
      <c r="F40" s="13">
        <f t="shared" si="1"/>
        <v>0</v>
      </c>
    </row>
    <row r="41" spans="1:6" x14ac:dyDescent="0.2">
      <c r="A41" s="14" t="s">
        <v>79</v>
      </c>
      <c r="B41" s="15">
        <v>5</v>
      </c>
      <c r="C41" s="19"/>
      <c r="D41" s="19"/>
      <c r="E41" s="19"/>
      <c r="F41" s="13">
        <f t="shared" si="1"/>
        <v>0</v>
      </c>
    </row>
    <row r="42" spans="1:6" x14ac:dyDescent="0.2">
      <c r="A42" s="14" t="s">
        <v>80</v>
      </c>
      <c r="B42" s="15">
        <v>6</v>
      </c>
      <c r="C42" s="19"/>
      <c r="D42" s="19"/>
      <c r="E42" s="19"/>
      <c r="F42" s="13">
        <f t="shared" si="1"/>
        <v>0</v>
      </c>
    </row>
    <row r="43" spans="1:6" x14ac:dyDescent="0.2">
      <c r="A43" s="14" t="s">
        <v>81</v>
      </c>
      <c r="B43" s="15">
        <v>7</v>
      </c>
      <c r="C43" s="19"/>
      <c r="D43" s="19"/>
      <c r="E43" s="19"/>
      <c r="F43" s="13">
        <f t="shared" si="1"/>
        <v>0</v>
      </c>
    </row>
    <row r="44" spans="1:6" x14ac:dyDescent="0.2">
      <c r="A44" s="14" t="s">
        <v>82</v>
      </c>
      <c r="B44" s="15">
        <v>8</v>
      </c>
      <c r="C44" s="19"/>
      <c r="D44" s="19"/>
      <c r="E44" s="19"/>
      <c r="F44" s="13">
        <f t="shared" si="1"/>
        <v>0</v>
      </c>
    </row>
    <row r="45" spans="1:6" x14ac:dyDescent="0.2">
      <c r="A45" s="14" t="s">
        <v>83</v>
      </c>
      <c r="B45" s="15">
        <v>9</v>
      </c>
      <c r="C45" s="19"/>
      <c r="D45" s="19"/>
      <c r="E45" s="19"/>
      <c r="F45" s="13">
        <f t="shared" si="1"/>
        <v>0</v>
      </c>
    </row>
    <row r="46" spans="1:6" x14ac:dyDescent="0.2">
      <c r="A46" s="14" t="s">
        <v>84</v>
      </c>
      <c r="B46" s="15">
        <v>10</v>
      </c>
      <c r="C46" s="20"/>
      <c r="D46" s="20"/>
      <c r="E46" s="20"/>
      <c r="F46" s="21">
        <f t="shared" si="1"/>
        <v>0</v>
      </c>
    </row>
    <row r="47" spans="1:6" x14ac:dyDescent="0.2">
      <c r="A47" s="14" t="s">
        <v>85</v>
      </c>
      <c r="B47" s="15">
        <v>11</v>
      </c>
      <c r="C47" s="159">
        <f>$C$11-C32</f>
        <v>1753295.56</v>
      </c>
      <c r="D47" s="159">
        <f>$D$11-D32</f>
        <v>3699620.62</v>
      </c>
      <c r="E47" s="159"/>
      <c r="F47" s="21">
        <f t="shared" si="1"/>
        <v>5452916.1799999997</v>
      </c>
    </row>
    <row r="48" spans="1:6" x14ac:dyDescent="0.2">
      <c r="A48" s="14" t="s">
        <v>86</v>
      </c>
      <c r="B48" s="15">
        <v>12</v>
      </c>
      <c r="C48" s="22">
        <f>C47-C33</f>
        <v>1723762.23</v>
      </c>
      <c r="D48" s="22">
        <f>D47-D33</f>
        <v>3668626.87</v>
      </c>
      <c r="E48" s="22"/>
      <c r="F48" s="23">
        <f t="shared" si="1"/>
        <v>5392389.0999999996</v>
      </c>
    </row>
    <row r="49" spans="1:6" x14ac:dyDescent="0.2">
      <c r="A49" s="14"/>
      <c r="B49" s="14"/>
      <c r="C49" s="14"/>
      <c r="D49" s="14"/>
      <c r="E49" s="14"/>
      <c r="F49" s="24"/>
    </row>
    <row r="50" spans="1:6" x14ac:dyDescent="0.2">
      <c r="A50" s="14"/>
      <c r="B50" s="14"/>
      <c r="C50" s="14"/>
      <c r="D50" s="14"/>
      <c r="E50" s="14"/>
      <c r="F50" s="18"/>
    </row>
    <row r="51" spans="1:6" x14ac:dyDescent="0.2">
      <c r="A51" s="14"/>
      <c r="B51" s="14"/>
      <c r="C51" s="25"/>
      <c r="D51" s="25"/>
      <c r="E51" s="25"/>
      <c r="F51" s="18"/>
    </row>
    <row r="52" spans="1:6" x14ac:dyDescent="0.2">
      <c r="A52" s="14"/>
      <c r="B52" s="14"/>
      <c r="C52" s="25"/>
      <c r="D52" s="25"/>
      <c r="E52" s="25"/>
      <c r="F52" s="18"/>
    </row>
    <row r="53" spans="1:6" x14ac:dyDescent="0.2">
      <c r="A53" s="71"/>
      <c r="B53" s="1"/>
      <c r="C53" s="26"/>
      <c r="D53" s="26"/>
      <c r="E53" s="26"/>
      <c r="F53" s="27"/>
    </row>
    <row r="54" spans="1:6" x14ac:dyDescent="0.2">
      <c r="A54" s="160"/>
      <c r="B54" s="161"/>
      <c r="C54" s="28"/>
      <c r="D54" s="29"/>
      <c r="E54" s="29"/>
      <c r="F54" s="30"/>
    </row>
    <row r="55" spans="1:6" s="33" customFormat="1" x14ac:dyDescent="0.2">
      <c r="A55" s="31"/>
      <c r="B55" s="8"/>
      <c r="C55" s="32"/>
      <c r="D55" s="32"/>
      <c r="E55" s="32"/>
      <c r="F55" s="4"/>
    </row>
    <row r="56" spans="1:6" s="33" customFormat="1" x14ac:dyDescent="0.2">
      <c r="A56" s="34"/>
      <c r="B56" s="35"/>
      <c r="C56" s="35"/>
      <c r="D56" s="35"/>
      <c r="E56" s="35"/>
      <c r="F56" s="35"/>
    </row>
    <row r="57" spans="1:6" s="33" customFormat="1" x14ac:dyDescent="0.2">
      <c r="A57" s="8"/>
      <c r="B57" s="8"/>
      <c r="C57" s="8"/>
      <c r="D57" s="8"/>
      <c r="E57" s="8"/>
      <c r="F57" s="4"/>
    </row>
    <row r="58" spans="1:6" s="33" customFormat="1" x14ac:dyDescent="0.2">
      <c r="A58" s="36"/>
      <c r="B58" s="36"/>
      <c r="C58" s="37"/>
      <c r="D58" s="37"/>
      <c r="E58" s="37"/>
      <c r="F58" s="37"/>
    </row>
    <row r="59" spans="1:6" s="33" customFormat="1" x14ac:dyDescent="0.2">
      <c r="A59" s="34"/>
      <c r="B59" s="34"/>
      <c r="C59" s="34"/>
      <c r="D59" s="34"/>
      <c r="E59" s="34"/>
      <c r="F59" s="38"/>
    </row>
    <row r="60" spans="1:6" s="33" customFormat="1" x14ac:dyDescent="0.2">
      <c r="A60" s="34"/>
      <c r="B60" s="34"/>
      <c r="C60" s="34"/>
      <c r="D60" s="34"/>
      <c r="E60" s="34"/>
      <c r="F60" s="24"/>
    </row>
    <row r="61" spans="1:6" s="33" customFormat="1" x14ac:dyDescent="0.2">
      <c r="A61" s="34"/>
      <c r="B61" s="34"/>
      <c r="C61" s="34"/>
      <c r="D61" s="34"/>
      <c r="E61" s="34"/>
      <c r="F61" s="38"/>
    </row>
    <row r="62" spans="1:6" s="33" customFormat="1" x14ac:dyDescent="0.2">
      <c r="A62" s="36"/>
      <c r="B62" s="36"/>
      <c r="C62" s="36"/>
      <c r="D62" s="36"/>
      <c r="E62" s="36"/>
      <c r="F62" s="36"/>
    </row>
    <row r="63" spans="1:6" s="33" customFormat="1" x14ac:dyDescent="0.2">
      <c r="A63" s="34"/>
      <c r="B63" s="34"/>
      <c r="C63" s="34"/>
      <c r="D63" s="34"/>
      <c r="E63" s="34"/>
      <c r="F63" s="38"/>
    </row>
    <row r="64" spans="1:6" s="33" customFormat="1" x14ac:dyDescent="0.2">
      <c r="A64" s="34"/>
      <c r="B64" s="34"/>
      <c r="C64" s="34"/>
      <c r="D64" s="34"/>
      <c r="E64" s="34"/>
      <c r="F64" s="38"/>
    </row>
    <row r="65" spans="1:6" s="33" customFormat="1" x14ac:dyDescent="0.2">
      <c r="A65" s="34"/>
      <c r="B65" s="34"/>
      <c r="C65" s="34"/>
      <c r="D65" s="34"/>
      <c r="E65" s="39"/>
      <c r="F65" s="38"/>
    </row>
    <row r="66" spans="1:6" s="33" customFormat="1" x14ac:dyDescent="0.2">
      <c r="A66" s="34"/>
      <c r="B66" s="34"/>
      <c r="C66" s="34"/>
      <c r="D66" s="34"/>
      <c r="E66" s="39"/>
      <c r="F66" s="38"/>
    </row>
    <row r="67" spans="1:6" s="33" customFormat="1" x14ac:dyDescent="0.2">
      <c r="A67" s="34"/>
      <c r="B67" s="34"/>
      <c r="C67" s="34"/>
      <c r="D67" s="34"/>
      <c r="E67" s="39"/>
      <c r="F67" s="38"/>
    </row>
    <row r="68" spans="1:6" s="33" customFormat="1" x14ac:dyDescent="0.2">
      <c r="A68" s="34"/>
      <c r="B68" s="34"/>
      <c r="C68" s="34"/>
      <c r="D68" s="34"/>
      <c r="E68" s="34"/>
      <c r="F68" s="40"/>
    </row>
    <row r="69" spans="1:6" s="33" customFormat="1" x14ac:dyDescent="0.2"/>
    <row r="70" spans="1:6" s="33" customFormat="1" x14ac:dyDescent="0.2"/>
    <row r="71" spans="1:6" s="33" customFormat="1" x14ac:dyDescent="0.2"/>
    <row r="72" spans="1:6" s="33" customFormat="1" x14ac:dyDescent="0.2"/>
    <row r="73" spans="1:6" s="33" customFormat="1" x14ac:dyDescent="0.2"/>
  </sheetData>
  <pageMargins left="0.7" right="0.7" top="1" bottom="0.75" header="0.25" footer="0.5"/>
  <pageSetup orientation="portrait" r:id="rId1"/>
  <headerFooter>
    <oddHeader>&amp;R&amp;"Times New Roman,Bold"&amp;12Attachment to Response to KU KIUC-2 Question No. 2.15
Page &amp;P of &amp;N
Arbough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77"/>
  <sheetViews>
    <sheetView workbookViewId="0">
      <selection activeCell="D25" sqref="D25"/>
    </sheetView>
  </sheetViews>
  <sheetFormatPr defaultColWidth="9.140625" defaultRowHeight="12.75" x14ac:dyDescent="0.2"/>
  <cols>
    <col min="1" max="1" width="29.28515625" style="68" customWidth="1"/>
    <col min="2" max="2" width="5.42578125" style="68" customWidth="1"/>
    <col min="3" max="3" width="15.85546875" style="68" bestFit="1" customWidth="1"/>
    <col min="4" max="4" width="17.28515625" style="68" bestFit="1" customWidth="1"/>
    <col min="5" max="5" width="4.85546875" style="68" customWidth="1"/>
    <col min="6" max="6" width="14.42578125" style="68" customWidth="1"/>
    <col min="7" max="16384" width="9.140625" style="68"/>
  </cols>
  <sheetData>
    <row r="1" spans="1:6" ht="13.5" thickBot="1" x14ac:dyDescent="0.25">
      <c r="A1" s="66" t="s">
        <v>89</v>
      </c>
      <c r="B1" s="66"/>
      <c r="C1" s="14"/>
      <c r="D1" s="14"/>
      <c r="E1" s="14"/>
      <c r="F1" s="67" t="s">
        <v>90</v>
      </c>
    </row>
    <row r="2" spans="1:6" x14ac:dyDescent="0.2">
      <c r="A2" s="2" t="s">
        <v>97</v>
      </c>
      <c r="B2" s="14"/>
      <c r="C2" s="14"/>
      <c r="D2" s="14"/>
      <c r="E2" s="14"/>
      <c r="F2" s="18"/>
    </row>
    <row r="3" spans="1:6" x14ac:dyDescent="0.2">
      <c r="A3" s="2" t="s">
        <v>59</v>
      </c>
      <c r="B3" s="34"/>
      <c r="C3" s="14"/>
      <c r="D3" s="14"/>
      <c r="E3" s="14"/>
      <c r="F3" s="18"/>
    </row>
    <row r="4" spans="1:6" ht="13.5" thickBot="1" x14ac:dyDescent="0.25">
      <c r="A4" s="14"/>
      <c r="B4" s="14"/>
      <c r="C4" s="69"/>
      <c r="D4" s="69"/>
      <c r="E4" s="69"/>
      <c r="F4" s="70" t="s">
        <v>52</v>
      </c>
    </row>
    <row r="5" spans="1:6" x14ac:dyDescent="0.2">
      <c r="A5" s="71" t="s">
        <v>60</v>
      </c>
      <c r="C5" s="1">
        <v>221016</v>
      </c>
      <c r="D5" s="1">
        <v>221017</v>
      </c>
      <c r="E5" s="1"/>
      <c r="F5" s="27"/>
    </row>
    <row r="6" spans="1:6" x14ac:dyDescent="0.2">
      <c r="A6" s="71" t="s">
        <v>98</v>
      </c>
      <c r="B6" s="1"/>
      <c r="C6" s="1">
        <v>237016</v>
      </c>
      <c r="D6" s="1">
        <v>237017</v>
      </c>
      <c r="E6" s="1"/>
      <c r="F6" s="27"/>
    </row>
    <row r="7" spans="1:6" x14ac:dyDescent="0.2">
      <c r="A7" s="71" t="s">
        <v>99</v>
      </c>
      <c r="B7" s="1"/>
      <c r="C7" s="1">
        <v>427016</v>
      </c>
      <c r="D7" s="1">
        <v>427017</v>
      </c>
      <c r="E7" s="1"/>
      <c r="F7" s="27"/>
    </row>
    <row r="8" spans="1:6" x14ac:dyDescent="0.2">
      <c r="A8" s="14"/>
      <c r="B8" s="14"/>
      <c r="C8" s="14"/>
      <c r="D8" s="2"/>
      <c r="E8" s="14"/>
      <c r="F8" s="18"/>
    </row>
    <row r="9" spans="1:6" x14ac:dyDescent="0.2">
      <c r="A9" s="14"/>
      <c r="B9" s="14"/>
      <c r="C9" s="14"/>
      <c r="D9" s="2"/>
      <c r="E9" s="14"/>
      <c r="F9" s="18"/>
    </row>
    <row r="10" spans="1:6" x14ac:dyDescent="0.2">
      <c r="A10" s="72" t="s">
        <v>63</v>
      </c>
      <c r="B10" s="73"/>
      <c r="C10" s="3">
        <v>400000000</v>
      </c>
      <c r="D10" s="3">
        <v>475000000</v>
      </c>
      <c r="E10" s="3"/>
      <c r="F10" s="59">
        <f>SUM(C10:D10)+E10</f>
        <v>875000000</v>
      </c>
    </row>
    <row r="11" spans="1:6" x14ac:dyDescent="0.2">
      <c r="A11" s="74" t="s">
        <v>66</v>
      </c>
      <c r="B11" s="34"/>
      <c r="C11" s="6">
        <v>2.1250000000000002E-2</v>
      </c>
      <c r="D11" s="6">
        <v>3.7499999999999999E-2</v>
      </c>
      <c r="E11" s="7"/>
      <c r="F11" s="38"/>
    </row>
    <row r="12" spans="1:6" x14ac:dyDescent="0.2">
      <c r="A12" s="74" t="s">
        <v>67</v>
      </c>
      <c r="B12" s="34"/>
      <c r="C12" s="8" t="s">
        <v>68</v>
      </c>
      <c r="D12" s="8" t="s">
        <v>68</v>
      </c>
      <c r="E12" s="8"/>
      <c r="F12" s="38"/>
    </row>
    <row r="13" spans="1:6" x14ac:dyDescent="0.2">
      <c r="A13" s="74" t="s">
        <v>69</v>
      </c>
      <c r="B13" s="34"/>
      <c r="C13" s="9">
        <v>40494</v>
      </c>
      <c r="D13" s="9">
        <v>40494</v>
      </c>
      <c r="E13" s="9"/>
      <c r="F13" s="38"/>
    </row>
    <row r="14" spans="1:6" x14ac:dyDescent="0.2">
      <c r="A14" s="75" t="s">
        <v>70</v>
      </c>
      <c r="B14" s="34"/>
      <c r="C14" s="9">
        <v>42323</v>
      </c>
      <c r="D14" s="9">
        <v>44150</v>
      </c>
      <c r="E14" s="9"/>
      <c r="F14" s="38"/>
    </row>
    <row r="15" spans="1:6" x14ac:dyDescent="0.2">
      <c r="A15" s="76" t="s">
        <v>100</v>
      </c>
      <c r="B15" s="77"/>
      <c r="C15" s="41" t="s">
        <v>101</v>
      </c>
      <c r="D15" s="41" t="s">
        <v>101</v>
      </c>
      <c r="E15" s="11"/>
      <c r="F15" s="61"/>
    </row>
    <row r="16" spans="1:6" x14ac:dyDescent="0.2">
      <c r="A16" s="14"/>
      <c r="B16" s="14"/>
      <c r="C16" s="14"/>
      <c r="D16" s="14"/>
      <c r="E16" s="14"/>
      <c r="F16" s="18"/>
    </row>
    <row r="17" spans="1:6" x14ac:dyDescent="0.2">
      <c r="A17" s="78" t="s">
        <v>72</v>
      </c>
      <c r="B17" s="73"/>
      <c r="C17" s="73"/>
      <c r="D17" s="73"/>
      <c r="E17" s="73"/>
      <c r="F17" s="59"/>
    </row>
    <row r="18" spans="1:6" x14ac:dyDescent="0.2">
      <c r="A18" s="76" t="s">
        <v>73</v>
      </c>
      <c r="B18" s="77"/>
      <c r="C18" s="12">
        <v>0</v>
      </c>
      <c r="D18" s="12">
        <v>0</v>
      </c>
      <c r="E18" s="12"/>
      <c r="F18" s="43">
        <f>SUM(C18:E18)</f>
        <v>0</v>
      </c>
    </row>
    <row r="19" spans="1:6" x14ac:dyDescent="0.2">
      <c r="A19" s="14"/>
      <c r="B19" s="14"/>
      <c r="C19" s="14"/>
      <c r="D19" s="14"/>
      <c r="E19" s="14"/>
      <c r="F19" s="80"/>
    </row>
    <row r="20" spans="1:6" x14ac:dyDescent="0.2">
      <c r="A20" s="81" t="s">
        <v>102</v>
      </c>
      <c r="B20" s="14"/>
      <c r="C20" s="14"/>
      <c r="D20" s="14"/>
      <c r="E20" s="14"/>
      <c r="F20" s="80"/>
    </row>
    <row r="21" spans="1:6" x14ac:dyDescent="0.2">
      <c r="A21" s="14" t="s">
        <v>75</v>
      </c>
      <c r="B21" s="15">
        <v>1</v>
      </c>
      <c r="C21" s="14"/>
      <c r="D21" s="14"/>
      <c r="E21" s="14"/>
      <c r="F21" s="13">
        <f t="shared" ref="F21:F30" si="0">SUM(C21:E21)</f>
        <v>0</v>
      </c>
    </row>
    <row r="22" spans="1:6" x14ac:dyDescent="0.2">
      <c r="A22" s="14" t="s">
        <v>76</v>
      </c>
      <c r="B22" s="15">
        <v>2</v>
      </c>
      <c r="C22" s="14"/>
      <c r="D22" s="14"/>
      <c r="E22" s="14"/>
      <c r="F22" s="13">
        <f t="shared" si="0"/>
        <v>0</v>
      </c>
    </row>
    <row r="23" spans="1:6" x14ac:dyDescent="0.2">
      <c r="A23" s="14" t="s">
        <v>77</v>
      </c>
      <c r="B23" s="15">
        <v>3</v>
      </c>
      <c r="C23" s="14"/>
      <c r="D23" s="14"/>
      <c r="E23" s="14"/>
      <c r="F23" s="13">
        <f t="shared" si="0"/>
        <v>0</v>
      </c>
    </row>
    <row r="24" spans="1:6" x14ac:dyDescent="0.2">
      <c r="A24" s="14" t="s">
        <v>78</v>
      </c>
      <c r="B24" s="15">
        <v>4</v>
      </c>
      <c r="C24" s="14"/>
      <c r="D24" s="14"/>
      <c r="E24" s="14"/>
      <c r="F24" s="13">
        <f t="shared" si="0"/>
        <v>0</v>
      </c>
    </row>
    <row r="25" spans="1:6" x14ac:dyDescent="0.2">
      <c r="A25" s="14" t="s">
        <v>79</v>
      </c>
      <c r="B25" s="15">
        <v>5</v>
      </c>
      <c r="C25" s="14"/>
      <c r="D25" s="14"/>
      <c r="E25" s="14"/>
      <c r="F25" s="13">
        <f t="shared" si="0"/>
        <v>0</v>
      </c>
    </row>
    <row r="26" spans="1:6" x14ac:dyDescent="0.2">
      <c r="A26" s="14" t="s">
        <v>80</v>
      </c>
      <c r="B26" s="15">
        <v>6</v>
      </c>
      <c r="C26" s="14"/>
      <c r="D26" s="14"/>
      <c r="E26" s="14"/>
      <c r="F26" s="13">
        <f t="shared" si="0"/>
        <v>0</v>
      </c>
    </row>
    <row r="27" spans="1:6" x14ac:dyDescent="0.2">
      <c r="A27" s="14" t="s">
        <v>81</v>
      </c>
      <c r="B27" s="15">
        <v>7</v>
      </c>
      <c r="C27" s="14"/>
      <c r="D27" s="14"/>
      <c r="E27" s="14"/>
      <c r="F27" s="13">
        <f t="shared" si="0"/>
        <v>0</v>
      </c>
    </row>
    <row r="28" spans="1:6" x14ac:dyDescent="0.2">
      <c r="A28" s="14" t="s">
        <v>82</v>
      </c>
      <c r="B28" s="15">
        <v>8</v>
      </c>
      <c r="C28" s="14"/>
      <c r="D28" s="14"/>
      <c r="E28" s="14"/>
      <c r="F28" s="13">
        <f t="shared" si="0"/>
        <v>0</v>
      </c>
    </row>
    <row r="29" spans="1:6" x14ac:dyDescent="0.2">
      <c r="A29" s="14" t="s">
        <v>83</v>
      </c>
      <c r="B29" s="15">
        <v>9</v>
      </c>
      <c r="C29" s="14"/>
      <c r="D29" s="14"/>
      <c r="E29" s="14"/>
      <c r="F29" s="13">
        <f t="shared" si="0"/>
        <v>0</v>
      </c>
    </row>
    <row r="30" spans="1:6" x14ac:dyDescent="0.2">
      <c r="A30" s="14" t="s">
        <v>84</v>
      </c>
      <c r="B30" s="15">
        <v>10</v>
      </c>
      <c r="C30" s="14"/>
      <c r="D30" s="14"/>
      <c r="E30" s="14"/>
      <c r="F30" s="13">
        <f t="shared" si="0"/>
        <v>0</v>
      </c>
    </row>
    <row r="31" spans="1:6" x14ac:dyDescent="0.2">
      <c r="A31" s="14" t="s">
        <v>85</v>
      </c>
      <c r="B31" s="15">
        <v>11</v>
      </c>
      <c r="C31" s="19">
        <f>ROUND(($C$10*$C$11)/360*19,2)</f>
        <v>448611.11</v>
      </c>
      <c r="D31" s="19">
        <f>ROUND(($D$10*$D$11)/360*19,2)</f>
        <v>940104.17</v>
      </c>
      <c r="E31" s="19"/>
      <c r="F31" s="13">
        <f>SUM(C31:E31)</f>
        <v>1388715.28</v>
      </c>
    </row>
    <row r="32" spans="1:6" x14ac:dyDescent="0.2">
      <c r="A32" s="14" t="s">
        <v>86</v>
      </c>
      <c r="B32" s="15">
        <v>12</v>
      </c>
      <c r="C32" s="19">
        <f>ROUND(($C$10*$C$11)/12,2)</f>
        <v>708333.33</v>
      </c>
      <c r="D32" s="19">
        <f>ROUND(($D$10*$D$11)/12,2)</f>
        <v>1484375</v>
      </c>
      <c r="E32" s="19"/>
      <c r="F32" s="13">
        <f>SUM(C32:E32)</f>
        <v>2192708.33</v>
      </c>
    </row>
    <row r="33" spans="1:6" x14ac:dyDescent="0.2">
      <c r="A33" s="14" t="s">
        <v>87</v>
      </c>
      <c r="B33" s="82"/>
      <c r="C33" s="16">
        <f>SUM(C31:C32)</f>
        <v>1156944.44</v>
      </c>
      <c r="D33" s="16">
        <f>SUM(D31:D32)</f>
        <v>2424479.17</v>
      </c>
      <c r="E33" s="16"/>
      <c r="F33" s="17">
        <f>SUM(C33:E33)</f>
        <v>3581423.61</v>
      </c>
    </row>
    <row r="34" spans="1:6" x14ac:dyDescent="0.2">
      <c r="A34" s="14"/>
      <c r="B34" s="82"/>
      <c r="C34" s="14"/>
      <c r="D34" s="14"/>
      <c r="E34" s="14"/>
      <c r="F34" s="18"/>
    </row>
    <row r="35" spans="1:6" x14ac:dyDescent="0.2">
      <c r="A35" s="81" t="s">
        <v>100</v>
      </c>
      <c r="B35" s="82"/>
      <c r="C35" s="14"/>
      <c r="D35" s="14"/>
      <c r="E35" s="14"/>
      <c r="F35" s="18"/>
    </row>
    <row r="36" spans="1:6" x14ac:dyDescent="0.2">
      <c r="A36" s="14" t="s">
        <v>75</v>
      </c>
      <c r="B36" s="15">
        <v>1</v>
      </c>
      <c r="C36" s="19"/>
      <c r="D36" s="19"/>
      <c r="E36" s="19"/>
      <c r="F36" s="13">
        <f t="shared" ref="F36:F48" si="1">SUM(C36:E36)</f>
        <v>0</v>
      </c>
    </row>
    <row r="37" spans="1:6" x14ac:dyDescent="0.2">
      <c r="A37" s="14" t="s">
        <v>76</v>
      </c>
      <c r="B37" s="15">
        <v>2</v>
      </c>
      <c r="C37" s="19"/>
      <c r="D37" s="19"/>
      <c r="E37" s="19"/>
      <c r="F37" s="13">
        <f t="shared" si="1"/>
        <v>0</v>
      </c>
    </row>
    <row r="38" spans="1:6" x14ac:dyDescent="0.2">
      <c r="A38" s="14" t="s">
        <v>77</v>
      </c>
      <c r="B38" s="15">
        <v>3</v>
      </c>
      <c r="C38" s="19"/>
      <c r="D38" s="19"/>
      <c r="E38" s="19"/>
      <c r="F38" s="13">
        <f t="shared" si="1"/>
        <v>0</v>
      </c>
    </row>
    <row r="39" spans="1:6" x14ac:dyDescent="0.2">
      <c r="A39" s="14" t="s">
        <v>78</v>
      </c>
      <c r="B39" s="15">
        <v>4</v>
      </c>
      <c r="C39" s="19"/>
      <c r="D39" s="19"/>
      <c r="E39" s="19"/>
      <c r="F39" s="13">
        <f t="shared" si="1"/>
        <v>0</v>
      </c>
    </row>
    <row r="40" spans="1:6" x14ac:dyDescent="0.2">
      <c r="A40" s="14" t="s">
        <v>79</v>
      </c>
      <c r="B40" s="15">
        <v>5</v>
      </c>
      <c r="C40" s="19"/>
      <c r="D40" s="19"/>
      <c r="E40" s="19"/>
      <c r="F40" s="13">
        <f t="shared" si="1"/>
        <v>0</v>
      </c>
    </row>
    <row r="41" spans="1:6" x14ac:dyDescent="0.2">
      <c r="A41" s="14" t="s">
        <v>80</v>
      </c>
      <c r="B41" s="15">
        <v>6</v>
      </c>
      <c r="C41" s="19"/>
      <c r="D41" s="19"/>
      <c r="E41" s="19"/>
      <c r="F41" s="13">
        <f t="shared" si="1"/>
        <v>0</v>
      </c>
    </row>
    <row r="42" spans="1:6" x14ac:dyDescent="0.2">
      <c r="A42" s="14" t="s">
        <v>81</v>
      </c>
      <c r="B42" s="15">
        <v>7</v>
      </c>
      <c r="C42" s="19"/>
      <c r="D42" s="19"/>
      <c r="E42" s="19"/>
      <c r="F42" s="13">
        <f t="shared" si="1"/>
        <v>0</v>
      </c>
    </row>
    <row r="43" spans="1:6" x14ac:dyDescent="0.2">
      <c r="A43" s="14" t="s">
        <v>82</v>
      </c>
      <c r="B43" s="15">
        <v>8</v>
      </c>
      <c r="C43" s="19"/>
      <c r="D43" s="19"/>
      <c r="E43" s="19"/>
      <c r="F43" s="13">
        <f t="shared" si="1"/>
        <v>0</v>
      </c>
    </row>
    <row r="44" spans="1:6" x14ac:dyDescent="0.2">
      <c r="A44" s="14" t="s">
        <v>83</v>
      </c>
      <c r="B44" s="15">
        <v>9</v>
      </c>
      <c r="C44" s="19"/>
      <c r="D44" s="19"/>
      <c r="E44" s="19"/>
      <c r="F44" s="13">
        <f t="shared" si="1"/>
        <v>0</v>
      </c>
    </row>
    <row r="45" spans="1:6" x14ac:dyDescent="0.2">
      <c r="A45" s="14" t="s">
        <v>84</v>
      </c>
      <c r="B45" s="15">
        <v>10</v>
      </c>
      <c r="C45" s="20"/>
      <c r="D45" s="20"/>
      <c r="E45" s="20"/>
      <c r="F45" s="21">
        <f t="shared" si="1"/>
        <v>0</v>
      </c>
    </row>
    <row r="46" spans="1:6" x14ac:dyDescent="0.2">
      <c r="A46" s="14" t="s">
        <v>85</v>
      </c>
      <c r="B46" s="15">
        <v>11</v>
      </c>
      <c r="C46" s="159"/>
      <c r="D46" s="159"/>
      <c r="E46" s="159"/>
      <c r="F46" s="21">
        <f t="shared" si="1"/>
        <v>0</v>
      </c>
    </row>
    <row r="47" spans="1:6" x14ac:dyDescent="0.2">
      <c r="A47" s="14" t="s">
        <v>86</v>
      </c>
      <c r="B47" s="15">
        <v>12</v>
      </c>
      <c r="C47" s="83"/>
      <c r="D47" s="83"/>
      <c r="E47" s="83"/>
      <c r="F47" s="42">
        <f t="shared" si="1"/>
        <v>0</v>
      </c>
    </row>
    <row r="48" spans="1:6" x14ac:dyDescent="0.2">
      <c r="A48" s="14" t="s">
        <v>52</v>
      </c>
      <c r="B48" s="82" t="s">
        <v>103</v>
      </c>
      <c r="C48" s="12">
        <f>SUM(C36:C47)</f>
        <v>0</v>
      </c>
      <c r="D48" s="12">
        <f>SUM(D36:D47)</f>
        <v>0</v>
      </c>
      <c r="E48" s="12"/>
      <c r="F48" s="43">
        <f t="shared" si="1"/>
        <v>0</v>
      </c>
    </row>
    <row r="49" spans="1:6" x14ac:dyDescent="0.2">
      <c r="A49" s="14"/>
      <c r="B49" s="14"/>
      <c r="C49" s="14"/>
      <c r="D49" s="14"/>
      <c r="E49" s="14"/>
      <c r="F49" s="18"/>
    </row>
    <row r="50" spans="1:6" x14ac:dyDescent="0.2">
      <c r="A50" s="81" t="s">
        <v>104</v>
      </c>
      <c r="B50" s="14"/>
      <c r="C50" s="14"/>
      <c r="D50" s="14"/>
      <c r="E50" s="14"/>
      <c r="F50" s="80"/>
    </row>
    <row r="51" spans="1:6" x14ac:dyDescent="0.2">
      <c r="A51" s="14" t="s">
        <v>75</v>
      </c>
      <c r="B51" s="15">
        <v>1</v>
      </c>
      <c r="C51" s="19"/>
      <c r="D51" s="19"/>
      <c r="E51" s="19"/>
      <c r="F51" s="13">
        <f t="shared" ref="F51:F62" si="2">SUM(C51:E51)</f>
        <v>0</v>
      </c>
    </row>
    <row r="52" spans="1:6" x14ac:dyDescent="0.2">
      <c r="A52" s="14" t="s">
        <v>76</v>
      </c>
      <c r="B52" s="15">
        <v>2</v>
      </c>
      <c r="C52" s="19"/>
      <c r="D52" s="19"/>
      <c r="E52" s="19"/>
      <c r="F52" s="13">
        <f t="shared" si="2"/>
        <v>0</v>
      </c>
    </row>
    <row r="53" spans="1:6" x14ac:dyDescent="0.2">
      <c r="A53" s="14" t="s">
        <v>77</v>
      </c>
      <c r="B53" s="15">
        <v>3</v>
      </c>
      <c r="C53" s="19"/>
      <c r="D53" s="19"/>
      <c r="E53" s="19"/>
      <c r="F53" s="13">
        <f t="shared" si="2"/>
        <v>0</v>
      </c>
    </row>
    <row r="54" spans="1:6" x14ac:dyDescent="0.2">
      <c r="A54" s="14" t="s">
        <v>78</v>
      </c>
      <c r="B54" s="15">
        <v>4</v>
      </c>
      <c r="C54" s="19"/>
      <c r="D54" s="19"/>
      <c r="E54" s="19"/>
      <c r="F54" s="13">
        <f t="shared" si="2"/>
        <v>0</v>
      </c>
    </row>
    <row r="55" spans="1:6" x14ac:dyDescent="0.2">
      <c r="A55" s="14" t="s">
        <v>79</v>
      </c>
      <c r="B55" s="15">
        <v>5</v>
      </c>
      <c r="C55" s="19"/>
      <c r="D55" s="19"/>
      <c r="E55" s="19"/>
      <c r="F55" s="13">
        <f t="shared" si="2"/>
        <v>0</v>
      </c>
    </row>
    <row r="56" spans="1:6" x14ac:dyDescent="0.2">
      <c r="A56" s="14" t="s">
        <v>80</v>
      </c>
      <c r="B56" s="15">
        <v>6</v>
      </c>
      <c r="C56" s="19"/>
      <c r="D56" s="19"/>
      <c r="E56" s="19"/>
      <c r="F56" s="13">
        <f t="shared" si="2"/>
        <v>0</v>
      </c>
    </row>
    <row r="57" spans="1:6" x14ac:dyDescent="0.2">
      <c r="A57" s="14" t="s">
        <v>81</v>
      </c>
      <c r="B57" s="15">
        <v>7</v>
      </c>
      <c r="C57" s="19"/>
      <c r="D57" s="19"/>
      <c r="E57" s="19"/>
      <c r="F57" s="13">
        <f t="shared" si="2"/>
        <v>0</v>
      </c>
    </row>
    <row r="58" spans="1:6" x14ac:dyDescent="0.2">
      <c r="A58" s="14" t="s">
        <v>82</v>
      </c>
      <c r="B58" s="15">
        <v>8</v>
      </c>
      <c r="C58" s="19"/>
      <c r="D58" s="19"/>
      <c r="E58" s="19"/>
      <c r="F58" s="13">
        <f t="shared" si="2"/>
        <v>0</v>
      </c>
    </row>
    <row r="59" spans="1:6" x14ac:dyDescent="0.2">
      <c r="A59" s="14" t="s">
        <v>83</v>
      </c>
      <c r="B59" s="15">
        <v>9</v>
      </c>
      <c r="C59" s="19"/>
      <c r="D59" s="19"/>
      <c r="E59" s="19"/>
      <c r="F59" s="13">
        <f t="shared" si="2"/>
        <v>0</v>
      </c>
    </row>
    <row r="60" spans="1:6" x14ac:dyDescent="0.2">
      <c r="A60" s="14" t="s">
        <v>84</v>
      </c>
      <c r="B60" s="15">
        <v>10</v>
      </c>
      <c r="C60" s="19"/>
      <c r="D60" s="19"/>
      <c r="E60" s="19"/>
      <c r="F60" s="13">
        <f t="shared" si="2"/>
        <v>0</v>
      </c>
    </row>
    <row r="61" spans="1:6" x14ac:dyDescent="0.2">
      <c r="A61" s="14" t="s">
        <v>85</v>
      </c>
      <c r="B61" s="15">
        <v>11</v>
      </c>
      <c r="C61" s="63">
        <f>-C31+C46</f>
        <v>-448611.11</v>
      </c>
      <c r="D61" s="63">
        <f>-D31+D46</f>
        <v>-940104.17</v>
      </c>
      <c r="E61" s="19"/>
      <c r="F61" s="13">
        <f t="shared" si="2"/>
        <v>-1388715.28</v>
      </c>
    </row>
    <row r="62" spans="1:6" x14ac:dyDescent="0.2">
      <c r="A62" s="14" t="s">
        <v>86</v>
      </c>
      <c r="B62" s="15">
        <v>12</v>
      </c>
      <c r="C62" s="63">
        <f>C61-C32+C47</f>
        <v>-1156944.44</v>
      </c>
      <c r="D62" s="63">
        <f>D61-D32+D47</f>
        <v>-2424479.17</v>
      </c>
      <c r="E62" s="19"/>
      <c r="F62" s="13">
        <f t="shared" si="2"/>
        <v>-3581423.61</v>
      </c>
    </row>
    <row r="63" spans="1:6" x14ac:dyDescent="0.2">
      <c r="A63" s="14"/>
      <c r="B63" s="82"/>
      <c r="C63" s="44"/>
      <c r="D63" s="44"/>
      <c r="E63" s="44"/>
      <c r="F63" s="35"/>
    </row>
    <row r="64" spans="1:6" x14ac:dyDescent="0.2">
      <c r="A64" s="14"/>
      <c r="B64" s="82"/>
      <c r="C64" s="14"/>
      <c r="D64" s="14"/>
      <c r="E64" s="14"/>
      <c r="F64" s="18"/>
    </row>
    <row r="65" spans="1:6" s="33" customFormat="1" x14ac:dyDescent="0.2">
      <c r="A65" s="34"/>
      <c r="B65" s="34"/>
      <c r="C65" s="34"/>
      <c r="D65" s="34"/>
      <c r="E65" s="34"/>
      <c r="F65" s="38"/>
    </row>
    <row r="66" spans="1:6" s="33" customFormat="1" x14ac:dyDescent="0.2">
      <c r="A66" s="36"/>
      <c r="B66" s="36"/>
      <c r="C66" s="36"/>
      <c r="D66" s="36"/>
      <c r="E66" s="36"/>
      <c r="F66" s="36"/>
    </row>
    <row r="67" spans="1:6" s="33" customFormat="1" x14ac:dyDescent="0.2">
      <c r="A67" s="34"/>
      <c r="B67" s="34"/>
      <c r="C67" s="34"/>
      <c r="D67" s="34"/>
      <c r="E67" s="34"/>
      <c r="F67" s="38"/>
    </row>
    <row r="68" spans="1:6" s="33" customFormat="1" x14ac:dyDescent="0.2">
      <c r="A68" s="34"/>
      <c r="B68" s="34"/>
      <c r="C68" s="34"/>
      <c r="D68" s="34"/>
      <c r="E68" s="34"/>
      <c r="F68" s="38"/>
    </row>
    <row r="69" spans="1:6" s="33" customFormat="1" x14ac:dyDescent="0.2">
      <c r="A69" s="34"/>
      <c r="B69" s="34"/>
      <c r="C69" s="34"/>
      <c r="D69" s="34"/>
      <c r="E69" s="39"/>
      <c r="F69" s="38"/>
    </row>
    <row r="70" spans="1:6" s="33" customFormat="1" x14ac:dyDescent="0.2">
      <c r="A70" s="34"/>
      <c r="B70" s="34"/>
      <c r="C70" s="34"/>
      <c r="D70" s="34"/>
      <c r="E70" s="39"/>
      <c r="F70" s="38"/>
    </row>
    <row r="71" spans="1:6" s="33" customFormat="1" x14ac:dyDescent="0.2">
      <c r="A71" s="34"/>
      <c r="B71" s="34"/>
      <c r="C71" s="34"/>
      <c r="D71" s="34"/>
      <c r="E71" s="39"/>
      <c r="F71" s="38"/>
    </row>
    <row r="72" spans="1:6" s="33" customFormat="1" x14ac:dyDescent="0.2">
      <c r="A72" s="34"/>
      <c r="B72" s="34"/>
      <c r="C72" s="34"/>
      <c r="D72" s="34"/>
      <c r="E72" s="34"/>
      <c r="F72" s="40"/>
    </row>
    <row r="73" spans="1:6" s="33" customFormat="1" x14ac:dyDescent="0.2"/>
    <row r="74" spans="1:6" s="33" customFormat="1" x14ac:dyDescent="0.2"/>
    <row r="75" spans="1:6" s="33" customFormat="1" x14ac:dyDescent="0.2"/>
    <row r="76" spans="1:6" s="33" customFormat="1" x14ac:dyDescent="0.2"/>
    <row r="77" spans="1:6" s="33" customFormat="1" x14ac:dyDescent="0.2"/>
  </sheetData>
  <pageMargins left="0.7" right="0.7" top="0.75" bottom="0.75" header="0.5" footer="0.5"/>
  <pageSetup scale="88" orientation="portrait" r:id="rId1"/>
  <headerFooter>
    <oddHeader>&amp;R&amp;"Times New Roman,Bold"&amp;12Attachment to Response to KU KIUC-2 Question No. 2.15
Page &amp;P of &amp;N
Arbough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36"/>
  <sheetViews>
    <sheetView view="pageBreakPreview" zoomScale="75" zoomScaleNormal="95" workbookViewId="0">
      <selection activeCell="D25" sqref="D25"/>
    </sheetView>
  </sheetViews>
  <sheetFormatPr defaultColWidth="17.7109375" defaultRowHeight="15" x14ac:dyDescent="0.2"/>
  <cols>
    <col min="1" max="1" width="9.85546875" style="112" bestFit="1" customWidth="1"/>
    <col min="2" max="2" width="44.140625" style="111" customWidth="1"/>
    <col min="3" max="3" width="3" style="111" customWidth="1"/>
    <col min="4" max="15" width="17.7109375" style="111" customWidth="1"/>
    <col min="16" max="16384" width="17.7109375" style="111"/>
  </cols>
  <sheetData>
    <row r="1" spans="1:17" ht="15.75" x14ac:dyDescent="0.25">
      <c r="A1" s="84" t="s">
        <v>89</v>
      </c>
    </row>
    <row r="2" spans="1:17" ht="15.75" x14ac:dyDescent="0.25">
      <c r="A2" s="45" t="s">
        <v>105</v>
      </c>
    </row>
    <row r="3" spans="1:17" ht="15.75" x14ac:dyDescent="0.25">
      <c r="A3" s="45">
        <v>2010</v>
      </c>
    </row>
    <row r="4" spans="1:17" ht="25.5" x14ac:dyDescent="0.2">
      <c r="N4" s="85" t="s">
        <v>106</v>
      </c>
    </row>
    <row r="5" spans="1:17" s="46" customFormat="1" ht="15.75" x14ac:dyDescent="0.25">
      <c r="A5" s="86"/>
      <c r="D5" s="46" t="s">
        <v>107</v>
      </c>
      <c r="E5" s="46" t="s">
        <v>108</v>
      </c>
      <c r="F5" s="46" t="s">
        <v>109</v>
      </c>
      <c r="G5" s="46" t="s">
        <v>110</v>
      </c>
      <c r="H5" s="46" t="s">
        <v>111</v>
      </c>
      <c r="I5" s="46" t="s">
        <v>112</v>
      </c>
      <c r="J5" s="47" t="s">
        <v>113</v>
      </c>
      <c r="K5" s="46" t="s">
        <v>114</v>
      </c>
      <c r="L5" s="46" t="s">
        <v>115</v>
      </c>
      <c r="M5" s="46" t="s">
        <v>116</v>
      </c>
      <c r="N5" s="46" t="s">
        <v>117</v>
      </c>
      <c r="O5" s="46" t="s">
        <v>118</v>
      </c>
      <c r="P5" s="46" t="s">
        <v>119</v>
      </c>
      <c r="Q5" s="111"/>
    </row>
    <row r="6" spans="1:17" ht="16.5" customHeight="1" x14ac:dyDescent="0.2"/>
    <row r="7" spans="1:17" s="114" customFormat="1" ht="15" customHeight="1" x14ac:dyDescent="0.2">
      <c r="A7" s="113">
        <v>145006</v>
      </c>
      <c r="B7" s="114" t="s">
        <v>120</v>
      </c>
      <c r="D7" s="114">
        <v>233650</v>
      </c>
      <c r="E7" s="114">
        <v>233650</v>
      </c>
      <c r="F7" s="114">
        <v>233650</v>
      </c>
      <c r="G7" s="114">
        <v>233650</v>
      </c>
      <c r="H7" s="114">
        <v>233650</v>
      </c>
      <c r="I7" s="114">
        <v>233650</v>
      </c>
      <c r="J7" s="114">
        <v>233650</v>
      </c>
      <c r="K7" s="114">
        <v>233650</v>
      </c>
      <c r="L7" s="114">
        <f>225861.67+4158.33</f>
        <v>230020</v>
      </c>
      <c r="M7" s="114">
        <v>29108.33</v>
      </c>
      <c r="N7" s="114">
        <v>0</v>
      </c>
      <c r="O7" s="114">
        <v>0</v>
      </c>
      <c r="P7" s="114">
        <f>SUM(D7:O7)</f>
        <v>2128328.33</v>
      </c>
    </row>
    <row r="8" spans="1:17" s="114" customFormat="1" ht="15" customHeight="1" x14ac:dyDescent="0.2">
      <c r="A8" s="113"/>
    </row>
    <row r="9" spans="1:17" s="114" customFormat="1" ht="15" customHeight="1" x14ac:dyDescent="0.2">
      <c r="A9" s="113">
        <v>145010</v>
      </c>
      <c r="B9" s="114" t="s">
        <v>121</v>
      </c>
      <c r="D9" s="114">
        <f>445219.83+1487700+765589.66</f>
        <v>2698509.49</v>
      </c>
      <c r="E9" s="114">
        <f>402134.04+1487700+684809.03</f>
        <v>2574643.0700000003</v>
      </c>
      <c r="F9" s="114">
        <f>443961.54+1487700+758181.42</f>
        <v>2689842.96</v>
      </c>
      <c r="G9" s="114">
        <f>429640.2+1487700+746900.41</f>
        <v>2664240.61</v>
      </c>
      <c r="H9" s="114">
        <f>443961.54+1487700+783710.78</f>
        <v>2715372.3200000003</v>
      </c>
      <c r="I9" s="114">
        <f>524185.2+1487700+758429.79</f>
        <v>2770314.99</v>
      </c>
      <c r="J9" s="114">
        <f>541658.04+1487700+660111.34</f>
        <v>2689469.38</v>
      </c>
      <c r="K9" s="114">
        <f>541658.04+1487700+558323.56</f>
        <v>2587681.6</v>
      </c>
      <c r="L9" s="114">
        <f>444470.4+1487700+540313.13</f>
        <v>2472483.5299999998</v>
      </c>
      <c r="M9" s="114">
        <f>427484.75+1487700+494004.07</f>
        <v>2409188.8199999998</v>
      </c>
      <c r="N9" s="114">
        <f>388350.4+1487700+426808.13</f>
        <v>2302858.5299999998</v>
      </c>
      <c r="O9" s="114">
        <f>401015.35+1487700+441035.06</f>
        <v>2329750.41</v>
      </c>
      <c r="P9" s="114">
        <f>SUM(D9:O9)</f>
        <v>30904355.710000005</v>
      </c>
    </row>
    <row r="10" spans="1:17" s="114" customFormat="1" ht="15" customHeight="1" x14ac:dyDescent="0.2">
      <c r="A10" s="113"/>
    </row>
    <row r="11" spans="1:17" s="114" customFormat="1" ht="15" customHeight="1" x14ac:dyDescent="0.2">
      <c r="A11" s="113">
        <v>233013</v>
      </c>
      <c r="B11" s="114" t="s">
        <v>122</v>
      </c>
      <c r="M11" s="114">
        <v>-35979.33</v>
      </c>
      <c r="N11" s="114">
        <v>-44974.17</v>
      </c>
      <c r="O11" s="114">
        <v>-46473.31</v>
      </c>
      <c r="P11" s="114">
        <f>SUM(D11:O11)</f>
        <v>-127426.81</v>
      </c>
    </row>
    <row r="12" spans="1:17" s="114" customFormat="1" ht="15" customHeight="1" x14ac:dyDescent="0.2">
      <c r="A12" s="113"/>
    </row>
    <row r="13" spans="1:17" s="114" customFormat="1" ht="15" customHeight="1" x14ac:dyDescent="0.2">
      <c r="A13" s="113">
        <v>233019</v>
      </c>
      <c r="B13" s="114" t="s">
        <v>123</v>
      </c>
      <c r="M13" s="114">
        <v>-34691.230000000003</v>
      </c>
      <c r="N13" s="114">
        <v>-43364.04</v>
      </c>
      <c r="O13" s="114">
        <v>-44809.51</v>
      </c>
      <c r="P13" s="114">
        <f>SUM(D13:O13)</f>
        <v>-122864.78</v>
      </c>
    </row>
    <row r="15" spans="1:17" ht="15" customHeight="1" x14ac:dyDescent="0.2">
      <c r="A15" s="115" t="s">
        <v>124</v>
      </c>
    </row>
    <row r="16" spans="1:17" x14ac:dyDescent="0.2">
      <c r="B16" s="116" t="s">
        <v>125</v>
      </c>
      <c r="D16" s="111">
        <v>8971.7900000000009</v>
      </c>
      <c r="E16" s="111">
        <v>8013.18</v>
      </c>
      <c r="F16" s="111">
        <v>6652.91</v>
      </c>
      <c r="G16" s="111">
        <v>2922.89</v>
      </c>
      <c r="H16" s="111">
        <v>9995.94</v>
      </c>
      <c r="I16" s="111">
        <v>19326.89</v>
      </c>
      <c r="J16" s="111">
        <v>22370.92</v>
      </c>
      <c r="K16" s="111">
        <v>15186.57</v>
      </c>
      <c r="L16" s="111">
        <v>6225.81</v>
      </c>
      <c r="M16" s="111">
        <v>8758.89</v>
      </c>
      <c r="N16" s="111">
        <v>10260.91</v>
      </c>
      <c r="O16" s="111">
        <v>798.51</v>
      </c>
      <c r="P16" s="114">
        <f t="shared" ref="P16:P23" si="0">SUM(D16:O16)</f>
        <v>119485.20999999999</v>
      </c>
    </row>
    <row r="17" spans="1:16" x14ac:dyDescent="0.2">
      <c r="B17" s="116" t="s">
        <v>126</v>
      </c>
      <c r="D17" s="111">
        <v>26774.01</v>
      </c>
      <c r="E17" s="111">
        <v>16298.8</v>
      </c>
      <c r="F17" s="111">
        <v>18202.25</v>
      </c>
      <c r="G17" s="111">
        <v>19856.03</v>
      </c>
      <c r="H17" s="111">
        <v>24519.3</v>
      </c>
      <c r="I17" s="111">
        <v>37766.26</v>
      </c>
      <c r="J17" s="111">
        <v>38420.620000000003</v>
      </c>
      <c r="K17" s="111">
        <v>28309.68</v>
      </c>
      <c r="L17" s="111">
        <v>22634.31</v>
      </c>
      <c r="M17" s="111">
        <v>24620.75</v>
      </c>
      <c r="N17" s="111">
        <v>1280.8900000000001</v>
      </c>
      <c r="O17" s="111">
        <v>648.33000000000004</v>
      </c>
      <c r="P17" s="114">
        <f t="shared" si="0"/>
        <v>259331.22999999998</v>
      </c>
    </row>
    <row r="18" spans="1:16" x14ac:dyDescent="0.2">
      <c r="B18" s="116" t="s">
        <v>127</v>
      </c>
      <c r="D18" s="111">
        <v>41900.559999999998</v>
      </c>
      <c r="E18" s="111">
        <v>15825.09</v>
      </c>
      <c r="F18" s="111">
        <v>18631.5</v>
      </c>
      <c r="G18" s="111">
        <v>25973.77</v>
      </c>
      <c r="H18" s="111">
        <v>27602.66</v>
      </c>
      <c r="I18" s="111">
        <v>39969.17</v>
      </c>
      <c r="J18" s="111">
        <v>44418.78</v>
      </c>
      <c r="K18" s="111">
        <v>37525.96</v>
      </c>
      <c r="L18" s="111">
        <v>36602.559999999998</v>
      </c>
      <c r="M18" s="111">
        <v>47154.92</v>
      </c>
      <c r="N18" s="111">
        <v>56020.53</v>
      </c>
      <c r="O18" s="111">
        <v>42098.81</v>
      </c>
      <c r="P18" s="114">
        <f t="shared" si="0"/>
        <v>433724.31</v>
      </c>
    </row>
    <row r="19" spans="1:16" x14ac:dyDescent="0.2">
      <c r="B19" s="169" t="s">
        <v>128</v>
      </c>
      <c r="D19" s="111">
        <v>531.39</v>
      </c>
      <c r="P19" s="114">
        <f t="shared" si="0"/>
        <v>531.39</v>
      </c>
    </row>
    <row r="20" spans="1:16" x14ac:dyDescent="0.2">
      <c r="B20" s="116" t="s">
        <v>129</v>
      </c>
      <c r="D20" s="111">
        <v>18994.72</v>
      </c>
      <c r="E20" s="111">
        <v>40746.58</v>
      </c>
      <c r="F20" s="111">
        <v>47493.41</v>
      </c>
      <c r="G20" s="111">
        <v>46488.47</v>
      </c>
      <c r="H20" s="111">
        <v>52615.58</v>
      </c>
      <c r="I20" s="111">
        <v>75408.639999999999</v>
      </c>
      <c r="J20" s="111">
        <v>80695.16</v>
      </c>
      <c r="K20" s="111">
        <v>64575.199999999997</v>
      </c>
      <c r="L20" s="111">
        <v>62633.75</v>
      </c>
      <c r="M20" s="111">
        <v>13689.06</v>
      </c>
      <c r="N20" s="111">
        <v>623.58000000000004</v>
      </c>
      <c r="O20" s="111">
        <v>755.94</v>
      </c>
      <c r="P20" s="114">
        <f t="shared" si="0"/>
        <v>504720.09000000008</v>
      </c>
    </row>
    <row r="21" spans="1:16" x14ac:dyDescent="0.2">
      <c r="B21" s="116" t="s">
        <v>130</v>
      </c>
      <c r="D21" s="111">
        <v>-18628.169999999998</v>
      </c>
      <c r="E21" s="111">
        <v>-16828.34</v>
      </c>
      <c r="F21" s="111">
        <v>-19565.990000000002</v>
      </c>
      <c r="G21" s="111">
        <v>-18938.25</v>
      </c>
      <c r="H21" s="111">
        <v>-21437.040000000001</v>
      </c>
      <c r="I21" s="111">
        <v>-30673.38</v>
      </c>
      <c r="J21" s="111">
        <v>-32637.3</v>
      </c>
      <c r="K21" s="111">
        <v>-26117.71</v>
      </c>
      <c r="L21" s="111">
        <v>-25281.29</v>
      </c>
      <c r="M21" s="111">
        <v>-23330.45</v>
      </c>
      <c r="N21" s="111">
        <v>-22582.71</v>
      </c>
      <c r="O21" s="111">
        <v>-12046.62</v>
      </c>
      <c r="P21" s="114">
        <f t="shared" si="0"/>
        <v>-268067.25</v>
      </c>
    </row>
    <row r="22" spans="1:16" x14ac:dyDescent="0.2">
      <c r="B22" s="116" t="s">
        <v>131</v>
      </c>
      <c r="D22" s="111">
        <v>8453.4599999999991</v>
      </c>
      <c r="E22" s="111">
        <v>7636.7</v>
      </c>
      <c r="F22" s="111">
        <v>8879.0400000000009</v>
      </c>
      <c r="G22" s="111">
        <v>8594.18</v>
      </c>
      <c r="H22" s="111">
        <v>9728.1299999999992</v>
      </c>
      <c r="I22" s="111">
        <v>13919.57</v>
      </c>
      <c r="J22" s="111">
        <v>14810.8</v>
      </c>
      <c r="K22" s="111">
        <v>11852.21</v>
      </c>
      <c r="L22" s="111">
        <v>11472.65</v>
      </c>
      <c r="M22" s="111">
        <v>10587.35</v>
      </c>
      <c r="N22" s="111">
        <v>10248.030000000001</v>
      </c>
      <c r="O22" s="111">
        <v>5466.75</v>
      </c>
      <c r="P22" s="114">
        <f t="shared" si="0"/>
        <v>121648.87</v>
      </c>
    </row>
    <row r="23" spans="1:16" x14ac:dyDescent="0.2">
      <c r="B23" s="116" t="s">
        <v>132</v>
      </c>
      <c r="D23" s="111">
        <v>-17141.16</v>
      </c>
      <c r="E23" s="111">
        <v>-15485</v>
      </c>
      <c r="F23" s="111">
        <v>-18004.12</v>
      </c>
      <c r="G23" s="111">
        <v>-18007.37</v>
      </c>
      <c r="H23" s="111">
        <v>-19725.93</v>
      </c>
      <c r="I23" s="111">
        <v>-28225.01</v>
      </c>
      <c r="J23" s="111">
        <v>-30032.17</v>
      </c>
      <c r="K23" s="111">
        <v>-24032.97</v>
      </c>
      <c r="L23" s="111">
        <v>-23263.32</v>
      </c>
      <c r="M23" s="111">
        <v>-21468.19</v>
      </c>
      <c r="N23" s="111">
        <v>-20780.14</v>
      </c>
      <c r="O23" s="111">
        <v>-11085.05</v>
      </c>
      <c r="P23" s="114">
        <f t="shared" si="0"/>
        <v>-247250.43</v>
      </c>
    </row>
    <row r="25" spans="1:16" ht="16.5" thickBot="1" x14ac:dyDescent="0.3">
      <c r="B25" s="87" t="s">
        <v>133</v>
      </c>
      <c r="D25" s="117">
        <f t="shared" ref="D25:O25" si="1">SUM(D6:D24)</f>
        <v>3002016.0900000003</v>
      </c>
      <c r="E25" s="117">
        <f t="shared" si="1"/>
        <v>2864500.0800000005</v>
      </c>
      <c r="F25" s="117">
        <f t="shared" si="1"/>
        <v>2985781.96</v>
      </c>
      <c r="G25" s="117">
        <f t="shared" si="1"/>
        <v>2964780.33</v>
      </c>
      <c r="H25" s="117">
        <f t="shared" si="1"/>
        <v>3032320.96</v>
      </c>
      <c r="I25" s="117">
        <f t="shared" si="1"/>
        <v>3131457.1300000004</v>
      </c>
      <c r="J25" s="117">
        <f t="shared" si="1"/>
        <v>3061166.19</v>
      </c>
      <c r="K25" s="117">
        <f t="shared" si="1"/>
        <v>2928630.54</v>
      </c>
      <c r="L25" s="117">
        <f t="shared" si="1"/>
        <v>2793528</v>
      </c>
      <c r="M25" s="117">
        <f t="shared" si="1"/>
        <v>2427638.92</v>
      </c>
      <c r="N25" s="117">
        <f t="shared" si="1"/>
        <v>2249591.4099999997</v>
      </c>
      <c r="O25" s="117">
        <f t="shared" si="1"/>
        <v>2265104.2600000002</v>
      </c>
      <c r="P25" s="111">
        <f>SUM(P7:P23)</f>
        <v>33706515.870000012</v>
      </c>
    </row>
    <row r="26" spans="1:16" ht="16.5" thickTop="1" x14ac:dyDescent="0.25">
      <c r="B26" s="87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</row>
    <row r="27" spans="1:16" ht="15.75" x14ac:dyDescent="0.25">
      <c r="B27" s="87"/>
    </row>
    <row r="28" spans="1:16" ht="16.5" thickBot="1" x14ac:dyDescent="0.3">
      <c r="B28" s="87" t="s">
        <v>134</v>
      </c>
      <c r="D28" s="119">
        <f>+D25</f>
        <v>3002016.0900000003</v>
      </c>
      <c r="E28" s="119">
        <f t="shared" ref="E28:O28" si="2">+E25+D28</f>
        <v>5866516.1700000009</v>
      </c>
      <c r="F28" s="119">
        <f t="shared" si="2"/>
        <v>8852298.1300000008</v>
      </c>
      <c r="G28" s="119">
        <f t="shared" si="2"/>
        <v>11817078.460000001</v>
      </c>
      <c r="H28" s="119">
        <f t="shared" si="2"/>
        <v>14849399.420000002</v>
      </c>
      <c r="I28" s="119">
        <f t="shared" si="2"/>
        <v>17980856.550000001</v>
      </c>
      <c r="J28" s="119">
        <f t="shared" si="2"/>
        <v>21042022.740000002</v>
      </c>
      <c r="K28" s="119">
        <f t="shared" si="2"/>
        <v>23970653.280000001</v>
      </c>
      <c r="L28" s="119">
        <f t="shared" si="2"/>
        <v>26764181.280000001</v>
      </c>
      <c r="M28" s="119">
        <f t="shared" si="2"/>
        <v>29191820.200000003</v>
      </c>
      <c r="N28" s="119">
        <f>+N25</f>
        <v>2249591.4099999997</v>
      </c>
      <c r="O28" s="119">
        <f t="shared" si="2"/>
        <v>4514695.67</v>
      </c>
      <c r="P28" s="111">
        <f>M28+O28</f>
        <v>33706515.870000005</v>
      </c>
    </row>
    <row r="29" spans="1:16" ht="15.75" thickTop="1" x14ac:dyDescent="0.2"/>
    <row r="30" spans="1:16" x14ac:dyDescent="0.2">
      <c r="A30" s="115" t="s">
        <v>135</v>
      </c>
      <c r="D30" s="111">
        <v>3002016.09</v>
      </c>
      <c r="E30" s="111">
        <v>5866516.1699999999</v>
      </c>
      <c r="F30" s="111">
        <v>8852298.1300000008</v>
      </c>
      <c r="G30" s="111">
        <v>11817078.460000001</v>
      </c>
      <c r="H30" s="111">
        <v>14849399.42</v>
      </c>
      <c r="I30" s="111">
        <v>17980856.550000001</v>
      </c>
      <c r="J30" s="111">
        <v>21042022.739999998</v>
      </c>
      <c r="K30" s="111">
        <v>23970653.280000001</v>
      </c>
      <c r="L30" s="111">
        <v>26764181.280000001</v>
      </c>
      <c r="M30" s="111">
        <v>29191820.199999999</v>
      </c>
      <c r="N30" s="111">
        <v>2249591.41</v>
      </c>
      <c r="O30" s="111">
        <v>4514695.67</v>
      </c>
    </row>
    <row r="31" spans="1:16" x14ac:dyDescent="0.2">
      <c r="B31" s="111" t="s">
        <v>36</v>
      </c>
      <c r="D31" s="111">
        <f t="shared" ref="D31:O31" si="3">+D28-D30</f>
        <v>0</v>
      </c>
      <c r="E31" s="111">
        <f t="shared" si="3"/>
        <v>0</v>
      </c>
      <c r="F31" s="111">
        <f t="shared" si="3"/>
        <v>0</v>
      </c>
      <c r="G31" s="111">
        <f t="shared" si="3"/>
        <v>0</v>
      </c>
      <c r="H31" s="111">
        <f t="shared" si="3"/>
        <v>0</v>
      </c>
      <c r="I31" s="111">
        <f t="shared" si="3"/>
        <v>0</v>
      </c>
      <c r="J31" s="111">
        <f t="shared" si="3"/>
        <v>0</v>
      </c>
      <c r="K31" s="111">
        <f t="shared" si="3"/>
        <v>0</v>
      </c>
      <c r="L31" s="111">
        <f t="shared" si="3"/>
        <v>0</v>
      </c>
      <c r="M31" s="111">
        <f t="shared" si="3"/>
        <v>0</v>
      </c>
      <c r="N31" s="111">
        <f t="shared" si="3"/>
        <v>0</v>
      </c>
      <c r="O31" s="111">
        <f t="shared" si="3"/>
        <v>0</v>
      </c>
    </row>
    <row r="34" spans="1:15" x14ac:dyDescent="0.2">
      <c r="B34" s="120" t="s">
        <v>136</v>
      </c>
      <c r="D34" s="121">
        <v>2E-3</v>
      </c>
      <c r="E34" s="121">
        <v>2E-3</v>
      </c>
      <c r="F34" s="121">
        <v>2.0999999999999999E-3</v>
      </c>
      <c r="G34" s="121">
        <v>2.0999999999999999E-3</v>
      </c>
      <c r="H34" s="121">
        <v>2.3E-3</v>
      </c>
      <c r="I34" s="121">
        <v>3.3999999999999998E-3</v>
      </c>
      <c r="J34" s="121">
        <v>3.5000000000000001E-3</v>
      </c>
      <c r="K34" s="121">
        <v>2.8E-3</v>
      </c>
      <c r="L34" s="121">
        <v>2.8E-3</v>
      </c>
      <c r="M34" s="121">
        <v>2.5000000000000001E-3</v>
      </c>
      <c r="N34" s="121">
        <v>2.5000000000000001E-3</v>
      </c>
      <c r="O34" s="121">
        <v>2.5000000000000001E-3</v>
      </c>
    </row>
    <row r="36" spans="1:15" x14ac:dyDescent="0.2">
      <c r="A36" s="88" t="s">
        <v>137</v>
      </c>
    </row>
  </sheetData>
  <pageMargins left="0.7" right="0.7" top="0.75" bottom="0.75" header="0.5" footer="0.5"/>
  <pageSetup scale="43" orientation="landscape" r:id="rId1"/>
  <headerFooter>
    <oddFooter>&amp;R&amp;"Times New Roman,Bold"&amp;12Attachment to Response to KU KIUC-2 Question No. 2.15
Page &amp;P of &amp;N
Arbough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34"/>
  <sheetViews>
    <sheetView view="pageBreakPreview" zoomScaleNormal="100" zoomScaleSheetLayoutView="100" workbookViewId="0">
      <pane xSplit="2" ySplit="5" topLeftCell="C6" activePane="bottomRight" state="frozenSplit"/>
      <selection activeCell="D25" sqref="D25"/>
      <selection pane="topRight" activeCell="D25" sqref="D25"/>
      <selection pane="bottomLeft" activeCell="D25" sqref="D25"/>
      <selection pane="bottomRight" activeCell="D25" sqref="D25"/>
    </sheetView>
  </sheetViews>
  <sheetFormatPr defaultColWidth="9.140625" defaultRowHeight="12.75" x14ac:dyDescent="0.2"/>
  <cols>
    <col min="1" max="1" width="2" style="68" customWidth="1"/>
    <col min="2" max="2" width="45.7109375" style="68" customWidth="1"/>
    <col min="3" max="4" width="12.85546875" style="68" bestFit="1" customWidth="1"/>
    <col min="5" max="10" width="14" style="68" bestFit="1" customWidth="1"/>
    <col min="11" max="14" width="14.7109375" style="68" customWidth="1"/>
    <col min="15" max="15" width="3.85546875" style="68" customWidth="1"/>
    <col min="16" max="16" width="20" style="68" customWidth="1"/>
    <col min="17" max="16384" width="9.140625" style="68"/>
  </cols>
  <sheetData>
    <row r="1" spans="1:16" ht="15.75" x14ac:dyDescent="0.25">
      <c r="A1" s="89" t="s">
        <v>56</v>
      </c>
    </row>
    <row r="2" spans="1:16" ht="15.75" x14ac:dyDescent="0.25">
      <c r="A2" s="89" t="s">
        <v>138</v>
      </c>
    </row>
    <row r="3" spans="1:16" s="105" customFormat="1" ht="38.25" x14ac:dyDescent="0.2">
      <c r="B3" s="168" t="s">
        <v>139</v>
      </c>
      <c r="M3" s="48" t="s">
        <v>106</v>
      </c>
    </row>
    <row r="4" spans="1:16" s="105" customFormat="1" x14ac:dyDescent="0.2">
      <c r="A4" s="91"/>
      <c r="C4" s="48"/>
      <c r="D4" s="48"/>
      <c r="E4" s="48"/>
      <c r="F4" s="48"/>
      <c r="G4" s="48"/>
      <c r="H4" s="48"/>
      <c r="I4" s="48"/>
      <c r="J4" s="48"/>
      <c r="K4" s="48"/>
      <c r="L4" s="48"/>
      <c r="M4" s="48" t="s">
        <v>140</v>
      </c>
      <c r="N4" s="48"/>
      <c r="O4" s="48"/>
      <c r="P4" s="48" t="s">
        <v>40</v>
      </c>
    </row>
    <row r="5" spans="1:16" x14ac:dyDescent="0.2">
      <c r="B5" s="68" t="s">
        <v>141</v>
      </c>
      <c r="C5" s="49">
        <v>40209</v>
      </c>
      <c r="D5" s="49">
        <v>40237</v>
      </c>
      <c r="E5" s="49">
        <v>40268</v>
      </c>
      <c r="F5" s="49">
        <v>40298</v>
      </c>
      <c r="G5" s="49">
        <v>40329</v>
      </c>
      <c r="H5" s="49">
        <v>40359</v>
      </c>
      <c r="I5" s="49">
        <v>40390</v>
      </c>
      <c r="J5" s="49">
        <v>40421</v>
      </c>
      <c r="K5" s="49">
        <v>40451</v>
      </c>
      <c r="L5" s="49">
        <v>40482</v>
      </c>
      <c r="M5" s="49">
        <v>40512</v>
      </c>
      <c r="N5" s="49">
        <v>40543</v>
      </c>
      <c r="O5" s="92"/>
      <c r="P5" s="92" t="s">
        <v>142</v>
      </c>
    </row>
    <row r="6" spans="1:16" x14ac:dyDescent="0.2">
      <c r="A6" s="93" t="s">
        <v>143</v>
      </c>
    </row>
    <row r="7" spans="1:16" x14ac:dyDescent="0.2">
      <c r="B7" s="68" t="s">
        <v>144</v>
      </c>
      <c r="C7" s="52">
        <v>68336.5</v>
      </c>
      <c r="D7" s="52">
        <v>12621.01</v>
      </c>
      <c r="E7" s="52">
        <v>3024.54</v>
      </c>
      <c r="F7" s="52">
        <v>5693.93</v>
      </c>
      <c r="G7" s="52">
        <v>15099.77</v>
      </c>
      <c r="H7" s="52">
        <v>37061.07</v>
      </c>
      <c r="I7" s="52">
        <v>66672.97</v>
      </c>
      <c r="J7" s="52">
        <v>59821.57</v>
      </c>
      <c r="K7" s="52">
        <v>24503.86</v>
      </c>
      <c r="L7" s="52">
        <v>18249.28</v>
      </c>
      <c r="M7" s="52">
        <v>523143.44</v>
      </c>
      <c r="N7" s="52">
        <v>0</v>
      </c>
      <c r="O7" s="52"/>
      <c r="P7" s="52">
        <f>SUM(C7:O7)</f>
        <v>834227.94</v>
      </c>
    </row>
    <row r="8" spans="1:16" x14ac:dyDescent="0.2">
      <c r="B8" s="106" t="s">
        <v>145</v>
      </c>
      <c r="C8" s="52">
        <v>8138.22</v>
      </c>
      <c r="D8" s="52">
        <v>15236.3</v>
      </c>
      <c r="E8" s="52">
        <v>18638.22</v>
      </c>
      <c r="F8" s="52">
        <v>17648.63</v>
      </c>
      <c r="G8" s="52">
        <v>16963.97</v>
      </c>
      <c r="H8" s="52">
        <v>13259.59</v>
      </c>
      <c r="I8" s="52">
        <v>9391.64</v>
      </c>
      <c r="J8" s="52">
        <v>10087.4</v>
      </c>
      <c r="K8" s="52">
        <v>14780.55</v>
      </c>
      <c r="L8" s="52">
        <v>16343.01</v>
      </c>
      <c r="M8" s="52">
        <v>58468.49</v>
      </c>
      <c r="N8" s="52">
        <v>50958.9</v>
      </c>
      <c r="O8" s="52"/>
      <c r="P8" s="52">
        <f>SUM(C8:O8)</f>
        <v>249914.91999999998</v>
      </c>
    </row>
    <row r="9" spans="1:16" s="94" customFormat="1" x14ac:dyDescent="0.2">
      <c r="B9" s="95" t="s">
        <v>146</v>
      </c>
      <c r="C9" s="50">
        <f t="shared" ref="C9:N9" si="0">SUM(C7:C8)</f>
        <v>76474.720000000001</v>
      </c>
      <c r="D9" s="50">
        <f t="shared" si="0"/>
        <v>27857.309999999998</v>
      </c>
      <c r="E9" s="50">
        <f t="shared" si="0"/>
        <v>21662.760000000002</v>
      </c>
      <c r="F9" s="50">
        <f t="shared" si="0"/>
        <v>23342.560000000001</v>
      </c>
      <c r="G9" s="50">
        <f t="shared" si="0"/>
        <v>32063.74</v>
      </c>
      <c r="H9" s="50">
        <f t="shared" si="0"/>
        <v>50320.66</v>
      </c>
      <c r="I9" s="50">
        <f t="shared" si="0"/>
        <v>76064.61</v>
      </c>
      <c r="J9" s="50">
        <f t="shared" si="0"/>
        <v>69908.97</v>
      </c>
      <c r="K9" s="50">
        <f t="shared" si="0"/>
        <v>39284.410000000003</v>
      </c>
      <c r="L9" s="50">
        <f t="shared" si="0"/>
        <v>34592.29</v>
      </c>
      <c r="M9" s="50">
        <f t="shared" si="0"/>
        <v>581611.93000000005</v>
      </c>
      <c r="N9" s="50">
        <f t="shared" si="0"/>
        <v>50958.9</v>
      </c>
      <c r="O9" s="96"/>
      <c r="P9" s="97"/>
    </row>
    <row r="10" spans="1:16" x14ac:dyDescent="0.2"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x14ac:dyDescent="0.2">
      <c r="A11" s="93" t="s">
        <v>147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x14ac:dyDescent="0.2">
      <c r="A12" s="93"/>
      <c r="B12" s="68" t="s">
        <v>148</v>
      </c>
      <c r="C12" s="52">
        <v>192916.67</v>
      </c>
      <c r="D12" s="52">
        <v>192916.67</v>
      </c>
      <c r="E12" s="52">
        <v>192916.67</v>
      </c>
      <c r="F12" s="52">
        <v>192916.67</v>
      </c>
      <c r="G12" s="52">
        <v>192916.67</v>
      </c>
      <c r="H12" s="52">
        <f>192916.67-0.04</f>
        <v>192916.63</v>
      </c>
      <c r="I12" s="52">
        <v>192916.67</v>
      </c>
      <c r="J12" s="52">
        <v>192916.67</v>
      </c>
      <c r="K12" s="52">
        <v>192916.67</v>
      </c>
      <c r="L12" s="52">
        <v>186486.03</v>
      </c>
      <c r="M12" s="52">
        <v>0</v>
      </c>
      <c r="N12" s="52">
        <v>0</v>
      </c>
      <c r="O12" s="52"/>
      <c r="P12" s="52">
        <f>SUM(C12:O12)</f>
        <v>1922736.0199999998</v>
      </c>
    </row>
    <row r="13" spans="1:16" x14ac:dyDescent="0.2">
      <c r="B13" s="68" t="s">
        <v>149</v>
      </c>
      <c r="C13" s="98">
        <v>4852164.05</v>
      </c>
      <c r="D13" s="98">
        <v>4647330.83</v>
      </c>
      <c r="E13" s="98">
        <v>4873582.55</v>
      </c>
      <c r="F13" s="98">
        <v>4807438.3499999996</v>
      </c>
      <c r="G13" s="98">
        <v>4463222.26</v>
      </c>
      <c r="H13" s="98">
        <v>4475395.3499999996</v>
      </c>
      <c r="I13" s="98">
        <v>4481465.91</v>
      </c>
      <c r="J13" s="98">
        <v>4377628.7</v>
      </c>
      <c r="K13" s="98">
        <v>4225023.5</v>
      </c>
      <c r="L13" s="98">
        <v>3916386.33</v>
      </c>
      <c r="M13" s="98">
        <v>0</v>
      </c>
      <c r="N13" s="98">
        <v>0</v>
      </c>
      <c r="O13" s="52"/>
      <c r="P13" s="98">
        <f>SUM(C13:O13)</f>
        <v>45119637.829999998</v>
      </c>
    </row>
    <row r="14" spans="1:16" x14ac:dyDescent="0.2">
      <c r="B14" s="95" t="s">
        <v>150</v>
      </c>
      <c r="C14" s="51">
        <f t="shared" ref="C14:N14" si="1">SUM(C12:C13)</f>
        <v>5045080.72</v>
      </c>
      <c r="D14" s="51">
        <f t="shared" si="1"/>
        <v>4840247.5</v>
      </c>
      <c r="E14" s="51">
        <f t="shared" si="1"/>
        <v>5066499.22</v>
      </c>
      <c r="F14" s="51">
        <f t="shared" si="1"/>
        <v>5000355.0199999996</v>
      </c>
      <c r="G14" s="51">
        <f t="shared" si="1"/>
        <v>4656138.93</v>
      </c>
      <c r="H14" s="51">
        <f t="shared" si="1"/>
        <v>4668311.9799999995</v>
      </c>
      <c r="I14" s="51">
        <f t="shared" si="1"/>
        <v>4674382.58</v>
      </c>
      <c r="J14" s="51">
        <f t="shared" si="1"/>
        <v>4570545.37</v>
      </c>
      <c r="K14" s="51">
        <f t="shared" si="1"/>
        <v>4417940.17</v>
      </c>
      <c r="L14" s="51">
        <f t="shared" si="1"/>
        <v>4102872.36</v>
      </c>
      <c r="M14" s="51">
        <f t="shared" si="1"/>
        <v>0</v>
      </c>
      <c r="N14" s="51">
        <f t="shared" si="1"/>
        <v>0</v>
      </c>
      <c r="O14" s="52"/>
      <c r="P14" s="99"/>
    </row>
    <row r="15" spans="1:16" x14ac:dyDescent="0.2"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s="94" customFormat="1" ht="13.5" thickBot="1" x14ac:dyDescent="0.25">
      <c r="B16" s="93" t="s">
        <v>151</v>
      </c>
      <c r="C16" s="53">
        <f t="shared" ref="C16:N16" si="2">+C14+C9</f>
        <v>5121555.4399999995</v>
      </c>
      <c r="D16" s="53">
        <f t="shared" si="2"/>
        <v>4868104.8099999996</v>
      </c>
      <c r="E16" s="53">
        <f t="shared" si="2"/>
        <v>5088161.9799999995</v>
      </c>
      <c r="F16" s="53">
        <f t="shared" si="2"/>
        <v>5023697.5799999991</v>
      </c>
      <c r="G16" s="53">
        <f t="shared" si="2"/>
        <v>4688202.67</v>
      </c>
      <c r="H16" s="53">
        <f t="shared" si="2"/>
        <v>4718632.6399999997</v>
      </c>
      <c r="I16" s="53">
        <f t="shared" si="2"/>
        <v>4750447.1900000004</v>
      </c>
      <c r="J16" s="53">
        <f t="shared" si="2"/>
        <v>4640454.34</v>
      </c>
      <c r="K16" s="53">
        <f t="shared" si="2"/>
        <v>4457224.58</v>
      </c>
      <c r="L16" s="53">
        <f t="shared" si="2"/>
        <v>4137464.65</v>
      </c>
      <c r="M16" s="53">
        <f t="shared" si="2"/>
        <v>581611.93000000005</v>
      </c>
      <c r="N16" s="53">
        <f t="shared" si="2"/>
        <v>50958.9</v>
      </c>
      <c r="P16" s="53">
        <f>+P13+P9</f>
        <v>45119637.829999998</v>
      </c>
    </row>
    <row r="17" spans="1:16" ht="13.5" thickTop="1" x14ac:dyDescent="0.2"/>
    <row r="20" spans="1:16" x14ac:dyDescent="0.2">
      <c r="A20" s="100" t="s">
        <v>152</v>
      </c>
    </row>
    <row r="21" spans="1:16" x14ac:dyDescent="0.2">
      <c r="B21" s="68" t="s">
        <v>153</v>
      </c>
      <c r="C21" s="52">
        <f>+C16</f>
        <v>5121555.4399999995</v>
      </c>
      <c r="D21" s="52">
        <f t="shared" ref="D21:N21" si="3">+D16+C21</f>
        <v>9989660.25</v>
      </c>
      <c r="E21" s="52">
        <f t="shared" si="3"/>
        <v>15077822.23</v>
      </c>
      <c r="F21" s="52">
        <f t="shared" si="3"/>
        <v>20101519.809999999</v>
      </c>
      <c r="G21" s="52">
        <f t="shared" si="3"/>
        <v>24789722.479999997</v>
      </c>
      <c r="H21" s="52">
        <f t="shared" si="3"/>
        <v>29508355.119999997</v>
      </c>
      <c r="I21" s="52">
        <f t="shared" si="3"/>
        <v>34258802.309999995</v>
      </c>
      <c r="J21" s="52">
        <f t="shared" si="3"/>
        <v>38899256.649999991</v>
      </c>
      <c r="K21" s="52">
        <f t="shared" si="3"/>
        <v>43356481.229999989</v>
      </c>
      <c r="L21" s="52">
        <f t="shared" si="3"/>
        <v>47493945.879999988</v>
      </c>
      <c r="M21" s="52">
        <f>+M16</f>
        <v>581611.93000000005</v>
      </c>
      <c r="N21" s="52">
        <f t="shared" si="3"/>
        <v>632570.83000000007</v>
      </c>
      <c r="P21" s="52">
        <f>+N21</f>
        <v>632570.83000000007</v>
      </c>
    </row>
    <row r="22" spans="1:16" x14ac:dyDescent="0.2">
      <c r="A22" s="94"/>
      <c r="B22" s="94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P22" s="96"/>
    </row>
    <row r="23" spans="1:16" x14ac:dyDescent="0.2">
      <c r="A23" s="94"/>
      <c r="B23" s="68" t="s">
        <v>154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P23" s="96"/>
    </row>
    <row r="24" spans="1:16" x14ac:dyDescent="0.2">
      <c r="B24" s="106" t="s">
        <v>155</v>
      </c>
      <c r="C24" s="19">
        <v>4852164.05</v>
      </c>
      <c r="D24" s="19">
        <v>9499494.8800000008</v>
      </c>
      <c r="E24" s="19">
        <v>14373077.43</v>
      </c>
      <c r="F24" s="19">
        <v>19180515.780000001</v>
      </c>
      <c r="G24" s="19">
        <v>23643738.039999999</v>
      </c>
      <c r="H24" s="19">
        <v>28119133.390000001</v>
      </c>
      <c r="I24" s="19">
        <v>32600599.300000001</v>
      </c>
      <c r="J24" s="19">
        <v>36978228</v>
      </c>
      <c r="K24" s="19">
        <v>41203251.5</v>
      </c>
      <c r="L24" s="19">
        <v>45119637.829999998</v>
      </c>
      <c r="M24" s="19">
        <v>0</v>
      </c>
      <c r="N24" s="19">
        <v>0</v>
      </c>
      <c r="O24" s="19"/>
      <c r="P24" s="19"/>
    </row>
    <row r="25" spans="1:16" s="105" customFormat="1" ht="25.5" x14ac:dyDescent="0.2">
      <c r="B25" s="101" t="s">
        <v>156</v>
      </c>
      <c r="C25" s="107">
        <v>269391.39</v>
      </c>
      <c r="D25" s="107">
        <v>490165.37</v>
      </c>
      <c r="E25" s="107">
        <v>704744.8</v>
      </c>
      <c r="F25" s="107">
        <v>921004.03</v>
      </c>
      <c r="G25" s="107">
        <v>1145984.44</v>
      </c>
      <c r="H25" s="107">
        <v>1389221.73</v>
      </c>
      <c r="I25" s="107">
        <v>1658203.01</v>
      </c>
      <c r="J25" s="107">
        <v>1921028.65</v>
      </c>
      <c r="K25" s="107">
        <v>2153229.73</v>
      </c>
      <c r="L25" s="107">
        <v>2374308.0499999998</v>
      </c>
      <c r="M25" s="107">
        <v>581611.93000000005</v>
      </c>
      <c r="N25" s="107">
        <v>632570.82999999996</v>
      </c>
      <c r="O25" s="107"/>
      <c r="P25" s="107"/>
    </row>
    <row r="26" spans="1:16" s="94" customFormat="1" x14ac:dyDescent="0.2">
      <c r="B26" s="93"/>
      <c r="C26" s="54">
        <f t="shared" ref="C26:N26" si="4">+C24+C25</f>
        <v>5121555.4399999995</v>
      </c>
      <c r="D26" s="54">
        <f t="shared" si="4"/>
        <v>9989660.25</v>
      </c>
      <c r="E26" s="54">
        <f t="shared" si="4"/>
        <v>15077822.23</v>
      </c>
      <c r="F26" s="54">
        <f t="shared" si="4"/>
        <v>20101519.810000002</v>
      </c>
      <c r="G26" s="54">
        <f t="shared" si="4"/>
        <v>24789722.48</v>
      </c>
      <c r="H26" s="54">
        <f t="shared" si="4"/>
        <v>29508355.120000001</v>
      </c>
      <c r="I26" s="54">
        <f t="shared" si="4"/>
        <v>34258802.310000002</v>
      </c>
      <c r="J26" s="54">
        <f t="shared" si="4"/>
        <v>38899256.649999999</v>
      </c>
      <c r="K26" s="54">
        <f t="shared" si="4"/>
        <v>43356481.229999997</v>
      </c>
      <c r="L26" s="54">
        <f t="shared" si="4"/>
        <v>47493945.879999995</v>
      </c>
      <c r="M26" s="54">
        <f t="shared" si="4"/>
        <v>581611.93000000005</v>
      </c>
      <c r="N26" s="54">
        <f t="shared" si="4"/>
        <v>632570.82999999996</v>
      </c>
      <c r="O26" s="102"/>
      <c r="P26" s="102"/>
    </row>
    <row r="27" spans="1:16" x14ac:dyDescent="0.2">
      <c r="B27" s="94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9"/>
      <c r="P27" s="19"/>
    </row>
    <row r="28" spans="1:16" ht="13.5" thickBot="1" x14ac:dyDescent="0.25">
      <c r="B28" s="68" t="s">
        <v>36</v>
      </c>
      <c r="C28" s="109">
        <f t="shared" ref="C28:N28" si="5">+C21-C26</f>
        <v>0</v>
      </c>
      <c r="D28" s="109">
        <f t="shared" si="5"/>
        <v>0</v>
      </c>
      <c r="E28" s="109">
        <f t="shared" si="5"/>
        <v>0</v>
      </c>
      <c r="F28" s="109">
        <f t="shared" si="5"/>
        <v>0</v>
      </c>
      <c r="G28" s="109">
        <f t="shared" si="5"/>
        <v>0</v>
      </c>
      <c r="H28" s="109">
        <f t="shared" si="5"/>
        <v>0</v>
      </c>
      <c r="I28" s="109">
        <f t="shared" si="5"/>
        <v>0</v>
      </c>
      <c r="J28" s="109">
        <f t="shared" si="5"/>
        <v>0</v>
      </c>
      <c r="K28" s="109">
        <f t="shared" si="5"/>
        <v>0</v>
      </c>
      <c r="L28" s="109">
        <f t="shared" si="5"/>
        <v>0</v>
      </c>
      <c r="M28" s="109">
        <f t="shared" si="5"/>
        <v>0</v>
      </c>
      <c r="N28" s="109">
        <f t="shared" si="5"/>
        <v>0</v>
      </c>
      <c r="O28" s="19"/>
      <c r="P28" s="19"/>
    </row>
    <row r="29" spans="1:16" ht="13.5" thickTop="1" x14ac:dyDescent="0.2"/>
    <row r="30" spans="1:16" x14ac:dyDescent="0.2">
      <c r="B30" s="100" t="s">
        <v>157</v>
      </c>
    </row>
    <row r="31" spans="1:16" s="103" customFormat="1" x14ac:dyDescent="0.2">
      <c r="B31" s="103" t="s">
        <v>158</v>
      </c>
      <c r="C31" s="103">
        <v>-5121555.4400000004</v>
      </c>
      <c r="D31" s="103">
        <v>-9989660.25</v>
      </c>
      <c r="E31" s="103">
        <v>-15077822.23</v>
      </c>
      <c r="F31" s="103">
        <v>-20101519.809999999</v>
      </c>
      <c r="G31" s="103">
        <v>-24789722.48</v>
      </c>
      <c r="H31" s="103">
        <v>-29508355.120000001</v>
      </c>
      <c r="I31" s="103">
        <v>-34258802.310000002</v>
      </c>
      <c r="J31" s="103">
        <v>-38899256.649999999</v>
      </c>
      <c r="K31" s="103">
        <v>-43356481.229999997</v>
      </c>
      <c r="L31" s="103">
        <v>-47493945.880000003</v>
      </c>
      <c r="M31" s="103">
        <v>-581611.93000000005</v>
      </c>
      <c r="N31" s="103">
        <v>-632570.82999999996</v>
      </c>
    </row>
    <row r="32" spans="1:16" s="103" customFormat="1" x14ac:dyDescent="0.2">
      <c r="B32" s="104" t="s">
        <v>159</v>
      </c>
      <c r="C32" s="103">
        <f t="shared" ref="C32:N32" si="6">-C26</f>
        <v>-5121555.4399999995</v>
      </c>
      <c r="D32" s="103">
        <f t="shared" si="6"/>
        <v>-9989660.25</v>
      </c>
      <c r="E32" s="103">
        <f t="shared" si="6"/>
        <v>-15077822.23</v>
      </c>
      <c r="F32" s="103">
        <f t="shared" si="6"/>
        <v>-20101519.810000002</v>
      </c>
      <c r="G32" s="103">
        <f t="shared" si="6"/>
        <v>-24789722.48</v>
      </c>
      <c r="H32" s="103">
        <f t="shared" si="6"/>
        <v>-29508355.120000001</v>
      </c>
      <c r="I32" s="103">
        <f t="shared" si="6"/>
        <v>-34258802.310000002</v>
      </c>
      <c r="J32" s="103">
        <f t="shared" si="6"/>
        <v>-38899256.649999999</v>
      </c>
      <c r="K32" s="103">
        <f t="shared" si="6"/>
        <v>-43356481.229999997</v>
      </c>
      <c r="L32" s="103">
        <f t="shared" si="6"/>
        <v>-47493945.879999995</v>
      </c>
      <c r="M32" s="103">
        <f t="shared" si="6"/>
        <v>-581611.93000000005</v>
      </c>
      <c r="N32" s="103">
        <f t="shared" si="6"/>
        <v>-632570.82999999996</v>
      </c>
    </row>
    <row r="33" spans="2:14" s="103" customFormat="1" ht="13.5" thickBot="1" x14ac:dyDescent="0.25">
      <c r="B33" s="68" t="s">
        <v>36</v>
      </c>
      <c r="C33" s="110">
        <f t="shared" ref="C33:N33" si="7">+C31-C32</f>
        <v>0</v>
      </c>
      <c r="D33" s="110">
        <f t="shared" si="7"/>
        <v>0</v>
      </c>
      <c r="E33" s="110">
        <f t="shared" si="7"/>
        <v>0</v>
      </c>
      <c r="F33" s="110">
        <f t="shared" si="7"/>
        <v>0</v>
      </c>
      <c r="G33" s="110">
        <f t="shared" si="7"/>
        <v>0</v>
      </c>
      <c r="H33" s="110">
        <f t="shared" si="7"/>
        <v>0</v>
      </c>
      <c r="I33" s="110">
        <f t="shared" si="7"/>
        <v>0</v>
      </c>
      <c r="J33" s="110">
        <f t="shared" si="7"/>
        <v>0</v>
      </c>
      <c r="K33" s="110">
        <f t="shared" si="7"/>
        <v>0</v>
      </c>
      <c r="L33" s="110">
        <f t="shared" si="7"/>
        <v>0</v>
      </c>
      <c r="M33" s="110">
        <f t="shared" si="7"/>
        <v>0</v>
      </c>
      <c r="N33" s="110">
        <f t="shared" si="7"/>
        <v>0</v>
      </c>
    </row>
    <row r="34" spans="2:14" ht="13.5" thickTop="1" x14ac:dyDescent="0.2"/>
  </sheetData>
  <pageMargins left="0.7" right="0.7" top="0.75" bottom="0.75" header="0.5" footer="0.5"/>
  <pageSetup scale="50" orientation="landscape" r:id="rId1"/>
  <headerFooter>
    <oddFooter>&amp;R&amp;"Times New Roman,Bold"&amp;12Attachment to Response to KU KIUC-2 Question No. 2.15
Page &amp;P of &amp;N
Arbough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 fitToPage="1"/>
  </sheetPr>
  <dimension ref="A1:E75"/>
  <sheetViews>
    <sheetView topLeftCell="A24" workbookViewId="0">
      <selection activeCell="D25" sqref="D25"/>
    </sheetView>
  </sheetViews>
  <sheetFormatPr defaultColWidth="18.7109375" defaultRowHeight="12.75" x14ac:dyDescent="0.2"/>
  <cols>
    <col min="1" max="1" width="50.28515625" style="122" bestFit="1" customWidth="1"/>
    <col min="2" max="16384" width="18.7109375" style="122"/>
  </cols>
  <sheetData>
    <row r="1" spans="1:5" ht="27" x14ac:dyDescent="0.35">
      <c r="A1" s="145" t="s">
        <v>160</v>
      </c>
      <c r="C1" s="124"/>
      <c r="D1" s="124"/>
      <c r="E1" s="124"/>
    </row>
    <row r="2" spans="1:5" ht="14.25" x14ac:dyDescent="0.2">
      <c r="A2" s="125" t="s">
        <v>161</v>
      </c>
      <c r="C2" s="126"/>
      <c r="D2" s="126"/>
      <c r="E2" s="126"/>
    </row>
    <row r="3" spans="1:5" ht="27" customHeight="1" x14ac:dyDescent="0.2">
      <c r="A3" s="125" t="s">
        <v>162</v>
      </c>
      <c r="C3" s="126"/>
      <c r="D3" s="126"/>
      <c r="E3" s="126"/>
    </row>
    <row r="4" spans="1:5" ht="14.25" customHeight="1" x14ac:dyDescent="0.25">
      <c r="A4" s="127"/>
      <c r="B4" s="165" t="s">
        <v>163</v>
      </c>
      <c r="C4" s="165" t="s">
        <v>163</v>
      </c>
      <c r="D4" s="165" t="s">
        <v>164</v>
      </c>
      <c r="E4" s="147" t="s">
        <v>164</v>
      </c>
    </row>
    <row r="5" spans="1:5" ht="14.25" customHeight="1" x14ac:dyDescent="0.25">
      <c r="A5" s="130"/>
      <c r="B5" s="166" t="s">
        <v>165</v>
      </c>
      <c r="C5" s="166" t="s">
        <v>40</v>
      </c>
      <c r="D5" s="166" t="s">
        <v>166</v>
      </c>
      <c r="E5" s="149" t="s">
        <v>40</v>
      </c>
    </row>
    <row r="6" spans="1:5" ht="15" customHeight="1" x14ac:dyDescent="0.25">
      <c r="A6" s="133"/>
      <c r="B6" s="167" t="s">
        <v>42</v>
      </c>
      <c r="C6" s="167" t="s">
        <v>42</v>
      </c>
      <c r="D6" s="167" t="s">
        <v>167</v>
      </c>
      <c r="E6" s="151" t="s">
        <v>167</v>
      </c>
    </row>
    <row r="7" spans="1:5" ht="15" customHeight="1" x14ac:dyDescent="0.25">
      <c r="A7" s="136"/>
      <c r="B7" s="137"/>
      <c r="C7" s="137"/>
      <c r="D7" s="137"/>
      <c r="E7" s="138"/>
    </row>
    <row r="8" spans="1:5" ht="15" customHeight="1" x14ac:dyDescent="0.25">
      <c r="A8" s="139" t="s">
        <v>0</v>
      </c>
      <c r="B8" s="140"/>
      <c r="C8" s="140"/>
      <c r="D8" s="140"/>
      <c r="E8" s="141"/>
    </row>
    <row r="9" spans="1:5" ht="15" customHeight="1" x14ac:dyDescent="0.25">
      <c r="A9" s="139" t="s">
        <v>1</v>
      </c>
      <c r="B9" s="140">
        <v>0</v>
      </c>
      <c r="C9" s="140">
        <v>0</v>
      </c>
      <c r="D9" s="140">
        <v>0</v>
      </c>
      <c r="E9" s="141">
        <v>0</v>
      </c>
    </row>
    <row r="10" spans="1:5" ht="15" customHeight="1" x14ac:dyDescent="0.25">
      <c r="A10" s="139" t="s">
        <v>168</v>
      </c>
      <c r="B10" s="140">
        <v>0</v>
      </c>
      <c r="C10" s="140">
        <v>0</v>
      </c>
      <c r="D10" s="140">
        <v>0</v>
      </c>
      <c r="E10" s="141">
        <v>0</v>
      </c>
    </row>
    <row r="11" spans="1:5" ht="15" customHeight="1" x14ac:dyDescent="0.25">
      <c r="A11" s="139" t="s">
        <v>169</v>
      </c>
      <c r="B11" s="140">
        <v>0</v>
      </c>
      <c r="C11" s="140">
        <v>0</v>
      </c>
      <c r="D11" s="140">
        <v>0</v>
      </c>
      <c r="E11" s="141">
        <v>0</v>
      </c>
    </row>
    <row r="12" spans="1:5" ht="15" customHeight="1" x14ac:dyDescent="0.25">
      <c r="A12" s="139" t="s">
        <v>2</v>
      </c>
      <c r="B12" s="140">
        <v>0</v>
      </c>
      <c r="C12" s="140">
        <v>0</v>
      </c>
      <c r="D12" s="140">
        <v>0</v>
      </c>
      <c r="E12" s="141">
        <v>0</v>
      </c>
    </row>
    <row r="13" spans="1:5" ht="15" customHeight="1" x14ac:dyDescent="0.25">
      <c r="A13" s="139" t="s">
        <v>3</v>
      </c>
      <c r="B13" s="140">
        <v>0</v>
      </c>
      <c r="C13" s="140">
        <v>0</v>
      </c>
      <c r="D13" s="140">
        <v>0</v>
      </c>
      <c r="E13" s="141">
        <v>0</v>
      </c>
    </row>
    <row r="14" spans="1:5" ht="15" customHeight="1" x14ac:dyDescent="0.25">
      <c r="A14" s="139"/>
      <c r="B14" s="140"/>
      <c r="C14" s="140"/>
      <c r="D14" s="140"/>
      <c r="E14" s="141"/>
    </row>
    <row r="15" spans="1:5" ht="15" customHeight="1" x14ac:dyDescent="0.25">
      <c r="A15" s="139" t="s">
        <v>4</v>
      </c>
      <c r="B15" s="140">
        <v>0</v>
      </c>
      <c r="C15" s="140">
        <v>0</v>
      </c>
      <c r="D15" s="140">
        <v>0</v>
      </c>
      <c r="E15" s="141">
        <v>0</v>
      </c>
    </row>
    <row r="16" spans="1:5" ht="15" customHeight="1" x14ac:dyDescent="0.25">
      <c r="A16" s="139"/>
      <c r="B16" s="140"/>
      <c r="C16" s="140"/>
      <c r="D16" s="140"/>
      <c r="E16" s="141"/>
    </row>
    <row r="17" spans="1:5" ht="15" customHeight="1" x14ac:dyDescent="0.25">
      <c r="A17" s="139" t="s">
        <v>11</v>
      </c>
      <c r="B17" s="140"/>
      <c r="C17" s="140"/>
      <c r="D17" s="140"/>
      <c r="E17" s="141"/>
    </row>
    <row r="18" spans="1:5" ht="15" customHeight="1" x14ac:dyDescent="0.25">
      <c r="A18" s="139" t="s">
        <v>6</v>
      </c>
      <c r="B18" s="140">
        <v>0</v>
      </c>
      <c r="C18" s="140">
        <v>0</v>
      </c>
      <c r="D18" s="140">
        <v>0</v>
      </c>
      <c r="E18" s="141">
        <v>0</v>
      </c>
    </row>
    <row r="19" spans="1:5" ht="15" customHeight="1" x14ac:dyDescent="0.25">
      <c r="A19" s="139" t="s">
        <v>7</v>
      </c>
      <c r="B19" s="140">
        <v>0</v>
      </c>
      <c r="C19" s="140">
        <v>0</v>
      </c>
      <c r="D19" s="140">
        <v>0</v>
      </c>
      <c r="E19" s="141">
        <v>0</v>
      </c>
    </row>
    <row r="20" spans="1:5" ht="15" customHeight="1" x14ac:dyDescent="0.25">
      <c r="A20" s="139" t="s">
        <v>170</v>
      </c>
      <c r="B20" s="140">
        <v>0</v>
      </c>
      <c r="C20" s="140">
        <v>0</v>
      </c>
      <c r="D20" s="140">
        <v>0</v>
      </c>
      <c r="E20" s="141">
        <v>0</v>
      </c>
    </row>
    <row r="21" spans="1:5" ht="15" customHeight="1" x14ac:dyDescent="0.25">
      <c r="A21" s="139" t="s">
        <v>8</v>
      </c>
      <c r="B21" s="140">
        <v>0</v>
      </c>
      <c r="C21" s="140">
        <v>0</v>
      </c>
      <c r="D21" s="140">
        <v>0</v>
      </c>
      <c r="E21" s="141">
        <v>0</v>
      </c>
    </row>
    <row r="22" spans="1:5" ht="15" customHeight="1" x14ac:dyDescent="0.25">
      <c r="A22" s="139" t="s">
        <v>12</v>
      </c>
      <c r="B22" s="140">
        <v>-4500</v>
      </c>
      <c r="C22" s="140">
        <v>-59971.08</v>
      </c>
      <c r="D22" s="140">
        <v>0</v>
      </c>
      <c r="E22" s="141">
        <v>0</v>
      </c>
    </row>
    <row r="23" spans="1:5" ht="15" customHeight="1" x14ac:dyDescent="0.25">
      <c r="A23" s="139" t="s">
        <v>171</v>
      </c>
      <c r="B23" s="140">
        <v>1</v>
      </c>
      <c r="C23" s="140">
        <v>-1949.1</v>
      </c>
      <c r="D23" s="140">
        <v>0</v>
      </c>
      <c r="E23" s="141">
        <v>0</v>
      </c>
    </row>
    <row r="24" spans="1:5" ht="15" customHeight="1" x14ac:dyDescent="0.25">
      <c r="A24" s="139" t="s">
        <v>13</v>
      </c>
      <c r="B24" s="140">
        <v>0</v>
      </c>
      <c r="C24" s="140">
        <v>0</v>
      </c>
      <c r="D24" s="140">
        <v>0</v>
      </c>
      <c r="E24" s="141">
        <v>0</v>
      </c>
    </row>
    <row r="25" spans="1:5" ht="15" customHeight="1" x14ac:dyDescent="0.25">
      <c r="A25" s="139" t="s">
        <v>14</v>
      </c>
      <c r="B25" s="140">
        <v>0</v>
      </c>
      <c r="C25" s="140">
        <v>0</v>
      </c>
      <c r="D25" s="140">
        <v>0</v>
      </c>
      <c r="E25" s="141">
        <v>0</v>
      </c>
    </row>
    <row r="26" spans="1:5" ht="15" customHeight="1" x14ac:dyDescent="0.25">
      <c r="A26" s="139"/>
      <c r="B26" s="140"/>
      <c r="C26" s="140"/>
      <c r="D26" s="140"/>
      <c r="E26" s="141"/>
    </row>
    <row r="27" spans="1:5" ht="15" customHeight="1" x14ac:dyDescent="0.25">
      <c r="A27" s="139" t="s">
        <v>15</v>
      </c>
      <c r="B27" s="140">
        <v>-4499</v>
      </c>
      <c r="C27" s="140">
        <v>-61920.18</v>
      </c>
      <c r="D27" s="140">
        <v>0</v>
      </c>
      <c r="E27" s="141">
        <v>0</v>
      </c>
    </row>
    <row r="28" spans="1:5" ht="15" customHeight="1" x14ac:dyDescent="0.25">
      <c r="A28" s="139"/>
      <c r="B28" s="140"/>
      <c r="C28" s="140"/>
      <c r="D28" s="140"/>
      <c r="E28" s="141"/>
    </row>
    <row r="29" spans="1:5" ht="15" customHeight="1" x14ac:dyDescent="0.25">
      <c r="A29" s="139" t="s">
        <v>17</v>
      </c>
      <c r="B29" s="140">
        <v>-4499</v>
      </c>
      <c r="C29" s="140">
        <v>-61920.18</v>
      </c>
      <c r="D29" s="140">
        <v>0</v>
      </c>
      <c r="E29" s="141">
        <v>0</v>
      </c>
    </row>
    <row r="30" spans="1:5" ht="15" customHeight="1" x14ac:dyDescent="0.25">
      <c r="A30" s="139"/>
      <c r="B30" s="140"/>
      <c r="C30" s="140"/>
      <c r="D30" s="140"/>
      <c r="E30" s="141"/>
    </row>
    <row r="31" spans="1:5" ht="15" customHeight="1" x14ac:dyDescent="0.25">
      <c r="A31" s="139" t="s">
        <v>16</v>
      </c>
      <c r="B31" s="140">
        <v>0</v>
      </c>
      <c r="C31" s="140">
        <v>0</v>
      </c>
      <c r="D31" s="140">
        <v>0</v>
      </c>
      <c r="E31" s="141">
        <v>0</v>
      </c>
    </row>
    <row r="32" spans="1:5" ht="15" customHeight="1" x14ac:dyDescent="0.25">
      <c r="A32" s="139" t="s">
        <v>172</v>
      </c>
      <c r="B32" s="140">
        <v>0</v>
      </c>
      <c r="C32" s="140">
        <v>0</v>
      </c>
      <c r="D32" s="140">
        <v>0</v>
      </c>
      <c r="E32" s="141">
        <v>0</v>
      </c>
    </row>
    <row r="33" spans="1:5" ht="15" customHeight="1" x14ac:dyDescent="0.25">
      <c r="A33" s="139" t="s">
        <v>18</v>
      </c>
      <c r="B33" s="140">
        <v>34.35</v>
      </c>
      <c r="C33" s="140">
        <v>4366.17</v>
      </c>
      <c r="D33" s="140">
        <v>0</v>
      </c>
      <c r="E33" s="141">
        <v>0</v>
      </c>
    </row>
    <row r="34" spans="1:5" ht="15" customHeight="1" x14ac:dyDescent="0.25">
      <c r="A34" s="139" t="s">
        <v>19</v>
      </c>
      <c r="B34" s="140">
        <v>0</v>
      </c>
      <c r="C34" s="140">
        <v>0</v>
      </c>
      <c r="D34" s="140">
        <v>0</v>
      </c>
      <c r="E34" s="141">
        <v>0</v>
      </c>
    </row>
    <row r="35" spans="1:5" ht="15" customHeight="1" x14ac:dyDescent="0.25">
      <c r="A35" s="139" t="s">
        <v>53</v>
      </c>
      <c r="B35" s="140">
        <v>0</v>
      </c>
      <c r="C35" s="140">
        <v>0</v>
      </c>
      <c r="D35" s="140">
        <v>0</v>
      </c>
      <c r="E35" s="141">
        <v>0</v>
      </c>
    </row>
    <row r="36" spans="1:5" ht="15" customHeight="1" x14ac:dyDescent="0.25">
      <c r="A36" s="139" t="s">
        <v>173</v>
      </c>
      <c r="B36" s="140">
        <v>2278532.94</v>
      </c>
      <c r="C36" s="140">
        <v>26988581.010000002</v>
      </c>
      <c r="D36" s="140">
        <v>0</v>
      </c>
      <c r="E36" s="141">
        <v>0</v>
      </c>
    </row>
    <row r="37" spans="1:5" ht="15" customHeight="1" x14ac:dyDescent="0.25">
      <c r="A37" s="139" t="s">
        <v>174</v>
      </c>
      <c r="B37" s="140">
        <v>-107873.69</v>
      </c>
      <c r="C37" s="140">
        <v>-1105368.3999999999</v>
      </c>
      <c r="D37" s="140">
        <v>0</v>
      </c>
      <c r="E37" s="141">
        <v>0</v>
      </c>
    </row>
    <row r="38" spans="1:5" ht="15" customHeight="1" x14ac:dyDescent="0.25">
      <c r="A38" s="139" t="s">
        <v>175</v>
      </c>
      <c r="B38" s="140">
        <v>52180.02</v>
      </c>
      <c r="C38" s="140">
        <v>1155714.17</v>
      </c>
      <c r="D38" s="140">
        <v>0</v>
      </c>
      <c r="E38" s="141">
        <v>0</v>
      </c>
    </row>
    <row r="39" spans="1:5" ht="15" customHeight="1" x14ac:dyDescent="0.25">
      <c r="A39" s="139" t="s">
        <v>176</v>
      </c>
      <c r="B39" s="140">
        <v>-51666.67</v>
      </c>
      <c r="C39" s="140">
        <v>-618018.04</v>
      </c>
      <c r="D39" s="140">
        <v>0</v>
      </c>
      <c r="E39" s="141">
        <v>0</v>
      </c>
    </row>
    <row r="40" spans="1:5" ht="15" customHeight="1" x14ac:dyDescent="0.25">
      <c r="A40" s="139" t="s">
        <v>21</v>
      </c>
      <c r="B40" s="140">
        <v>-3269325.02</v>
      </c>
      <c r="C40" s="140">
        <v>-30837837.629999999</v>
      </c>
      <c r="D40" s="140">
        <v>0</v>
      </c>
      <c r="E40" s="141">
        <v>0</v>
      </c>
    </row>
    <row r="41" spans="1:5" ht="15" customHeight="1" x14ac:dyDescent="0.25">
      <c r="A41" s="139" t="s">
        <v>22</v>
      </c>
      <c r="B41" s="140">
        <v>0</v>
      </c>
      <c r="C41" s="140">
        <v>0</v>
      </c>
      <c r="D41" s="140">
        <v>0</v>
      </c>
      <c r="E41" s="141">
        <v>0</v>
      </c>
    </row>
    <row r="42" spans="1:5" ht="15" customHeight="1" x14ac:dyDescent="0.25">
      <c r="A42" s="139"/>
      <c r="B42" s="140"/>
      <c r="C42" s="140"/>
      <c r="D42" s="140"/>
      <c r="E42" s="141"/>
    </row>
    <row r="43" spans="1:5" ht="15" customHeight="1" x14ac:dyDescent="0.25">
      <c r="A43" s="139" t="s">
        <v>23</v>
      </c>
      <c r="B43" s="140">
        <v>-1102617.07</v>
      </c>
      <c r="C43" s="140">
        <v>-4474482.9000000004</v>
      </c>
      <c r="D43" s="140">
        <v>0</v>
      </c>
      <c r="E43" s="141">
        <v>0</v>
      </c>
    </row>
    <row r="44" spans="1:5" ht="15" customHeight="1" x14ac:dyDescent="0.25">
      <c r="A44" s="139"/>
      <c r="B44" s="140"/>
      <c r="C44" s="140"/>
      <c r="D44" s="140"/>
      <c r="E44" s="141"/>
    </row>
    <row r="45" spans="1:5" ht="15" customHeight="1" x14ac:dyDescent="0.25">
      <c r="A45" s="139" t="s">
        <v>24</v>
      </c>
      <c r="B45" s="140">
        <v>-0.02</v>
      </c>
      <c r="C45" s="140">
        <v>4472535.82</v>
      </c>
      <c r="D45" s="140">
        <v>0</v>
      </c>
      <c r="E45" s="141">
        <v>0</v>
      </c>
    </row>
    <row r="46" spans="1:5" ht="15" customHeight="1" x14ac:dyDescent="0.25">
      <c r="A46" s="139" t="s">
        <v>25</v>
      </c>
      <c r="B46" s="140">
        <v>0</v>
      </c>
      <c r="C46" s="140">
        <v>-2269948.46</v>
      </c>
      <c r="D46" s="140">
        <v>0</v>
      </c>
      <c r="E46" s="141">
        <v>0</v>
      </c>
    </row>
    <row r="47" spans="1:5" ht="15" customHeight="1" x14ac:dyDescent="0.25">
      <c r="A47" s="139"/>
      <c r="B47" s="140"/>
      <c r="C47" s="140"/>
      <c r="D47" s="140"/>
      <c r="E47" s="141"/>
    </row>
    <row r="48" spans="1:5" ht="15" customHeight="1" x14ac:dyDescent="0.25">
      <c r="A48" s="139" t="s">
        <v>26</v>
      </c>
      <c r="B48" s="140">
        <v>-0.02</v>
      </c>
      <c r="C48" s="140">
        <v>2202587.36</v>
      </c>
      <c r="D48" s="140">
        <v>0</v>
      </c>
      <c r="E48" s="141">
        <v>0</v>
      </c>
    </row>
    <row r="49" spans="1:5" ht="15" customHeight="1" x14ac:dyDescent="0.25">
      <c r="A49" s="139"/>
      <c r="B49" s="140"/>
      <c r="C49" s="140"/>
      <c r="D49" s="140"/>
      <c r="E49" s="141"/>
    </row>
    <row r="50" spans="1:5" ht="15" customHeight="1" x14ac:dyDescent="0.25">
      <c r="A50" s="139" t="s">
        <v>27</v>
      </c>
      <c r="B50" s="140">
        <v>-1102617.0900000001</v>
      </c>
      <c r="C50" s="140">
        <v>-2271895.54</v>
      </c>
      <c r="D50" s="140">
        <v>0</v>
      </c>
      <c r="E50" s="141">
        <v>0</v>
      </c>
    </row>
    <row r="51" spans="1:5" ht="15" customHeight="1" x14ac:dyDescent="0.25">
      <c r="A51" s="139"/>
      <c r="B51" s="140"/>
      <c r="C51" s="140"/>
      <c r="D51" s="140"/>
      <c r="E51" s="141"/>
    </row>
    <row r="52" spans="1:5" ht="15" customHeight="1" x14ac:dyDescent="0.25">
      <c r="A52" s="139" t="s">
        <v>177</v>
      </c>
      <c r="B52" s="140">
        <v>0</v>
      </c>
      <c r="C52" s="140">
        <v>0</v>
      </c>
      <c r="D52" s="140">
        <v>0</v>
      </c>
      <c r="E52" s="141">
        <v>0</v>
      </c>
    </row>
    <row r="53" spans="1:5" ht="15" customHeight="1" x14ac:dyDescent="0.25">
      <c r="A53" s="139" t="s">
        <v>178</v>
      </c>
      <c r="B53" s="140">
        <v>0</v>
      </c>
      <c r="C53" s="140">
        <v>0</v>
      </c>
      <c r="D53" s="140">
        <v>0</v>
      </c>
      <c r="E53" s="141">
        <v>0</v>
      </c>
    </row>
    <row r="54" spans="1:5" ht="15" customHeight="1" x14ac:dyDescent="0.25">
      <c r="A54" s="139"/>
      <c r="B54" s="140"/>
      <c r="C54" s="140"/>
      <c r="D54" s="140"/>
      <c r="E54" s="141"/>
    </row>
    <row r="55" spans="1:5" ht="15" customHeight="1" x14ac:dyDescent="0.25">
      <c r="A55" s="139" t="s">
        <v>179</v>
      </c>
      <c r="B55" s="140">
        <v>0</v>
      </c>
      <c r="C55" s="140">
        <v>0</v>
      </c>
      <c r="D55" s="140">
        <v>0</v>
      </c>
      <c r="E55" s="141">
        <v>0</v>
      </c>
    </row>
    <row r="56" spans="1:5" ht="15" customHeight="1" x14ac:dyDescent="0.25">
      <c r="A56" s="139"/>
      <c r="B56" s="140"/>
      <c r="C56" s="140"/>
      <c r="D56" s="140"/>
      <c r="E56" s="141"/>
    </row>
    <row r="57" spans="1:5" ht="15" customHeight="1" x14ac:dyDescent="0.25">
      <c r="A57" s="139" t="s">
        <v>180</v>
      </c>
      <c r="B57" s="140">
        <v>0</v>
      </c>
      <c r="C57" s="140">
        <v>0</v>
      </c>
      <c r="D57" s="140">
        <v>0</v>
      </c>
      <c r="E57" s="141">
        <v>0</v>
      </c>
    </row>
    <row r="58" spans="1:5" ht="15" customHeight="1" x14ac:dyDescent="0.25">
      <c r="A58" s="139" t="s">
        <v>181</v>
      </c>
      <c r="B58" s="140">
        <v>0</v>
      </c>
      <c r="C58" s="140">
        <v>0</v>
      </c>
      <c r="D58" s="140">
        <v>0</v>
      </c>
      <c r="E58" s="141">
        <v>0</v>
      </c>
    </row>
    <row r="59" spans="1:5" ht="15" customHeight="1" x14ac:dyDescent="0.25">
      <c r="A59" s="139"/>
      <c r="B59" s="140"/>
      <c r="C59" s="140"/>
      <c r="D59" s="140"/>
      <c r="E59" s="141"/>
    </row>
    <row r="60" spans="1:5" ht="15" customHeight="1" x14ac:dyDescent="0.25">
      <c r="A60" s="139" t="s">
        <v>182</v>
      </c>
      <c r="B60" s="140">
        <v>0</v>
      </c>
      <c r="C60" s="140">
        <v>0</v>
      </c>
      <c r="D60" s="140">
        <v>0</v>
      </c>
      <c r="E60" s="141">
        <v>0</v>
      </c>
    </row>
    <row r="61" spans="1:5" ht="15" customHeight="1" x14ac:dyDescent="0.25">
      <c r="A61" s="139"/>
      <c r="B61" s="140"/>
      <c r="C61" s="140"/>
      <c r="D61" s="140"/>
      <c r="E61" s="141"/>
    </row>
    <row r="62" spans="1:5" ht="15" customHeight="1" x14ac:dyDescent="0.25">
      <c r="A62" s="139" t="s">
        <v>30</v>
      </c>
      <c r="B62" s="140">
        <v>0</v>
      </c>
      <c r="C62" s="140">
        <v>0</v>
      </c>
      <c r="D62" s="140">
        <v>0</v>
      </c>
      <c r="E62" s="141">
        <v>0</v>
      </c>
    </row>
    <row r="63" spans="1:5" ht="15" customHeight="1" x14ac:dyDescent="0.25">
      <c r="A63" s="139" t="s">
        <v>31</v>
      </c>
      <c r="B63" s="140">
        <v>0</v>
      </c>
      <c r="C63" s="140">
        <v>0</v>
      </c>
      <c r="D63" s="140">
        <v>0</v>
      </c>
      <c r="E63" s="141">
        <v>0</v>
      </c>
    </row>
    <row r="64" spans="1:5" ht="15" customHeight="1" x14ac:dyDescent="0.25">
      <c r="A64" s="139"/>
      <c r="B64" s="140"/>
      <c r="C64" s="140"/>
      <c r="D64" s="140"/>
      <c r="E64" s="141"/>
    </row>
    <row r="65" spans="1:5" ht="15" customHeight="1" x14ac:dyDescent="0.25">
      <c r="A65" s="139" t="s">
        <v>32</v>
      </c>
      <c r="B65" s="140">
        <v>-1102617.0900000001</v>
      </c>
      <c r="C65" s="140">
        <v>-2271895.54</v>
      </c>
      <c r="D65" s="140">
        <v>0</v>
      </c>
      <c r="E65" s="141">
        <v>0</v>
      </c>
    </row>
    <row r="66" spans="1:5" ht="15" customHeight="1" x14ac:dyDescent="0.25">
      <c r="A66" s="139"/>
      <c r="B66" s="140"/>
      <c r="C66" s="140"/>
      <c r="D66" s="140"/>
      <c r="E66" s="141"/>
    </row>
    <row r="67" spans="1:5" ht="15" customHeight="1" x14ac:dyDescent="0.25">
      <c r="A67" s="139" t="s">
        <v>33</v>
      </c>
      <c r="B67" s="140">
        <v>0</v>
      </c>
      <c r="C67" s="140">
        <v>0</v>
      </c>
      <c r="D67" s="140">
        <v>0</v>
      </c>
      <c r="E67" s="141">
        <v>0</v>
      </c>
    </row>
    <row r="68" spans="1:5" ht="15" customHeight="1" x14ac:dyDescent="0.25">
      <c r="A68" s="139"/>
      <c r="B68" s="140"/>
      <c r="C68" s="140"/>
      <c r="D68" s="140"/>
      <c r="E68" s="141"/>
    </row>
    <row r="69" spans="1:5" ht="15" customHeight="1" x14ac:dyDescent="0.25">
      <c r="A69" s="139" t="s">
        <v>34</v>
      </c>
      <c r="B69" s="140">
        <v>-1102617.0900000001</v>
      </c>
      <c r="C69" s="140">
        <v>-2271895.54</v>
      </c>
      <c r="D69" s="140">
        <v>0</v>
      </c>
      <c r="E69" s="141">
        <v>0</v>
      </c>
    </row>
    <row r="70" spans="1:5" ht="15" customHeight="1" x14ac:dyDescent="0.25">
      <c r="A70" s="139"/>
      <c r="B70" s="140"/>
      <c r="C70" s="140"/>
      <c r="D70" s="140"/>
      <c r="E70" s="141"/>
    </row>
    <row r="71" spans="1:5" ht="15" customHeight="1" x14ac:dyDescent="0.25">
      <c r="A71" s="139" t="s">
        <v>35</v>
      </c>
      <c r="B71" s="140">
        <v>1102617.0900000001</v>
      </c>
      <c r="C71" s="140">
        <v>2271895.54</v>
      </c>
      <c r="D71" s="140">
        <v>0</v>
      </c>
      <c r="E71" s="141">
        <v>0</v>
      </c>
    </row>
    <row r="72" spans="1:5" ht="15" customHeight="1" x14ac:dyDescent="0.25">
      <c r="A72" s="139"/>
      <c r="B72" s="140"/>
      <c r="C72" s="140"/>
      <c r="D72" s="140"/>
      <c r="E72" s="141"/>
    </row>
    <row r="73" spans="1:5" ht="15" customHeight="1" x14ac:dyDescent="0.25">
      <c r="A73" s="142" t="s">
        <v>36</v>
      </c>
      <c r="B73" s="143">
        <v>0</v>
      </c>
      <c r="C73" s="143">
        <v>0</v>
      </c>
      <c r="D73" s="143">
        <v>0</v>
      </c>
      <c r="E73" s="144">
        <v>0</v>
      </c>
    </row>
    <row r="74" spans="1:5" ht="15" customHeight="1" x14ac:dyDescent="0.2"/>
    <row r="75" spans="1:5" ht="15" customHeight="1" x14ac:dyDescent="0.2"/>
  </sheetData>
  <pageMargins left="0.7" right="0.7" top="0.75" bottom="0.75" header="0.5" footer="0.5"/>
  <pageSetup scale="64" orientation="portrait" r:id="rId1"/>
  <headerFooter>
    <oddHeader>&amp;R&amp;"Times New Roman,Bold"&amp;12Attachment to Response to KU KIUC-2 Question No. 2.15
Page &amp;P of &amp;N
Arbough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G87"/>
  <sheetViews>
    <sheetView topLeftCell="A4" workbookViewId="0">
      <selection activeCell="D25" sqref="D25"/>
    </sheetView>
  </sheetViews>
  <sheetFormatPr defaultColWidth="9.140625" defaultRowHeight="12.75" x14ac:dyDescent="0.2"/>
  <cols>
    <col min="1" max="1" width="34" style="68" customWidth="1"/>
    <col min="2" max="2" width="5.7109375" style="68" customWidth="1"/>
    <col min="3" max="3" width="15.85546875" style="68" bestFit="1" customWidth="1"/>
    <col min="4" max="5" width="17.28515625" style="68" bestFit="1" customWidth="1"/>
    <col min="6" max="6" width="4.85546875" style="68" customWidth="1"/>
    <col min="7" max="7" width="16.28515625" style="68" customWidth="1"/>
    <col min="8" max="16384" width="9.140625" style="68"/>
  </cols>
  <sheetData>
    <row r="1" spans="1:7" ht="13.5" thickBot="1" x14ac:dyDescent="0.25">
      <c r="A1" s="66" t="s">
        <v>56</v>
      </c>
      <c r="B1" s="66"/>
      <c r="C1" s="14"/>
      <c r="D1" s="14"/>
      <c r="E1" s="14"/>
      <c r="F1" s="14"/>
      <c r="G1" s="67" t="s">
        <v>90</v>
      </c>
    </row>
    <row r="2" spans="1:7" x14ac:dyDescent="0.2">
      <c r="A2" s="2" t="s">
        <v>183</v>
      </c>
      <c r="B2" s="14"/>
      <c r="C2" s="14"/>
      <c r="D2" s="14"/>
      <c r="E2" s="14"/>
      <c r="F2" s="14"/>
      <c r="G2" s="18"/>
    </row>
    <row r="3" spans="1:7" x14ac:dyDescent="0.2">
      <c r="A3" s="2" t="s">
        <v>184</v>
      </c>
      <c r="B3" s="34"/>
      <c r="C3" s="14"/>
      <c r="D3" s="14"/>
      <c r="E3" s="14"/>
      <c r="F3" s="14"/>
      <c r="G3" s="18"/>
    </row>
    <row r="4" spans="1:7" ht="13.5" thickBot="1" x14ac:dyDescent="0.25">
      <c r="A4" s="14"/>
      <c r="B4" s="14"/>
      <c r="C4" s="69"/>
      <c r="D4" s="69"/>
      <c r="E4" s="69"/>
      <c r="F4" s="69"/>
      <c r="G4" s="70" t="s">
        <v>52</v>
      </c>
    </row>
    <row r="5" spans="1:7" x14ac:dyDescent="0.2">
      <c r="A5" s="71" t="s">
        <v>60</v>
      </c>
      <c r="C5" s="1">
        <v>221016</v>
      </c>
      <c r="D5" s="1">
        <v>221017</v>
      </c>
      <c r="E5" s="1">
        <v>221018</v>
      </c>
      <c r="F5" s="1"/>
      <c r="G5" s="27"/>
    </row>
    <row r="6" spans="1:7" x14ac:dyDescent="0.2">
      <c r="A6" s="71" t="s">
        <v>61</v>
      </c>
      <c r="B6" s="1"/>
      <c r="C6" s="1">
        <v>181016</v>
      </c>
      <c r="D6" s="1">
        <v>181017</v>
      </c>
      <c r="E6" s="1">
        <v>181018</v>
      </c>
      <c r="F6" s="1"/>
      <c r="G6" s="27"/>
    </row>
    <row r="7" spans="1:7" x14ac:dyDescent="0.2">
      <c r="A7" s="71" t="s">
        <v>62</v>
      </c>
      <c r="B7" s="1"/>
      <c r="C7" s="1">
        <v>428016</v>
      </c>
      <c r="D7" s="1">
        <v>428017</v>
      </c>
      <c r="E7" s="1">
        <v>428018</v>
      </c>
      <c r="F7" s="1"/>
      <c r="G7" s="27"/>
    </row>
    <row r="8" spans="1:7" x14ac:dyDescent="0.2">
      <c r="A8" s="14"/>
      <c r="B8" s="14"/>
      <c r="C8" s="14"/>
      <c r="D8" s="2"/>
      <c r="E8" s="2"/>
      <c r="F8" s="14"/>
      <c r="G8" s="18"/>
    </row>
    <row r="9" spans="1:7" x14ac:dyDescent="0.2">
      <c r="A9" s="14"/>
      <c r="B9" s="14"/>
      <c r="C9" s="14"/>
      <c r="D9" s="2"/>
      <c r="E9" s="2"/>
      <c r="F9" s="14"/>
      <c r="G9" s="61"/>
    </row>
    <row r="10" spans="1:7" x14ac:dyDescent="0.2">
      <c r="A10" s="72" t="s">
        <v>63</v>
      </c>
      <c r="B10" s="73"/>
      <c r="C10" s="3">
        <v>400000000</v>
      </c>
      <c r="D10" s="3">
        <v>475000000</v>
      </c>
      <c r="E10" s="3">
        <v>250000000</v>
      </c>
      <c r="F10" s="3"/>
      <c r="G10" s="55">
        <f>SUM(C10:E10)+F10</f>
        <v>1125000000</v>
      </c>
    </row>
    <row r="11" spans="1:7" x14ac:dyDescent="0.2">
      <c r="A11" s="74" t="s">
        <v>64</v>
      </c>
      <c r="B11" s="34"/>
      <c r="C11" s="4">
        <f>2400000+16740</f>
        <v>2416740</v>
      </c>
      <c r="D11" s="4">
        <f>3087500+16740</f>
        <v>3104240</v>
      </c>
      <c r="E11" s="4">
        <v>0</v>
      </c>
      <c r="F11" s="5"/>
      <c r="G11" s="162">
        <f>SUM(C11:E11)+F11</f>
        <v>5520980</v>
      </c>
    </row>
    <row r="12" spans="1:7" x14ac:dyDescent="0.2">
      <c r="A12" s="74" t="s">
        <v>65</v>
      </c>
      <c r="B12" s="34"/>
      <c r="C12" s="4">
        <v>157798.68</v>
      </c>
      <c r="D12" s="4">
        <v>157798.67000000001</v>
      </c>
      <c r="E12" s="4">
        <v>0</v>
      </c>
      <c r="F12" s="5"/>
      <c r="G12" s="162">
        <f>SUM(C12:E12)+F12</f>
        <v>315597.34999999998</v>
      </c>
    </row>
    <row r="13" spans="1:7" x14ac:dyDescent="0.2">
      <c r="A13" s="74" t="s">
        <v>66</v>
      </c>
      <c r="B13" s="34"/>
      <c r="C13" s="6">
        <v>2.1250000000000002E-2</v>
      </c>
      <c r="D13" s="6">
        <v>3.7499999999999999E-2</v>
      </c>
      <c r="E13" s="6">
        <v>4.3749999999999997E-2</v>
      </c>
      <c r="F13" s="7"/>
      <c r="G13" s="162"/>
    </row>
    <row r="14" spans="1:7" x14ac:dyDescent="0.2">
      <c r="A14" s="74" t="s">
        <v>67</v>
      </c>
      <c r="B14" s="34"/>
      <c r="C14" s="8" t="s">
        <v>68</v>
      </c>
      <c r="D14" s="8" t="s">
        <v>68</v>
      </c>
      <c r="E14" s="8" t="s">
        <v>185</v>
      </c>
      <c r="F14" s="8"/>
      <c r="G14" s="162"/>
    </row>
    <row r="15" spans="1:7" x14ac:dyDescent="0.2">
      <c r="A15" s="74" t="s">
        <v>69</v>
      </c>
      <c r="B15" s="34"/>
      <c r="C15" s="9">
        <v>40494</v>
      </c>
      <c r="D15" s="9">
        <v>40494</v>
      </c>
      <c r="E15" s="9">
        <v>40815</v>
      </c>
      <c r="F15" s="9"/>
      <c r="G15" s="162"/>
    </row>
    <row r="16" spans="1:7" x14ac:dyDescent="0.2">
      <c r="A16" s="75" t="s">
        <v>70</v>
      </c>
      <c r="B16" s="34"/>
      <c r="C16" s="9">
        <v>42323</v>
      </c>
      <c r="D16" s="9">
        <v>44150</v>
      </c>
      <c r="E16" s="9">
        <v>44470</v>
      </c>
      <c r="F16" s="9"/>
      <c r="G16" s="162"/>
    </row>
    <row r="17" spans="1:7" x14ac:dyDescent="0.2">
      <c r="A17" s="76" t="s">
        <v>71</v>
      </c>
      <c r="B17" s="77"/>
      <c r="C17" s="10">
        <v>60</v>
      </c>
      <c r="D17" s="10">
        <v>120</v>
      </c>
      <c r="E17" s="10">
        <v>120</v>
      </c>
      <c r="F17" s="11"/>
      <c r="G17" s="163"/>
    </row>
    <row r="18" spans="1:7" x14ac:dyDescent="0.2">
      <c r="A18" s="14"/>
      <c r="B18" s="14"/>
      <c r="C18" s="14"/>
      <c r="D18" s="14"/>
      <c r="E18" s="14"/>
      <c r="F18" s="14"/>
      <c r="G18" s="18"/>
    </row>
    <row r="19" spans="1:7" x14ac:dyDescent="0.2">
      <c r="A19" s="78" t="s">
        <v>72</v>
      </c>
      <c r="B19" s="73"/>
      <c r="C19" s="73"/>
      <c r="D19" s="73"/>
      <c r="E19" s="73"/>
      <c r="F19" s="73"/>
      <c r="G19" s="55"/>
    </row>
    <row r="20" spans="1:7" x14ac:dyDescent="0.2">
      <c r="A20" s="76" t="s">
        <v>186</v>
      </c>
      <c r="B20" s="77"/>
      <c r="C20" s="12">
        <v>2506075.1000000006</v>
      </c>
      <c r="D20" s="12">
        <v>3218460.4699999997</v>
      </c>
      <c r="E20" s="12">
        <v>0</v>
      </c>
      <c r="F20" s="12"/>
      <c r="G20" s="164">
        <v>5724535.5700000003</v>
      </c>
    </row>
    <row r="21" spans="1:7" x14ac:dyDescent="0.2">
      <c r="A21" s="34"/>
      <c r="B21" s="34"/>
      <c r="C21" s="44"/>
      <c r="D21" s="44"/>
      <c r="E21" s="44"/>
      <c r="F21" s="44"/>
      <c r="G21" s="35"/>
    </row>
    <row r="22" spans="1:7" x14ac:dyDescent="0.2">
      <c r="A22" s="31" t="s">
        <v>187</v>
      </c>
      <c r="B22" s="34">
        <v>-2</v>
      </c>
      <c r="C22" s="56">
        <f>212809/2</f>
        <v>106404.5</v>
      </c>
      <c r="D22" s="56">
        <f>212809/2</f>
        <v>106404.5</v>
      </c>
      <c r="E22" s="19">
        <v>0</v>
      </c>
      <c r="F22" s="56"/>
      <c r="G22" s="56">
        <f>SUM(C22:E22)</f>
        <v>212809</v>
      </c>
    </row>
    <row r="23" spans="1:7" x14ac:dyDescent="0.2">
      <c r="A23" s="31" t="s">
        <v>188</v>
      </c>
      <c r="B23" s="34">
        <v>-3</v>
      </c>
      <c r="C23" s="56">
        <f>-47283.36/2</f>
        <v>-23641.68</v>
      </c>
      <c r="D23" s="56">
        <f>-47283.36/2</f>
        <v>-23641.68</v>
      </c>
      <c r="E23" s="19">
        <v>0</v>
      </c>
      <c r="F23" s="56"/>
      <c r="G23" s="56">
        <f t="shared" ref="G23:G33" si="0">SUM(C23:E23)</f>
        <v>-47283.360000000001</v>
      </c>
    </row>
    <row r="24" spans="1:7" x14ac:dyDescent="0.2">
      <c r="A24" s="31" t="s">
        <v>189</v>
      </c>
      <c r="B24" s="34">
        <v>-4</v>
      </c>
      <c r="C24" s="56">
        <f>(40000/2)+(91189.32/2)</f>
        <v>65594.66</v>
      </c>
      <c r="D24" s="56">
        <f>(40000/2)+(91189.32/2)</f>
        <v>65594.66</v>
      </c>
      <c r="E24" s="19">
        <v>0</v>
      </c>
      <c r="F24" s="56"/>
      <c r="G24" s="56">
        <f t="shared" si="0"/>
        <v>131189.32</v>
      </c>
    </row>
    <row r="25" spans="1:7" x14ac:dyDescent="0.2">
      <c r="A25" s="31" t="s">
        <v>190</v>
      </c>
      <c r="B25" s="34">
        <v>-5</v>
      </c>
      <c r="C25" s="56">
        <v>0</v>
      </c>
      <c r="D25" s="56">
        <v>0</v>
      </c>
      <c r="E25" s="19">
        <v>0</v>
      </c>
      <c r="F25" s="56"/>
      <c r="G25" s="56">
        <f t="shared" si="0"/>
        <v>0</v>
      </c>
    </row>
    <row r="26" spans="1:7" x14ac:dyDescent="0.2">
      <c r="A26" s="31" t="s">
        <v>191</v>
      </c>
      <c r="B26" s="34">
        <v>-6</v>
      </c>
      <c r="C26" s="56">
        <f>46440+44675.66+5000-7500+2400</f>
        <v>91015.66</v>
      </c>
      <c r="D26" s="56">
        <f>55147.5+53052.34+5000-7500+2400</f>
        <v>108099.84</v>
      </c>
      <c r="E26" s="19">
        <v>0</v>
      </c>
      <c r="F26" s="56"/>
      <c r="G26" s="56">
        <f t="shared" si="0"/>
        <v>199115.5</v>
      </c>
    </row>
    <row r="27" spans="1:7" x14ac:dyDescent="0.2">
      <c r="A27" s="31" t="s">
        <v>192</v>
      </c>
      <c r="B27" s="34">
        <v>-7</v>
      </c>
      <c r="C27" s="56">
        <f>ROUNDDOWN((10175+107975.29)/2,2)</f>
        <v>59075.14</v>
      </c>
      <c r="D27" s="56">
        <f>ROUNDUP((10175+107975.29)/2,2)</f>
        <v>59075.15</v>
      </c>
      <c r="E27" s="19">
        <v>0</v>
      </c>
      <c r="F27" s="56"/>
      <c r="G27" s="56">
        <f t="shared" si="0"/>
        <v>118150.29000000001</v>
      </c>
    </row>
    <row r="28" spans="1:7" x14ac:dyDescent="0.2">
      <c r="A28" s="31" t="s">
        <v>193</v>
      </c>
      <c r="B28" s="34">
        <v>-8</v>
      </c>
      <c r="C28" s="56">
        <v>99053.3</v>
      </c>
      <c r="D28" s="56">
        <v>99053.3</v>
      </c>
      <c r="E28" s="19">
        <v>0</v>
      </c>
      <c r="F28" s="56"/>
      <c r="G28" s="56">
        <f t="shared" si="0"/>
        <v>198106.6</v>
      </c>
    </row>
    <row r="29" spans="1:7" x14ac:dyDescent="0.2">
      <c r="A29" s="31" t="s">
        <v>194</v>
      </c>
      <c r="B29" s="34">
        <v>-9</v>
      </c>
      <c r="C29" s="56">
        <v>0</v>
      </c>
      <c r="D29" s="56">
        <v>0</v>
      </c>
      <c r="E29" s="19">
        <v>0</v>
      </c>
      <c r="F29" s="56"/>
      <c r="G29" s="56">
        <f t="shared" si="0"/>
        <v>0</v>
      </c>
    </row>
    <row r="30" spans="1:7" x14ac:dyDescent="0.2">
      <c r="A30" s="31" t="s">
        <v>195</v>
      </c>
      <c r="B30" s="34">
        <v>-10</v>
      </c>
      <c r="C30" s="56">
        <v>51506.09</v>
      </c>
      <c r="D30" s="56">
        <v>51506.1</v>
      </c>
      <c r="E30" s="56">
        <v>1625000</v>
      </c>
      <c r="F30" s="56"/>
      <c r="G30" s="56">
        <f t="shared" si="0"/>
        <v>1728012.19</v>
      </c>
    </row>
    <row r="31" spans="1:7" x14ac:dyDescent="0.2">
      <c r="A31" s="31" t="s">
        <v>196</v>
      </c>
      <c r="B31" s="34">
        <v>-11</v>
      </c>
      <c r="C31" s="56">
        <v>0</v>
      </c>
      <c r="D31" s="56">
        <v>0</v>
      </c>
      <c r="E31" s="56">
        <v>360606.32</v>
      </c>
      <c r="F31" s="34"/>
      <c r="G31" s="56">
        <f t="shared" si="0"/>
        <v>360606.32</v>
      </c>
    </row>
    <row r="32" spans="1:7" x14ac:dyDescent="0.2">
      <c r="A32" s="31" t="s">
        <v>197</v>
      </c>
      <c r="B32" s="34">
        <v>-12</v>
      </c>
      <c r="C32" s="56">
        <v>10819.05</v>
      </c>
      <c r="D32" s="56">
        <v>10819.05</v>
      </c>
      <c r="E32" s="56">
        <v>99390</v>
      </c>
      <c r="F32" s="34">
        <v>-1</v>
      </c>
      <c r="G32" s="56">
        <f t="shared" si="0"/>
        <v>121028.1</v>
      </c>
    </row>
    <row r="33" spans="1:7" x14ac:dyDescent="0.2">
      <c r="A33" s="31" t="s">
        <v>198</v>
      </c>
      <c r="B33" s="34">
        <v>-13</v>
      </c>
      <c r="C33" s="56">
        <v>0</v>
      </c>
      <c r="D33" s="56">
        <v>0</v>
      </c>
      <c r="E33" s="56">
        <f>80000+14375.98+14809.29+9551.25</f>
        <v>118736.51999999999</v>
      </c>
      <c r="F33" s="34">
        <v>-2</v>
      </c>
      <c r="G33" s="56">
        <f t="shared" si="0"/>
        <v>118736.51999999999</v>
      </c>
    </row>
    <row r="34" spans="1:7" x14ac:dyDescent="0.2">
      <c r="A34" s="34"/>
      <c r="B34" s="34"/>
      <c r="C34" s="44"/>
      <c r="D34" s="44"/>
      <c r="E34" s="44"/>
      <c r="F34" s="44"/>
      <c r="G34" s="35"/>
    </row>
    <row r="35" spans="1:7" x14ac:dyDescent="0.2">
      <c r="A35" s="81" t="s">
        <v>74</v>
      </c>
      <c r="B35" s="14"/>
      <c r="C35" s="14"/>
      <c r="D35" s="14"/>
      <c r="E35" s="14"/>
      <c r="F35" s="14"/>
      <c r="G35" s="80"/>
    </row>
    <row r="36" spans="1:7" x14ac:dyDescent="0.2">
      <c r="A36" s="14" t="s">
        <v>75</v>
      </c>
      <c r="B36" s="15">
        <v>1</v>
      </c>
      <c r="C36" s="19">
        <f>-ROUND(($C$11/$C$17)+($C$12/($C$17-1)+$C22/($C$17-2)),2)</f>
        <v>-44788.11</v>
      </c>
      <c r="D36" s="19">
        <f>-ROUND(($D$11/$D$17)+($D$12/($D$17-1)+$D22/($D$17-2)),2)</f>
        <v>-28096.44</v>
      </c>
      <c r="E36" s="19">
        <v>0</v>
      </c>
      <c r="F36" s="19"/>
      <c r="G36" s="13">
        <f t="shared" ref="G36:G48" si="1">SUM(C36:F36)</f>
        <v>-72884.55</v>
      </c>
    </row>
    <row r="37" spans="1:7" x14ac:dyDescent="0.2">
      <c r="A37" s="14" t="s">
        <v>76</v>
      </c>
      <c r="B37" s="15">
        <v>2</v>
      </c>
      <c r="C37" s="19">
        <f>ROUND(C36-(C23/(C17-3)),2)</f>
        <v>-44373.34</v>
      </c>
      <c r="D37" s="19">
        <f>ROUND(D36-(D23/(D17-3)),2)</f>
        <v>-27894.37</v>
      </c>
      <c r="E37" s="19">
        <v>0</v>
      </c>
      <c r="F37" s="14"/>
      <c r="G37" s="13">
        <f t="shared" si="1"/>
        <v>-72267.709999999992</v>
      </c>
    </row>
    <row r="38" spans="1:7" x14ac:dyDescent="0.2">
      <c r="A38" s="14" t="s">
        <v>77</v>
      </c>
      <c r="B38" s="15">
        <v>3</v>
      </c>
      <c r="C38" s="19">
        <f>ROUND(C37-(C24/(C$17-4)),2)</f>
        <v>-45544.67</v>
      </c>
      <c r="D38" s="19">
        <f>ROUND(D37-(D24/(D$17-4)),2)</f>
        <v>-28459.84</v>
      </c>
      <c r="E38" s="19">
        <v>0</v>
      </c>
      <c r="F38" s="14"/>
      <c r="G38" s="13">
        <f t="shared" si="1"/>
        <v>-74004.509999999995</v>
      </c>
    </row>
    <row r="39" spans="1:7" x14ac:dyDescent="0.2">
      <c r="A39" s="14" t="s">
        <v>78</v>
      </c>
      <c r="B39" s="15">
        <v>4</v>
      </c>
      <c r="C39" s="19">
        <f>ROUND(C38-(C25/(C$17-5)),2)</f>
        <v>-45544.67</v>
      </c>
      <c r="D39" s="19">
        <f>ROUND(D38-(D25/(D$17-5)),2)</f>
        <v>-28459.84</v>
      </c>
      <c r="E39" s="19">
        <v>0</v>
      </c>
      <c r="F39" s="14"/>
      <c r="G39" s="13">
        <f t="shared" si="1"/>
        <v>-74004.509999999995</v>
      </c>
    </row>
    <row r="40" spans="1:7" x14ac:dyDescent="0.2">
      <c r="A40" s="14" t="s">
        <v>79</v>
      </c>
      <c r="B40" s="15">
        <v>5</v>
      </c>
      <c r="C40" s="19">
        <f>ROUND(C39-(C26/(C$17-6)),2)</f>
        <v>-47230.15</v>
      </c>
      <c r="D40" s="19">
        <f>ROUND(D39-(D26/(D$17-6)),2)</f>
        <v>-29408.080000000002</v>
      </c>
      <c r="E40" s="19">
        <v>0</v>
      </c>
      <c r="F40" s="14"/>
      <c r="G40" s="13">
        <f t="shared" si="1"/>
        <v>-76638.23000000001</v>
      </c>
    </row>
    <row r="41" spans="1:7" x14ac:dyDescent="0.2">
      <c r="A41" s="14" t="s">
        <v>80</v>
      </c>
      <c r="B41" s="15">
        <v>6</v>
      </c>
      <c r="C41" s="19">
        <f>ROUND(C40-(C27/(C$17-7)),2)</f>
        <v>-48344.78</v>
      </c>
      <c r="D41" s="19">
        <f>ROUND(D40-(D27/(D$17-7)),2)</f>
        <v>-29930.87</v>
      </c>
      <c r="E41" s="19">
        <v>0</v>
      </c>
      <c r="F41" s="14"/>
      <c r="G41" s="13">
        <f t="shared" si="1"/>
        <v>-78275.649999999994</v>
      </c>
    </row>
    <row r="42" spans="1:7" x14ac:dyDescent="0.2">
      <c r="A42" s="14" t="s">
        <v>81</v>
      </c>
      <c r="B42" s="15">
        <v>7</v>
      </c>
      <c r="C42" s="19">
        <f>ROUND(C41-(C28/(C$17-8)),2)</f>
        <v>-50249.65</v>
      </c>
      <c r="D42" s="19">
        <f>ROUND(D41-(D28/(D$17-8)),2)</f>
        <v>-30815.27</v>
      </c>
      <c r="E42" s="19">
        <v>0</v>
      </c>
      <c r="F42" s="14"/>
      <c r="G42" s="13">
        <f t="shared" si="1"/>
        <v>-81064.92</v>
      </c>
    </row>
    <row r="43" spans="1:7" x14ac:dyDescent="0.2">
      <c r="A43" s="14" t="s">
        <v>82</v>
      </c>
      <c r="B43" s="15">
        <v>8</v>
      </c>
      <c r="C43" s="19">
        <f>ROUND(C42-(C29/(C$17-9)),2)</f>
        <v>-50249.65</v>
      </c>
      <c r="D43" s="19">
        <f>ROUND(D42-(D29/(D$17-9)),2)</f>
        <v>-30815.27</v>
      </c>
      <c r="E43" s="19">
        <v>0</v>
      </c>
      <c r="F43" s="14"/>
      <c r="G43" s="13">
        <f t="shared" si="1"/>
        <v>-81064.92</v>
      </c>
    </row>
    <row r="44" spans="1:7" x14ac:dyDescent="0.2">
      <c r="A44" s="14" t="s">
        <v>83</v>
      </c>
      <c r="B44" s="15">
        <v>9</v>
      </c>
      <c r="C44" s="19">
        <f>ROUND(C43-(C30/(C$17-10)),2)</f>
        <v>-51279.77</v>
      </c>
      <c r="D44" s="19">
        <f>ROUND(D43-(D30/(D$17-10)),2)</f>
        <v>-31283.51</v>
      </c>
      <c r="E44" s="19">
        <v>0</v>
      </c>
      <c r="F44" s="14"/>
      <c r="G44" s="13">
        <f t="shared" si="1"/>
        <v>-82563.28</v>
      </c>
    </row>
    <row r="45" spans="1:7" x14ac:dyDescent="0.2">
      <c r="A45" s="14" t="s">
        <v>84</v>
      </c>
      <c r="B45" s="15">
        <v>10</v>
      </c>
      <c r="C45" s="19">
        <f>ROUND(C44-(C31/(C$17-11)),2)</f>
        <v>-51279.77</v>
      </c>
      <c r="D45" s="19">
        <f>ROUND(D44-(D31/(D$17-11)),2)</f>
        <v>-31283.51</v>
      </c>
      <c r="E45" s="19">
        <f>-ROUND(((E30+E31)/(E$17)),2)</f>
        <v>-16546.72</v>
      </c>
      <c r="F45" s="14"/>
      <c r="G45" s="13">
        <f t="shared" si="1"/>
        <v>-99110</v>
      </c>
    </row>
    <row r="46" spans="1:7" x14ac:dyDescent="0.2">
      <c r="A46" s="14" t="s">
        <v>85</v>
      </c>
      <c r="B46" s="15">
        <v>11</v>
      </c>
      <c r="C46" s="19">
        <f>ROUND(C45-(C32/(C$17-12)),2)</f>
        <v>-51505.17</v>
      </c>
      <c r="D46" s="19">
        <f>ROUND(D45-(D32/(D$17-12)),2)</f>
        <v>-31383.69</v>
      </c>
      <c r="E46" s="19">
        <f>ROUND(E45-(E32/(E$17-1)),2)</f>
        <v>-17381.93</v>
      </c>
      <c r="F46" s="14"/>
      <c r="G46" s="13">
        <f t="shared" si="1"/>
        <v>-100270.79000000001</v>
      </c>
    </row>
    <row r="47" spans="1:7" x14ac:dyDescent="0.2">
      <c r="A47" s="14" t="s">
        <v>86</v>
      </c>
      <c r="B47" s="15">
        <v>12</v>
      </c>
      <c r="C47" s="19">
        <f>ROUND(C46-(C33/(C$17-13)),2)</f>
        <v>-51505.17</v>
      </c>
      <c r="D47" s="19">
        <f>ROUND(D46-(D33/(D$17-13)),2)</f>
        <v>-31383.69</v>
      </c>
      <c r="E47" s="19">
        <f>ROUND(E46-(E33/(E$17-2)),2)</f>
        <v>-18388.169999999998</v>
      </c>
      <c r="F47" s="14"/>
      <c r="G47" s="13">
        <f t="shared" si="1"/>
        <v>-101277.03</v>
      </c>
    </row>
    <row r="48" spans="1:7" x14ac:dyDescent="0.2">
      <c r="A48" s="14" t="s">
        <v>52</v>
      </c>
      <c r="B48" s="82"/>
      <c r="C48" s="57">
        <f>SUM(C36:C47)</f>
        <v>-581894.90000000014</v>
      </c>
      <c r="D48" s="57">
        <f>SUM(D36:D47)</f>
        <v>-359214.38</v>
      </c>
      <c r="E48" s="57">
        <f>SUM(E36:E47)</f>
        <v>-52316.82</v>
      </c>
      <c r="F48" s="14"/>
      <c r="G48" s="58">
        <f t="shared" si="1"/>
        <v>-993426.10000000009</v>
      </c>
    </row>
    <row r="49" spans="1:7" x14ac:dyDescent="0.2">
      <c r="A49" s="14"/>
      <c r="B49" s="82"/>
      <c r="C49" s="14"/>
      <c r="D49" s="14"/>
      <c r="E49" s="14"/>
      <c r="F49" s="14"/>
      <c r="G49" s="18"/>
    </row>
    <row r="50" spans="1:7" x14ac:dyDescent="0.2">
      <c r="A50" s="81" t="s">
        <v>88</v>
      </c>
      <c r="B50" s="82"/>
      <c r="C50" s="14"/>
      <c r="D50" s="14"/>
      <c r="E50" s="14"/>
      <c r="F50" s="14"/>
      <c r="G50" s="18"/>
    </row>
    <row r="51" spans="1:7" x14ac:dyDescent="0.2">
      <c r="A51" s="14" t="s">
        <v>75</v>
      </c>
      <c r="B51" s="15">
        <v>1</v>
      </c>
      <c r="C51" s="19">
        <f>C20+C22+C36</f>
        <v>2567691.4900000007</v>
      </c>
      <c r="D51" s="19">
        <f>D20+D22+D36</f>
        <v>3296768.53</v>
      </c>
      <c r="E51" s="19">
        <f>E20+E22+E36</f>
        <v>0</v>
      </c>
      <c r="F51" s="19"/>
      <c r="G51" s="13">
        <f>SUM(C51:F51)</f>
        <v>5864460.0200000005</v>
      </c>
    </row>
    <row r="52" spans="1:7" x14ac:dyDescent="0.2">
      <c r="A52" s="14" t="s">
        <v>76</v>
      </c>
      <c r="B52" s="15">
        <v>2</v>
      </c>
      <c r="C52" s="19">
        <f t="shared" ref="C52:E53" si="2">C51+C23+C37</f>
        <v>2499676.4700000007</v>
      </c>
      <c r="D52" s="19">
        <f t="shared" si="2"/>
        <v>3245232.4799999995</v>
      </c>
      <c r="E52" s="19">
        <f t="shared" si="2"/>
        <v>0</v>
      </c>
      <c r="F52" s="19"/>
      <c r="G52" s="13">
        <f>SUM(C52:F52)</f>
        <v>5744908.9500000002</v>
      </c>
    </row>
    <row r="53" spans="1:7" x14ac:dyDescent="0.2">
      <c r="A53" s="14" t="s">
        <v>77</v>
      </c>
      <c r="B53" s="15">
        <v>3</v>
      </c>
      <c r="C53" s="19">
        <f t="shared" si="2"/>
        <v>2519726.4600000009</v>
      </c>
      <c r="D53" s="19">
        <f t="shared" si="2"/>
        <v>3282367.3</v>
      </c>
      <c r="E53" s="19">
        <f t="shared" si="2"/>
        <v>0</v>
      </c>
      <c r="F53" s="19"/>
      <c r="G53" s="13">
        <f>SUM(C53:F53)</f>
        <v>5802093.7600000007</v>
      </c>
    </row>
    <row r="54" spans="1:7" x14ac:dyDescent="0.2">
      <c r="A54" s="14" t="s">
        <v>78</v>
      </c>
      <c r="B54" s="15">
        <v>4</v>
      </c>
      <c r="C54" s="19">
        <f>C53+C34+C39</f>
        <v>2474181.790000001</v>
      </c>
      <c r="D54" s="19">
        <f>D53+D34+D39</f>
        <v>3253907.46</v>
      </c>
      <c r="E54" s="19">
        <f>E53+E34+E39</f>
        <v>0</v>
      </c>
      <c r="F54" s="19"/>
      <c r="G54" s="13">
        <f>SUM(C54:F54)</f>
        <v>5728089.2500000009</v>
      </c>
    </row>
    <row r="55" spans="1:7" x14ac:dyDescent="0.2">
      <c r="A55" s="14" t="s">
        <v>79</v>
      </c>
      <c r="B55" s="15">
        <v>5</v>
      </c>
      <c r="C55" s="19">
        <f t="shared" ref="C55:E62" si="3">C54+C26+C40</f>
        <v>2517967.3000000012</v>
      </c>
      <c r="D55" s="19">
        <f t="shared" si="3"/>
        <v>3332599.2199999997</v>
      </c>
      <c r="E55" s="19">
        <f t="shared" si="3"/>
        <v>0</v>
      </c>
      <c r="F55" s="19"/>
      <c r="G55" s="13">
        <f>SUM(C55:F55)</f>
        <v>5850566.5200000014</v>
      </c>
    </row>
    <row r="56" spans="1:7" x14ac:dyDescent="0.2">
      <c r="A56" s="14" t="s">
        <v>80</v>
      </c>
      <c r="B56" s="15">
        <v>6</v>
      </c>
      <c r="C56" s="19">
        <f t="shared" si="3"/>
        <v>2528697.6600000015</v>
      </c>
      <c r="D56" s="19">
        <f t="shared" si="3"/>
        <v>3361743.4999999995</v>
      </c>
      <c r="E56" s="19">
        <f t="shared" si="3"/>
        <v>0</v>
      </c>
      <c r="F56" s="19"/>
      <c r="G56" s="13">
        <f t="shared" ref="G56:G62" si="4">SUM(C56:F56)</f>
        <v>5890441.1600000011</v>
      </c>
    </row>
    <row r="57" spans="1:7" x14ac:dyDescent="0.2">
      <c r="A57" s="14" t="s">
        <v>81</v>
      </c>
      <c r="B57" s="15">
        <v>7</v>
      </c>
      <c r="C57" s="19">
        <f t="shared" si="3"/>
        <v>2577501.3100000015</v>
      </c>
      <c r="D57" s="19">
        <f t="shared" si="3"/>
        <v>3429981.5299999993</v>
      </c>
      <c r="E57" s="19">
        <f t="shared" si="3"/>
        <v>0</v>
      </c>
      <c r="F57" s="19"/>
      <c r="G57" s="13">
        <f t="shared" si="4"/>
        <v>6007482.8400000008</v>
      </c>
    </row>
    <row r="58" spans="1:7" x14ac:dyDescent="0.2">
      <c r="A58" s="14" t="s">
        <v>82</v>
      </c>
      <c r="B58" s="15">
        <v>8</v>
      </c>
      <c r="C58" s="19">
        <f t="shared" si="3"/>
        <v>2527251.6600000015</v>
      </c>
      <c r="D58" s="19">
        <f t="shared" si="3"/>
        <v>3399166.2599999993</v>
      </c>
      <c r="E58" s="19">
        <f t="shared" si="3"/>
        <v>0</v>
      </c>
      <c r="F58" s="19"/>
      <c r="G58" s="13">
        <f t="shared" si="4"/>
        <v>5926417.9200000009</v>
      </c>
    </row>
    <row r="59" spans="1:7" x14ac:dyDescent="0.2">
      <c r="A59" s="14" t="s">
        <v>83</v>
      </c>
      <c r="B59" s="15">
        <v>9</v>
      </c>
      <c r="C59" s="19">
        <f t="shared" si="3"/>
        <v>2527477.9800000014</v>
      </c>
      <c r="D59" s="19">
        <f t="shared" si="3"/>
        <v>3419388.8499999996</v>
      </c>
      <c r="E59" s="19">
        <f t="shared" si="3"/>
        <v>1625000</v>
      </c>
      <c r="F59" s="19"/>
      <c r="G59" s="13">
        <f t="shared" si="4"/>
        <v>7571866.830000001</v>
      </c>
    </row>
    <row r="60" spans="1:7" x14ac:dyDescent="0.2">
      <c r="A60" s="14" t="s">
        <v>84</v>
      </c>
      <c r="B60" s="15">
        <v>10</v>
      </c>
      <c r="C60" s="19">
        <f t="shared" si="3"/>
        <v>2476198.2100000014</v>
      </c>
      <c r="D60" s="19">
        <f t="shared" si="3"/>
        <v>3388105.34</v>
      </c>
      <c r="E60" s="19">
        <f t="shared" si="3"/>
        <v>1969059.6</v>
      </c>
      <c r="F60" s="19"/>
      <c r="G60" s="13">
        <f t="shared" si="4"/>
        <v>7833363.1500000004</v>
      </c>
    </row>
    <row r="61" spans="1:7" x14ac:dyDescent="0.2">
      <c r="A61" s="14" t="s">
        <v>85</v>
      </c>
      <c r="B61" s="15">
        <v>11</v>
      </c>
      <c r="C61" s="19">
        <f t="shared" si="3"/>
        <v>2435512.0900000012</v>
      </c>
      <c r="D61" s="19">
        <f t="shared" si="3"/>
        <v>3367540.6999999997</v>
      </c>
      <c r="E61" s="19">
        <f t="shared" si="3"/>
        <v>2051067.6700000002</v>
      </c>
      <c r="F61" s="19"/>
      <c r="G61" s="13">
        <f t="shared" si="4"/>
        <v>7854120.4600000009</v>
      </c>
    </row>
    <row r="62" spans="1:7" x14ac:dyDescent="0.2">
      <c r="A62" s="14" t="s">
        <v>86</v>
      </c>
      <c r="B62" s="15">
        <v>12</v>
      </c>
      <c r="C62" s="19">
        <f t="shared" si="3"/>
        <v>2384006.9200000013</v>
      </c>
      <c r="D62" s="19">
        <f t="shared" si="3"/>
        <v>3336157.01</v>
      </c>
      <c r="E62" s="19">
        <f t="shared" si="3"/>
        <v>2151416.02</v>
      </c>
      <c r="F62" s="19"/>
      <c r="G62" s="13">
        <f t="shared" si="4"/>
        <v>7871579.9500000011</v>
      </c>
    </row>
    <row r="63" spans="1:7" x14ac:dyDescent="0.2">
      <c r="A63" s="14"/>
      <c r="B63" s="14"/>
      <c r="C63" s="14"/>
      <c r="D63" s="14"/>
      <c r="E63" s="14"/>
      <c r="F63" s="14"/>
      <c r="G63" s="24"/>
    </row>
    <row r="64" spans="1:7" x14ac:dyDescent="0.2">
      <c r="A64" s="14"/>
      <c r="B64" s="14"/>
      <c r="C64" s="14"/>
      <c r="D64" s="14"/>
      <c r="E64" s="14"/>
      <c r="F64" s="14"/>
      <c r="G64" s="18"/>
    </row>
    <row r="65" spans="1:7" x14ac:dyDescent="0.2">
      <c r="A65" s="14"/>
      <c r="B65" s="14"/>
      <c r="C65" s="25"/>
      <c r="D65" s="25"/>
      <c r="E65" s="25"/>
      <c r="F65" s="25"/>
      <c r="G65" s="18"/>
    </row>
    <row r="66" spans="1:7" x14ac:dyDescent="0.2">
      <c r="A66" s="14"/>
      <c r="B66" s="14"/>
      <c r="C66" s="25"/>
      <c r="D66" s="25"/>
      <c r="E66" s="25"/>
      <c r="F66" s="25"/>
      <c r="G66" s="18"/>
    </row>
    <row r="67" spans="1:7" x14ac:dyDescent="0.2">
      <c r="A67" s="71"/>
      <c r="B67" s="1"/>
      <c r="C67" s="26"/>
      <c r="D67" s="26"/>
      <c r="E67" s="26"/>
      <c r="F67" s="26"/>
      <c r="G67" s="27"/>
    </row>
    <row r="68" spans="1:7" x14ac:dyDescent="0.2">
      <c r="A68" s="160"/>
      <c r="B68" s="161"/>
      <c r="C68" s="28"/>
      <c r="D68" s="29"/>
      <c r="E68" s="29"/>
      <c r="F68" s="29"/>
      <c r="G68" s="30"/>
    </row>
    <row r="69" spans="1:7" s="33" customFormat="1" x14ac:dyDescent="0.2">
      <c r="A69" s="31"/>
      <c r="B69" s="8"/>
      <c r="C69" s="32"/>
      <c r="D69" s="32"/>
      <c r="E69" s="32"/>
      <c r="F69" s="32"/>
      <c r="G69" s="4"/>
    </row>
    <row r="70" spans="1:7" s="33" customFormat="1" x14ac:dyDescent="0.2">
      <c r="A70" s="34"/>
      <c r="B70" s="35"/>
      <c r="C70" s="35"/>
      <c r="D70" s="35"/>
      <c r="E70" s="35"/>
      <c r="F70" s="35"/>
      <c r="G70" s="35"/>
    </row>
    <row r="71" spans="1:7" s="33" customFormat="1" x14ac:dyDescent="0.2">
      <c r="A71" s="8"/>
      <c r="B71" s="8"/>
      <c r="C71" s="8"/>
      <c r="D71" s="8"/>
      <c r="E71" s="8"/>
      <c r="F71" s="8"/>
      <c r="G71" s="4"/>
    </row>
    <row r="72" spans="1:7" s="33" customFormat="1" x14ac:dyDescent="0.2">
      <c r="A72" s="36"/>
      <c r="B72" s="36"/>
      <c r="C72" s="37"/>
      <c r="D72" s="37"/>
      <c r="E72" s="37"/>
      <c r="F72" s="37"/>
      <c r="G72" s="37"/>
    </row>
    <row r="73" spans="1:7" s="33" customFormat="1" x14ac:dyDescent="0.2">
      <c r="A73" s="34"/>
      <c r="B73" s="34"/>
      <c r="C73" s="34"/>
      <c r="D73" s="34"/>
      <c r="E73" s="34"/>
      <c r="F73" s="34"/>
      <c r="G73" s="38"/>
    </row>
    <row r="74" spans="1:7" s="33" customFormat="1" x14ac:dyDescent="0.2">
      <c r="A74" s="34"/>
      <c r="B74" s="34"/>
      <c r="C74" s="34"/>
      <c r="D74" s="34"/>
      <c r="E74" s="34"/>
      <c r="F74" s="34"/>
      <c r="G74" s="24"/>
    </row>
    <row r="75" spans="1:7" s="33" customFormat="1" x14ac:dyDescent="0.2">
      <c r="A75" s="34"/>
      <c r="B75" s="34"/>
      <c r="C75" s="34"/>
      <c r="D75" s="34"/>
      <c r="E75" s="34"/>
      <c r="F75" s="34"/>
      <c r="G75" s="38"/>
    </row>
    <row r="76" spans="1:7" s="33" customFormat="1" x14ac:dyDescent="0.2">
      <c r="A76" s="36"/>
      <c r="B76" s="36"/>
      <c r="C76" s="36"/>
      <c r="D76" s="36"/>
      <c r="E76" s="36"/>
      <c r="F76" s="36"/>
      <c r="G76" s="36"/>
    </row>
    <row r="77" spans="1:7" s="33" customFormat="1" x14ac:dyDescent="0.2">
      <c r="A77" s="34"/>
      <c r="B77" s="34"/>
      <c r="C77" s="34"/>
      <c r="D77" s="34"/>
      <c r="E77" s="34"/>
      <c r="F77" s="34"/>
      <c r="G77" s="38"/>
    </row>
    <row r="78" spans="1:7" s="33" customFormat="1" x14ac:dyDescent="0.2">
      <c r="A78" s="34"/>
      <c r="B78" s="34"/>
      <c r="C78" s="34"/>
      <c r="D78" s="34"/>
      <c r="E78" s="34"/>
      <c r="F78" s="34"/>
      <c r="G78" s="38"/>
    </row>
    <row r="79" spans="1:7" s="33" customFormat="1" x14ac:dyDescent="0.2">
      <c r="A79" s="34"/>
      <c r="B79" s="34"/>
      <c r="C79" s="34"/>
      <c r="D79" s="34"/>
      <c r="E79" s="34"/>
      <c r="F79" s="39"/>
      <c r="G79" s="38"/>
    </row>
    <row r="80" spans="1:7" s="33" customFormat="1" x14ac:dyDescent="0.2">
      <c r="A80" s="34"/>
      <c r="B80" s="34"/>
      <c r="C80" s="34"/>
      <c r="D80" s="34"/>
      <c r="E80" s="34"/>
      <c r="F80" s="39"/>
      <c r="G80" s="38"/>
    </row>
    <row r="81" spans="1:7" s="33" customFormat="1" x14ac:dyDescent="0.2">
      <c r="A81" s="34"/>
      <c r="B81" s="34"/>
      <c r="C81" s="34"/>
      <c r="D81" s="34"/>
      <c r="E81" s="34"/>
      <c r="F81" s="39"/>
      <c r="G81" s="38"/>
    </row>
    <row r="82" spans="1:7" s="33" customFormat="1" x14ac:dyDescent="0.2">
      <c r="A82" s="34"/>
      <c r="B82" s="34"/>
      <c r="C82" s="34"/>
      <c r="D82" s="34"/>
      <c r="E82" s="34"/>
      <c r="F82" s="34"/>
      <c r="G82" s="40"/>
    </row>
    <row r="83" spans="1:7" s="33" customFormat="1" x14ac:dyDescent="0.2"/>
    <row r="84" spans="1:7" s="33" customFormat="1" x14ac:dyDescent="0.2"/>
    <row r="85" spans="1:7" s="33" customFormat="1" x14ac:dyDescent="0.2"/>
    <row r="86" spans="1:7" s="33" customFormat="1" x14ac:dyDescent="0.2"/>
    <row r="87" spans="1:7" s="33" customFormat="1" x14ac:dyDescent="0.2"/>
  </sheetData>
  <pageMargins left="0.7" right="0.7" top="1" bottom="0.75" header="0.25" footer="0.5"/>
  <pageSetup scale="83" orientation="portrait" r:id="rId1"/>
  <headerFooter>
    <oddHeader>&amp;R&amp;"Times New Roman,Bold"&amp;12Attachment to Response to KU KIUC-2 Question No. 2.15
Page &amp;P of &amp;N
Arbough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KIUC 2.15(003)</vt:lpstr>
      <vt:lpstr>KIUC 2.15(004)</vt:lpstr>
      <vt:lpstr>KIUC 2.15(005)</vt:lpstr>
      <vt:lpstr>KIUC 2.15(006)</vt:lpstr>
      <vt:lpstr>KIUC 2.15(007)</vt:lpstr>
      <vt:lpstr>KIUC 2.15(008)</vt:lpstr>
      <vt:lpstr>KIUC 2.15(009)</vt:lpstr>
      <vt:lpstr>KIUC 2.15(010)</vt:lpstr>
      <vt:lpstr>KIUC 2.15(011)</vt:lpstr>
      <vt:lpstr>KIUC 2.15(012)</vt:lpstr>
      <vt:lpstr>KIUC 2.15(013)</vt:lpstr>
      <vt:lpstr>KIUC 2.15(014)</vt:lpstr>
      <vt:lpstr>KIUC 2.15(015)</vt:lpstr>
      <vt:lpstr>KIUC 2.15(016)</vt:lpstr>
      <vt:lpstr>KIUC 2.15(017)</vt:lpstr>
      <vt:lpstr>KIUC 2.15(018)</vt:lpstr>
      <vt:lpstr>KIUC 2.15(019)</vt:lpstr>
      <vt:lpstr>KIUC 2.15(020)</vt:lpstr>
      <vt:lpstr>KIUC 2.15(021)</vt:lpstr>
      <vt:lpstr>'KIUC 2.15(008)'!Print_Area</vt:lpstr>
      <vt:lpstr>'KIUC 2.15(009)'!Print_Area</vt:lpstr>
      <vt:lpstr>'KIUC 2.15(014)'!Print_Area</vt:lpstr>
      <vt:lpstr>'KIUC 2.15(015)'!Print_Area</vt:lpstr>
      <vt:lpstr>'KIUC 2.15(020)'!Print_Area</vt:lpstr>
      <vt:lpstr>'KIUC 2.15(021)'!Print_Area</vt:lpstr>
      <vt:lpstr>'KIUC 2.15(009)'!Print_Titles</vt:lpstr>
      <vt:lpstr>'KIUC 2.15(015)'!Print_Titles</vt:lpstr>
      <vt:lpstr>'KIUC 2.15(021)'!Print_Titles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2012-09-04T14:27:28Z</dcterms:created>
  <dcterms:modified xsi:type="dcterms:W3CDTF">2012-09-04T22:42:12Z</dcterms:modified>
</cp:coreProperties>
</file>